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<sst xmlns="http://schemas.openxmlformats.org/spreadsheetml/2006/main" count="18539" uniqueCount="4825">
  <si>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</si>
  <si>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</si>
  <si>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</si>
  <si>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</si>
  <si>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</si>
  <si>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</si>
  <si>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</si>
  <si>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</si>
  <si>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</si>
  <si>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</si>
  <si>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</si>
  <si>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</si>
  <si>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</si>
  <si>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</si>
  <si>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</si>
  <si>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</si>
  <si>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</si>
  <si>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</si>
  <si>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</si>
  <si>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</si>
  <si>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</si>
  <si>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</si>
  <si>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</si>
  <si>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</si>
  <si>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</si>
  <si>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</si>
  <si>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</si>
  <si>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</si>
  <si>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</si>
  <si>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</si>
  <si>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</si>
  <si>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</si>
  <si>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</si>
  <si>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</si>
  <si>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</si>
  <si>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</si>
  <si>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</si>
  <si>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</si>
  <si>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</si>
  <si>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</si>
  <si>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</si>
  <si>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</si>
  <si>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</si>
  <si>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</si>
  <si>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</si>
  <si>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</si>
  <si>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</si>
  <si>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</si>
  <si>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</si>
  <si>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</si>
  <si>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</si>
  <si>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</si>
  <si>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</si>
  <si>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</si>
  <si>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</si>
  <si>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</si>
  <si>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</si>
  <si>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</si>
  <si>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</si>
  <si>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</si>
  <si>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</si>
  <si>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</si>
  <si>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</si>
  <si>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</si>
  <si>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</si>
  <si>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</si>
  <si>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</si>
  <si>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</si>
  <si>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</si>
  <si>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</si>
  <si>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</si>
  <si>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</si>
  <si>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</si>
  <si>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</si>
  <si>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</si>
  <si>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</si>
  <si>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</si>
  <si>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</si>
  <si>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</si>
  <si>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</si>
  <si>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</si>
  <si>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</si>
  <si>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</si>
  <si>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</si>
  <si>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</si>
  <si>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</si>
  <si>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</si>
  <si>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</si>
  <si>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</si>
  <si>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</si>
  <si>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</si>
  <si>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</si>
  <si>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</si>
  <si>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</si>
  <si>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</si>
  <si>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</si>
  <si>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</si>
  <si>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</si>
  <si>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</si>
  <si>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</si>
  <si>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</si>
  <si>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</si>
  <si>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</si>
  <si>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</si>
  <si>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</si>
  <si>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</si>
  <si>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</si>
  <si>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</si>
  <si>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</si>
  <si>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</si>
  <si>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</si>
  <si>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</si>
  <si>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</si>
  <si>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</si>
  <si>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</si>
  <si>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</si>
  <si>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</si>
  <si>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</si>
  <si>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</si>
  <si>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</si>
  <si>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</si>
  <si>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</si>
  <si>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</si>
  <si>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</si>
  <si>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</si>
  <si>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</si>
  <si>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</si>
  <si>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</si>
  <si>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</si>
  <si>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</si>
  <si>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</si>
  <si>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</si>
  <si>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</si>
  <si>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</si>
  <si>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</si>
  <si>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</si>
  <si>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</si>
  <si>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</si>
  <si>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</si>
  <si>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</si>
  <si>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</si>
  <si>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</si>
  <si>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</si>
  <si>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</si>
  <si>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</si>
  <si>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</si>
  <si>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</si>
  <si>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</si>
  <si>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</si>
  <si>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</si>
  <si>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</si>
  <si>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</si>
  <si>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</si>
  <si>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</si>
  <si>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</si>
  <si>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</si>
  <si>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</si>
  <si>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</si>
  <si>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</si>
  <si>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</si>
  <si>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</si>
  <si>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</si>
  <si>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</si>
  <si>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</si>
  <si>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</si>
  <si>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</si>
  <si>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</si>
  <si>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</si>
  <si>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</si>
  <si>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</si>
  <si>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</si>
  <si>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</si>
  <si>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</si>
  <si>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</si>
  <si>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</si>
  <si>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</si>
  <si>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</si>
  <si>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</si>
  <si>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</si>
  <si>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</si>
  <si>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</si>
  <si>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</si>
  <si>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</si>
  <si>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</si>
  <si>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</si>
  <si>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</si>
  <si>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</si>
  <si>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</si>
  <si>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</si>
  <si>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</si>
  <si>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</si>
  <si>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</si>
  <si>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</si>
  <si>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</si>
  <si>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</si>
  <si>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</si>
  <si>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</si>
  <si>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</si>
  <si>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</si>
  <si>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</si>
  <si>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</si>
  <si>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</si>
  <si>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</si>
  <si>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</si>
  <si>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</si>
  <si>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</si>
  <si>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</si>
  <si>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</si>
  <si>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</si>
  <si>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</si>
  <si>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</si>
  <si>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</si>
  <si>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</si>
  <si>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</si>
  <si>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</si>
  <si>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</si>
  <si>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</si>
  <si>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</si>
  <si>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</si>
  <si>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</si>
  <si>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</si>
  <si>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</si>
  <si>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</si>
  <si>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UC_fih_n7WX_Ah5Lpycyoxaw</t>
  </si>
  <si>
    <t>UCl-rkPJ4jt9fjP-htmVnYPA</t>
  </si>
  <si>
    <t>UCFmSHlTH1i1EwkbmSN4ZCGg</t>
  </si>
  <si>
    <t>UCotnwz_joL3ZDyICya0q_Bw</t>
  </si>
  <si>
    <t>UCQZXu94X5lUU8Kq8XY8ic2w</t>
  </si>
  <si>
    <t>UCofm4FS2wgiO5LqblEGzvFA</t>
  </si>
  <si>
    <t>UCsJOnWW5NyNRL8yxDHv3CeA</t>
  </si>
  <si>
    <t>UCSHSmXn83dGWiPwSXO3KZTg</t>
  </si>
  <si>
    <t>UCuQMJlKO_QFzEPpxbMnMgTQ</t>
  </si>
  <si>
    <t>UCwITU6pvKzazXrub5ZdjCCA</t>
  </si>
  <si>
    <t>UCiCWDWq680ukV-Uehr_tKjg</t>
  </si>
  <si>
    <t>UCL9DzZ00vJegnZue-sTdLYQ</t>
  </si>
  <si>
    <t>UCktXZ0D5zb1AKG4IEeCh6oA</t>
  </si>
  <si>
    <t>UCek14wf03-ae60a7tBVSq1w</t>
  </si>
  <si>
    <t>UCEiZM4t4CszDR4hv-Idy3ww</t>
  </si>
  <si>
    <t>UCnohTVtCuvNtolRm-tRiGZQ</t>
  </si>
  <si>
    <t>UC34S06MNe11xkigcLLQ8s1Q</t>
  </si>
  <si>
    <t>UC8Ay5N1DiQwnfOJ2tpH1VEw</t>
  </si>
  <si>
    <t>UClacwSl8Q-4gHqnADwqIV9A</t>
  </si>
  <si>
    <t>UCutq5-FUVuOX9wMn6rNr_Nw</t>
  </si>
  <si>
    <t>UCqbuCOjnLEgaspaTyUz1l_w</t>
  </si>
  <si>
    <t>UCSer173vKrwqw0TUSdEPE8g</t>
  </si>
  <si>
    <t>UCtzLGcrO-wjBW9bgmvRImUA</t>
  </si>
  <si>
    <t>UCI4enAGic-cc5V8eW5JbDTw</t>
  </si>
  <si>
    <t>UCSYFDGlCp7PRo2Rus8GgB9A</t>
  </si>
  <si>
    <t>UCcJoWrE7i5vtupMbTZ7KFSw</t>
  </si>
  <si>
    <t>UCueRQvl3kUXIQlDatz0bTlA</t>
  </si>
  <si>
    <t>UCKSOfRPNVFNNnwZQ8yy26Ww</t>
  </si>
  <si>
    <t>UCM3K5dhNZVewZSMkOIM-Obw</t>
  </si>
  <si>
    <t>UCDVI8Mu_DP44C1H7oNNGByQ</t>
  </si>
  <si>
    <t>UCYQzjLqyfdbgl-f86cDs55A</t>
  </si>
  <si>
    <t>UCVYh_gqHZVfmKQajmZUBoEA</t>
  </si>
  <si>
    <t>UCf5h3N-zwGa833s_n8W4p8Q</t>
  </si>
  <si>
    <t>UCmyFx09lsrSah2z_EkyEZMw</t>
  </si>
  <si>
    <t>UCZdbdQpslVEy0Uzibu-pNDQ</t>
  </si>
  <si>
    <t>UC1bikyZsfnqh-YJGhxelxfg</t>
  </si>
  <si>
    <t>UCbjPfNmN2iP2cFaj2cnL3MQ</t>
  </si>
  <si>
    <t>UCKQy6753tWI7LAigt5xt4HA</t>
  </si>
  <si>
    <t>UCpioEt1X_ZKOfTGhcexjZTA</t>
  </si>
  <si>
    <t>UCTMmj0ljprXNyUDcm4D2IKA</t>
  </si>
  <si>
    <t>UCZ7HPa_lqEDxBrc4-Mgtq8w</t>
  </si>
  <si>
    <t>UCGEt10_xOuvn17EXdYzD3VA</t>
  </si>
  <si>
    <t>UCOYrsFO8yTAYzqTx8kjwMLg</t>
  </si>
  <si>
    <t>UCR5cSOytpbVX77dps5opAVQ</t>
  </si>
  <si>
    <t>UCj0xj7vufSC4d2qdDPt8RFQ</t>
  </si>
  <si>
    <t>UCfFhBUE44pALXjKfTee7hLQ</t>
  </si>
  <si>
    <t>UCUoMJrpGe38iR6lAtceq0uw</t>
  </si>
  <si>
    <t>UCf2Sg6ACXrN4uMekL4QtubA</t>
  </si>
  <si>
    <t>UCPgZ9MTye-9cBs1V0zlCMIQ</t>
  </si>
  <si>
    <t>UCmoEwJy-a4hat88aVrWKpXQ</t>
  </si>
  <si>
    <t>UCD0wnC9-8SapHHvHjbsawLQ</t>
  </si>
  <si>
    <t>UCMdduxoECEaz_vhD-d84rAQ</t>
  </si>
  <si>
    <t>UCAzyUwF_Op3JSfltgVnap3g</t>
  </si>
  <si>
    <t>UCk2UHkAXJ7RJ4kGsnjjsGPw</t>
  </si>
  <si>
    <t>UCvluqgSak-JUFoQ0crS_sBA</t>
  </si>
  <si>
    <t>UC9BxHslb4B1W2QJt9e0eihA</t>
  </si>
  <si>
    <t>UCk2jMvMCNPWn1GoRVlwyQlg</t>
  </si>
  <si>
    <t>UCRDV4_Mm80Chyjh-t8DbpZw</t>
  </si>
  <si>
    <t>UC_x3AkfG7g4M4wySJkWupqg</t>
  </si>
  <si>
    <t>UCxX5x9qobr1D3PHFlguifeA</t>
  </si>
  <si>
    <t>UCJA1pkV9mpAJYNew-ZoPD-A</t>
  </si>
  <si>
    <t>UCWQ86dk1RtzIxh39I4riWJg</t>
  </si>
  <si>
    <t>UCNWasPkWThbNGU78wTte-aA</t>
  </si>
  <si>
    <t>UCfPPxdm0eV0r8yLJMUAeHYQ</t>
  </si>
  <si>
    <t>UCY17GXLLENc2GDQES1coMAg</t>
  </si>
  <si>
    <t>UCqMcyZ2lJMpUZbytiLF7vog</t>
  </si>
  <si>
    <t>UC9vNxe54O877N8XswqMCnAw</t>
  </si>
  <si>
    <t>UCJoPOi7-qPyZZ2MkH6SPc_A</t>
  </si>
  <si>
    <t>UCWH0qNynKh2T84M0-UlahdA</t>
  </si>
  <si>
    <t>UCD_DaKNac0Ta-2PeHuoQ1uA</t>
  </si>
  <si>
    <t>UC9bFss-24oXqPC76WhDPIOQ</t>
  </si>
  <si>
    <t>UC_Nur1oBlns6HSWK9rI9_vw</t>
  </si>
  <si>
    <t>UCwHDDjfIl0VwnHgP9PnH3bQ</t>
  </si>
  <si>
    <t>UCZ0JT-tgxNOK-3c-g5yHufA</t>
  </si>
  <si>
    <t>UCYJ3Hgk0kkBCog2Q9Z9Dh-g</t>
  </si>
  <si>
    <t>UC7leX0JJWsaBD7t-ZgGQnhA</t>
  </si>
  <si>
    <t>UCaJWmYVKjwZIrsmTazenl2A</t>
  </si>
  <si>
    <t>UCBsqI3fVObBcipLKBLQWJOA</t>
  </si>
  <si>
    <t>UCH8NcCr4ZE3Rn_YSjKvQ7aA</t>
  </si>
  <si>
    <t>UCNY7NCSlocFucxi6QAt2ASA</t>
  </si>
  <si>
    <t>UCC95lStYyTYfvksvOrTJQkw</t>
  </si>
  <si>
    <t>UCaHPlF6yLHbXGI-3ioV7XMw</t>
  </si>
  <si>
    <t>UC8IYtRK5Gakqt5Fo5QYfWJg</t>
  </si>
  <si>
    <t>UCxPmUahOPE970HbxEWrQ6VQ</t>
  </si>
  <si>
    <t>UCcd8dbU6bA4nP9enZgBe67Q</t>
  </si>
  <si>
    <t>UCd6uiGWpnZNKu4FpWcRBRXA</t>
  </si>
  <si>
    <t>UCavUfaWfXVB4wNnD88A1H8g</t>
  </si>
  <si>
    <t>UCq2eoN6OFZ1rAFj-YDpRUKQ</t>
  </si>
  <si>
    <t>UCAf6FjC78v9K7V0mzBFFFfg</t>
  </si>
  <si>
    <t>UCnQ1Acenegkv4owsGnfkz5A</t>
  </si>
  <si>
    <t>UCx6k-_k4sU3i5FdLuLTPKnA</t>
  </si>
  <si>
    <t>UC-PtcWseDzj7rNn2hEZaVFA</t>
  </si>
  <si>
    <t>UCt1IQuev0N_bgTs_ToN-7zw</t>
  </si>
  <si>
    <t>UCSjE0lSlBGOwQAxsbkg66LA</t>
  </si>
  <si>
    <t>UCXpFY0tltWLX5LctzkhILsw</t>
  </si>
  <si>
    <t>UCwUoMmkhZxBAUh7XwIyZuAg</t>
  </si>
  <si>
    <t>UCI7BoLPkH6apL97k50J-Y5w</t>
  </si>
  <si>
    <t>UCjgMPLmajooHkHX18fjLIZw</t>
  </si>
  <si>
    <t>UCK6MI5zP7kCf1pv1_d_nJ7g</t>
  </si>
  <si>
    <t>UCIDy2RwI4OpXpxA7vHefKJg</t>
  </si>
  <si>
    <t>UCzP9bEmqy6rusl5xAIv-xrA</t>
  </si>
  <si>
    <t>UCBDmMIl7xaotZ_ZYgIXys1A</t>
  </si>
  <si>
    <t>UCP9Tu8lLXl-cwVLL1_4kV_g</t>
  </si>
  <si>
    <t>UC3T6vcfVSrtVBPvF5T_xa0w</t>
  </si>
  <si>
    <t>UCSVb_doMhFCuWEB-jKFFBwg</t>
  </si>
  <si>
    <t>UCouml9o85CbzVWdG5kzcueA</t>
  </si>
  <si>
    <t>UCZE8M4UePEf4M89kJqB8Tig</t>
  </si>
  <si>
    <t>UCEqVzBT7SFk-XhatGhDaSqA</t>
  </si>
  <si>
    <t>UCu7voL1-c4P9GneVn9hMNBw</t>
  </si>
  <si>
    <t>UC4esSLpWxO9TjiUbNzUH2DA</t>
  </si>
  <si>
    <t>UCt5zQPu8nXjohE7lmfHc_JQ</t>
  </si>
  <si>
    <t>UCmVL9ei5toadpH-wPtYkllg</t>
  </si>
  <si>
    <t>UCtZODGfQZAGMps0UTzAZ26Q</t>
  </si>
  <si>
    <t>UChT8AEosnNpVqK9F8LEViEg</t>
  </si>
  <si>
    <t>UC69m6Zrv3h2B-v2d9C4PUHQ</t>
  </si>
  <si>
    <t>UCVrxqJMnaZ4DonYjn-TzZtA</t>
  </si>
  <si>
    <t>UCPVMvl2anCY-LedUJBXzqKQ</t>
  </si>
  <si>
    <t>UCZ3KHdE7i632s9TVW19yu0Q</t>
  </si>
  <si>
    <t>UCNlS14JjzEr-TJrW6OGwsMw</t>
  </si>
  <si>
    <t>UC2LW9R5gb-5gidvUTkIIDjQ</t>
  </si>
  <si>
    <t>UCv0eWd61ebucIyWAfoJMtpQ</t>
  </si>
  <si>
    <t>UCSxRMp0eMJXXZQkROuHKjpw</t>
  </si>
  <si>
    <t>UC2Scn57r4CIqOhGvYWMQ8YA</t>
  </si>
  <si>
    <t>UCLne-2Dwcu1Siyrw0ctni1g</t>
  </si>
  <si>
    <t>UCnxa_lKgkn-5bd1GdQnVcbw</t>
  </si>
  <si>
    <t>UCaADxgyKUnUXwuFN2LVwz-Q</t>
  </si>
  <si>
    <t>UC6cp7zrrdqllBO4l0AivscA</t>
  </si>
  <si>
    <t>UCVeDDa6DKTBrhfRip6SI3VA</t>
  </si>
  <si>
    <t>UCtJOHJjvLN2Nr2uSHoQuuAg</t>
  </si>
  <si>
    <t>UCaXkZLtAuNJpRG3qMNC24Sw</t>
  </si>
  <si>
    <t>UCEs5q4l_JeY7j4JZedv-OZQ</t>
  </si>
  <si>
    <t>UCTzjUM-hWvthzBk2XyblLLw</t>
  </si>
  <si>
    <t>UCN3kEN9f6Jas3E5aMl4qfeg</t>
  </si>
  <si>
    <t>UCxyxqitAALrWZmTqCApIPhw</t>
  </si>
  <si>
    <t>UCgQ78yJHT2hWhoXC0LTkX2Q</t>
  </si>
  <si>
    <t>UC6ipN8qRQdpSyusZ9dwJPtQ</t>
  </si>
  <si>
    <t>UC79mZsYW610vkTIaj2ymp5Q</t>
  </si>
  <si>
    <t>UCYIh2GJ_QJCgT3YKcdffX7w</t>
  </si>
  <si>
    <t>UCChw95lIbQohPpvM80n6AMA</t>
  </si>
  <si>
    <t>UC9lNL6houzT0HR68zZBMgDw</t>
  </si>
  <si>
    <t>UCEI7trIa4W-AAQgp3SAEFfw</t>
  </si>
  <si>
    <t>UCeRYmOLLLdJz7pz6szgWK2Q</t>
  </si>
  <si>
    <t>UCGG3bilD8YmeoCOuDGcygmg</t>
  </si>
  <si>
    <t>UCMFY2gZFA1amf55W6YnXDqg</t>
  </si>
  <si>
    <t>UCjIVoouC_1l376MiYeltfQw</t>
  </si>
  <si>
    <t>UC5BX2YGHHJc_AaIPjab0fPw</t>
  </si>
  <si>
    <t>UCeQP0T3KhY8tHQGrOkwZKyQ</t>
  </si>
  <si>
    <t>UCXnUMRufxEaVu9Ojq_nbu_w</t>
  </si>
  <si>
    <t>UCgPZLgMF17m2EMixxpvIauw</t>
  </si>
  <si>
    <t>UCO_Z2uThY5eDomHQYaKnlLg</t>
  </si>
  <si>
    <t>UCqPL7Y2nnJ4MrcdGQkYnwyg</t>
  </si>
  <si>
    <t>UC7vGnWM9TnJrokLW83MDbxw</t>
  </si>
  <si>
    <t>UCQusr7dSvxEQ-eJWGoHfWzw</t>
  </si>
  <si>
    <t>UCqctMP95IF6BnFrmTi59zbg</t>
  </si>
  <si>
    <t>UC3IhQUhOyaUuWDCKyxUwx_g</t>
  </si>
  <si>
    <t>UCGAiQI34dRDqRHWzT563gQQ</t>
  </si>
  <si>
    <t>UCd84Cl8Z8dxhXKRX9ceOhKQ</t>
  </si>
  <si>
    <t>UCrANgyLqYRfPbry0DiDoTxg</t>
  </si>
  <si>
    <t>UCNBo-bOgof5vo_OkK-LHaIg</t>
  </si>
  <si>
    <t>UCX-Url-9n7mDN88jekr09fA</t>
  </si>
  <si>
    <t>UCh0Zo4MPNjxmXXbb814456Q</t>
  </si>
  <si>
    <t>UCgQHGo1Zo4xg1mgIVgGGsvQ</t>
  </si>
  <si>
    <t>UCnpwxRBx5BKt4muZnjrwMog</t>
  </si>
  <si>
    <t>UCtLK8wzFh8TDysoKsS4S03w</t>
  </si>
  <si>
    <t>UC0DPaLHRkOHusocxi3t375Q</t>
  </si>
  <si>
    <t>UCTMSnyHi9he_g_foWYlBS8w</t>
  </si>
  <si>
    <t>UCE42BHkjzuguGo9Gf6qd4dQ</t>
  </si>
  <si>
    <t>UCWTPa1I8h2QS-msuwCf_QQg</t>
  </si>
  <si>
    <t>UC486OHc2Kgjmv9Y1LhK54Cg</t>
  </si>
  <si>
    <t>UCUhhGZUr-PvgZfbJ7hMaTgg</t>
  </si>
  <si>
    <t>UCTi0cWN21BiZ0jYnZcoY8CA</t>
  </si>
  <si>
    <t>UCBrz7-Cy4J_XYdeQ7vZwAsA</t>
  </si>
  <si>
    <t>UCHP36EnSwECF9CJFHHgSSiA</t>
  </si>
  <si>
    <t>UCU1shm6JrEDvuq2yKfuehPw</t>
  </si>
  <si>
    <t>UCyALyIYVo7UmyjIspPi3u3Q</t>
  </si>
  <si>
    <t>UCWuhZOgUIJVM-uxdAzyK_nw</t>
  </si>
  <si>
    <t>UCUiE6wxkLRK00sgNWg6Jkcw</t>
  </si>
  <si>
    <t>UCUH9XHHkBCoPb9bo9b7Sw3A</t>
  </si>
  <si>
    <t>UCOE57eOfeMOOfqwjquRvzkQ</t>
  </si>
  <si>
    <t>UCPoUpe3fNIBPJCRcyvoSPSg</t>
  </si>
  <si>
    <t>UChTy6Fa2ucd7PJkS_PU91pw</t>
  </si>
  <si>
    <t>UCY1gtLRu8FLXAOpOyWfGv7A</t>
  </si>
  <si>
    <t>UCWniJty321S9IogviKluAWA</t>
  </si>
  <si>
    <t>UCeJ_Z2C8nVtM7LEC46GOEXw</t>
  </si>
  <si>
    <t>UCYRjKcjwFNck0alXc6_rJAQ</t>
  </si>
  <si>
    <t>UCZe61xRluV2bNs9axww2Uaw</t>
  </si>
  <si>
    <t>UCZicpsqeD5GAD4LEA8GqkBA</t>
  </si>
  <si>
    <t>UCECg3dUl5Vqyg9pJZqEL80w</t>
  </si>
  <si>
    <t>UCh6j_i-jA_QAK6LetczoBCw</t>
  </si>
  <si>
    <t>UC24YSqxrKE3mENq9qC6uRKQ</t>
  </si>
  <si>
    <t>UCx06jHpdMU5F-nHyqkEJCQw</t>
  </si>
  <si>
    <t>UCqD3A52h1h0jSb3rANFqv1w</t>
  </si>
  <si>
    <t>UCmmcom5caQMTS6Kckp0Jt_w</t>
  </si>
  <si>
    <t>UCwzGlzLIo7UrarduC4C_aZw</t>
  </si>
  <si>
    <t>UCM21IbEfPiy-ntIODvhCSIA</t>
  </si>
  <si>
    <t>UC8PaiC2YsE3rda3ZQUL-gcw</t>
  </si>
  <si>
    <t>UCdvR7iV4G-vnMvu0NI4zWhA</t>
  </si>
  <si>
    <t>UCAVJG0fxaA_kPUINLhmfA-w</t>
  </si>
  <si>
    <t>UC0k06fmk6sT_VHAbedR5VQw</t>
  </si>
  <si>
    <t>UCz7toGDN_Fd4eoM7uumJFYw</t>
  </si>
  <si>
    <t>UC0ZASB-kRxfZJ2JOp3JvK0A</t>
  </si>
  <si>
    <t>UCYoJZQPtv6zVLIrCY__Oy3w</t>
  </si>
  <si>
    <t>UCPmxv3vx1NWwTxkS5MnN1mw</t>
  </si>
  <si>
    <t>UCnVOZByeAVNoZ9qU3mnBggg</t>
  </si>
  <si>
    <t>UCVwXSn1A_C4VjQlFOdiPeSQ</t>
  </si>
  <si>
    <t>UCD46RdLs8Q37Avnc5bm7KUA</t>
  </si>
  <si>
    <t>UC7C1PF4RNOpISxcGFW1eIKg</t>
  </si>
  <si>
    <t>UCwR4ZB_SV2yq14iSslrVsqg</t>
  </si>
  <si>
    <t>UCJeWto0CRaGbkUfySvK4eug</t>
  </si>
  <si>
    <t>UCusLqY2duB79blA0ExlIRNg</t>
  </si>
  <si>
    <t>UClRx6tZ0lKmli1P8Pvs9MFw</t>
  </si>
  <si>
    <t>UCKgs_BNbfmya6BkcdE_oPcw</t>
  </si>
  <si>
    <t>UC9gMY6UUybdpUkoXWEhMabw</t>
  </si>
  <si>
    <t>UCKenFpZWc7jp7yKFT1IRoUw</t>
  </si>
  <si>
    <t>UC5PLpWow_bS6RCSlqi30mFA</t>
  </si>
  <si>
    <t>UCcoHMcDPXGII1cYArRQ3dGg</t>
  </si>
  <si>
    <t>UCMdUzXw4MRp7GyXe38igHkQ</t>
  </si>
  <si>
    <t>UCFgAkK6bDrlZq5JioDeFifw</t>
  </si>
  <si>
    <t>UCXSh0I1rmNQgzbcuBJzQSGw</t>
  </si>
  <si>
    <t>UC_QFn-f-ssY6LU0BXUWv5xw</t>
  </si>
  <si>
    <t>UCtRleeJcrur_SqIt5rABzmA</t>
  </si>
  <si>
    <t>UC9GABISrBWFvUQJsScXcKwQ</t>
  </si>
  <si>
    <t>UCgi8CWGXMt6kuYzhDvw3AVw</t>
  </si>
  <si>
    <t>UC9e7Brrmb4DeG9KMe4bkmww</t>
  </si>
  <si>
    <t>UClV_1ftKEKSAbVvgKKCH2yg</t>
  </si>
  <si>
    <t>UC1wVZz6tDtOev68E5dOaXRA</t>
  </si>
  <si>
    <t>UCwnGWfLRtyU6q5o7RQGLcvg</t>
  </si>
  <si>
    <t>UCDkkELtKMdIt9W207n2gkIQ</t>
  </si>
  <si>
    <t>UCdMLfgflOd8sQbyeYNnzDtw</t>
  </si>
  <si>
    <t>UC85zxiH5BjwQrjawrgMIrtQ</t>
  </si>
  <si>
    <t>UCgHO0kiaS0wESP3plRDYA5w</t>
  </si>
  <si>
    <t>UC4hpGiMQzB0TIoVA3h07xHw</t>
  </si>
  <si>
    <t>UCYNntWoBQNmwamwt2_h6zSQ</t>
  </si>
  <si>
    <t>UCRzCAdoaQeiKD9Nk4mKGMYw</t>
  </si>
  <si>
    <t>UCfIsz6jRLv-VT011JVgbJEw</t>
  </si>
  <si>
    <t>UCf33NQt2P-7FFKhrrNfH1Nw</t>
  </si>
  <si>
    <t>UCFBKvki1427rKbVsgX3CrCQ</t>
  </si>
  <si>
    <t>UC4ibNnkQqtD8nJorr30dMYA</t>
  </si>
  <si>
    <t>UCQVZYXYVW37FV3FiOuzY71g</t>
  </si>
  <si>
    <t>UCNI0qOojpkhsUtaQ4_2NUhQ</t>
  </si>
  <si>
    <t>UCCRzkLPT5honwun_A0zHHzA</t>
  </si>
  <si>
    <t>UCKTBdGmQqBc7YXzJtybyxRA</t>
  </si>
  <si>
    <t>UCKGhgcGVrjsrJXY9wtbG_sA</t>
  </si>
  <si>
    <t>UCDtc6LRPWG6BznONo5-2BrA</t>
  </si>
  <si>
    <t>UCFyVBHOSYAkrzkGhEvbkNEQ</t>
  </si>
  <si>
    <t>UCu_BkaIC_61Sr26JlPp7Q8Q</t>
  </si>
  <si>
    <t>UCO0BNEzxeBuFqIwp4AUoIXw</t>
  </si>
  <si>
    <t>UCTySEEsEqeKxGjkyv8x2Z6g</t>
  </si>
  <si>
    <t>UCBmWKEEMwlDz1i-HHKJCeMQ</t>
  </si>
  <si>
    <t>UCesr7dzVRMQZXDhLYOMemdw</t>
  </si>
  <si>
    <t>UCiksh6zhhprJ_1IrsSVhQkw</t>
  </si>
  <si>
    <t>UCgmhQcKZZmrmT6Iyo-q_TqQ</t>
  </si>
  <si>
    <t>UC8cuBSCHjs5hqSd8oot3oOw</t>
  </si>
  <si>
    <t>UCU9uc1YB8hLQ91tsDw4o_Hg</t>
  </si>
  <si>
    <t>UCLaiDqRG0JKXYvcSmQDVsvQ</t>
  </si>
  <si>
    <t>UCqCznLnYsBtWdjHdjci_gmg</t>
  </si>
  <si>
    <t>UCgGbmVKvLW4Ti8UrONXUYgQ</t>
  </si>
  <si>
    <t>UCxvf6Oqrp2X6Mf-YqcmxYOQ</t>
  </si>
  <si>
    <t>UCWIYAN0rYkeGXZPkqSPP2Hw</t>
  </si>
  <si>
    <t>UC0cd_aC-zIv-T6X4Q1uMyBg</t>
  </si>
  <si>
    <t>UCiYgq1Tu6IlmyMhGX5sbT6Q</t>
  </si>
  <si>
    <t>UCujfuuCQE7pcm1sqYsXv87g</t>
  </si>
  <si>
    <t>UCARuxXgPYc9hNVFTn5GiaKg</t>
  </si>
  <si>
    <t>UCrvqxV3SwriXq9ktQe71N8g</t>
  </si>
  <si>
    <t>UCxFOzDYX1QkGBYhE4wkV-aA</t>
  </si>
  <si>
    <t>UCfj9WRnlzba_26zFp5eVjUw</t>
  </si>
  <si>
    <t>UCCoUV9TjLC98KijS45QgfTw</t>
  </si>
  <si>
    <t>UCt4EWW8xBw16DEXh2PsKJCg</t>
  </si>
  <si>
    <t>UCMAjL0o21SEiBRDgTedgXmw</t>
  </si>
  <si>
    <t>UCtd3wRenfaDiQ3U5zyBkcFg</t>
  </si>
  <si>
    <t>UCtdg3sbCGTOLdiGBuFJXmDA</t>
  </si>
  <si>
    <t>UCPKnvbtQzhFGp2-XLqNTGTw</t>
  </si>
  <si>
    <t>UCu5bxEeqk0-PKsOcTNPM91w</t>
  </si>
  <si>
    <t>UCABmc2URl-4aM3f3xoV_cKA</t>
  </si>
  <si>
    <t>UChNsjqOlxib_QEjdOrvFoKQ</t>
  </si>
  <si>
    <t>UCUFw03RsMPzf-FYc8Ro3jLw</t>
  </si>
  <si>
    <t>UCoi61Fuq1yLvee1oxpBgpZQ</t>
  </si>
  <si>
    <t>UCcBW5wEyhL7tw8Xgb3VJozw</t>
  </si>
  <si>
    <t>UCGLUqQCF5lu-Wt-QHpby0uw</t>
  </si>
  <si>
    <t>UCNi6O1MZiQuNEHm1Dxl0ZsQ</t>
  </si>
  <si>
    <t>UC52PwLmabCcTtfozOucTlhg</t>
  </si>
  <si>
    <t>UC2dc3LQHoOgR83z5i2hFMgA</t>
  </si>
  <si>
    <t>UCUKexRyXS2HSuQvLAhp42Tw</t>
  </si>
  <si>
    <t>UC60nwKcOgEyf80YUuCLLdJQ</t>
  </si>
  <si>
    <t>UCGtoANzUVfayDBzkfHamfpw</t>
  </si>
  <si>
    <t>UCfmVMwdFkCFdmflzgwXtOCg</t>
  </si>
  <si>
    <t>UCOLKv4Q4IiYXK3q_0K76qlA</t>
  </si>
  <si>
    <t>UCvi6nnSst0EXfRUa7ABdRNg</t>
  </si>
  <si>
    <t>UCw2Q_WsvOnhMcBQ4qWtl5iA</t>
  </si>
  <si>
    <t>UC1KoxDzK1bD1Jry2R87oOpg</t>
  </si>
  <si>
    <t>UC85CHtE35ZdwXAmQWUbeMTQ</t>
  </si>
  <si>
    <t>UCS0sR5VZi4XH6lTASBzAEVA</t>
  </si>
  <si>
    <t>UCCuzh05wf-gk9iAFFSe7n-A</t>
  </si>
  <si>
    <t>UCHVYjdjDomgr-b-IKIwgMOQ</t>
  </si>
  <si>
    <t>UCZOEY-B9NCIiCzv2-3UoLcQ</t>
  </si>
  <si>
    <t>UCsHFIY1wJaSdx7y-yS-fQQg</t>
  </si>
  <si>
    <t>UC2MXgtSiyIQqSB8OpqVEfkQ</t>
  </si>
  <si>
    <t>UCRYpWX1y1pgRq1EFqKz-HDA</t>
  </si>
  <si>
    <t>UCwe--ARnPExOnY_Vp2L_7wQ</t>
  </si>
  <si>
    <t>UC2XCZCn1_IKgmCS0pBoRiqQ</t>
  </si>
  <si>
    <t>UCPlu0BIOe0bLj6FHhmNTfmg</t>
  </si>
  <si>
    <t>UCIXfPkm15RnXl0xsXHUCwUA</t>
  </si>
  <si>
    <t>UC0x0VgqRbjvhrXwv9Rok8Ug</t>
  </si>
  <si>
    <t>UC3An_2PVJi6_m53_Vy9CXQg</t>
  </si>
  <si>
    <t>UC1RjMuYdlHLhY5W1g-VxiIw</t>
  </si>
  <si>
    <t>UChBdqGo4sPZ6AFTlwKNcZtQ</t>
  </si>
  <si>
    <t>UCDdn22Yp255BtuMhXUI4Z8g</t>
  </si>
  <si>
    <t>UCn5WjdukLtDvVWFuGt60utA</t>
  </si>
  <si>
    <t>UCeny1kXHNej3GZK8_7Kph6g</t>
  </si>
  <si>
    <t>UCY_f8CubB1vYpCO0uinoshg</t>
  </si>
  <si>
    <t>UChTneikb8bEyKX42QLXaC6w</t>
  </si>
  <si>
    <t>UCDDw7eSJd7dzdCN553OKRNg</t>
  </si>
  <si>
    <t>UCxpMnjRpAeeBDm7U_Xnz5oQ</t>
  </si>
  <si>
    <t>UCj-WYwt4bJi553Z7gxmVkdg</t>
  </si>
  <si>
    <t>UC6lD2NFMaWFc0hNmkkrWCbw</t>
  </si>
  <si>
    <t>UCP_xYiAKfXb29oobdthFl5g</t>
  </si>
  <si>
    <t>UCARWkLSLOR-GQryrSWnDCrw</t>
  </si>
  <si>
    <t>UCV-irmO6xulXU7e2GS2WuHQ</t>
  </si>
  <si>
    <t>UCQHtvGiBmW4XIe-21DWpCkw</t>
  </si>
  <si>
    <t>UCJOKlAVIaKm625Qa1D3apdg</t>
  </si>
  <si>
    <t>UCcN_x86Rnu0epComA-hiO8w</t>
  </si>
  <si>
    <t>UCCRjdC3KoZxwvOGRyuqUHNA</t>
  </si>
  <si>
    <t>UCiKBcZH5WpqkNragUeGjbsw</t>
  </si>
  <si>
    <t>UCiZbT9iTYwv7qXCe91DBZyg</t>
  </si>
  <si>
    <t>UC4hEZySpsjWnQ8w_e7MXPCQ</t>
  </si>
  <si>
    <t>UClPbFK_pUry7uOztIDXTzFA</t>
  </si>
  <si>
    <t>UCmPPPh4m4vMf0NrkaK5xAhg</t>
  </si>
  <si>
    <t>UCKyt0UeInvKMc7fjxiaWXUw</t>
  </si>
  <si>
    <t>UCMPWTMZirc5o6tTUlxlUX_w</t>
  </si>
  <si>
    <t>UCW81PJj55yOXCVzFUNjJW8Q</t>
  </si>
  <si>
    <t>UClYDXUzNPVKFub4eNdO1HhA</t>
  </si>
  <si>
    <t>UCD3uSyJlev8CTgz8QCiXbmQ</t>
  </si>
  <si>
    <t>UCjT5bapFUBrqwzyo9Q2SoKw</t>
  </si>
  <si>
    <t>UCeBRQP-I5Xo7j92Lq4ItRlg</t>
  </si>
  <si>
    <t>UCTnWh-9ays8w2Wu7OaXZ8UA</t>
  </si>
  <si>
    <t>UCx_-HOt8ALx3s0XSRgnXh5w</t>
  </si>
  <si>
    <t>UCA9InjazaazxiJNPisbVvZQ</t>
  </si>
  <si>
    <t>UCwdUB2kln_cAWXRgsRLrhxA</t>
  </si>
  <si>
    <t>UCPLxI8dQXDdc1vD7toIIS0A</t>
  </si>
  <si>
    <t>UCuB3gfOt-6D-hJVnJTbGcWA</t>
  </si>
  <si>
    <t>UClp-lFkd6u56G7P1DoIU2Wg</t>
  </si>
  <si>
    <t>UCpN1ODs7Ah-GPGiqE9JK0sw</t>
  </si>
  <si>
    <t>UCIB0Xmyn-AUtGloBCErYsFg</t>
  </si>
  <si>
    <t>UCbqN9YkySTk_SOinIUNcZAQ</t>
  </si>
  <si>
    <t>UCcewikxALDMFVa3W8YiBYdA</t>
  </si>
  <si>
    <t>UC81ONGO9ynWpnw9Kked6J4g</t>
  </si>
  <si>
    <t>UCopPTN-b2HEpzV6BfJglhBA</t>
  </si>
  <si>
    <t>UCRNFmXcZWkmNOoTjge3218A</t>
  </si>
  <si>
    <t>UCHNTL_rs7KpyNuc--HEWbGQ</t>
  </si>
  <si>
    <t>UC5GBqVmamEQBr0e56QptREQ</t>
  </si>
  <si>
    <t>UCo8-cXP4fBBLJUSQlFJd9_A</t>
  </si>
  <si>
    <t>UCOIMFZRrN5QDLTqFH8A3Wsg</t>
  </si>
  <si>
    <t>UC0ZpNEw9Cx3J6We5RIuxQrA</t>
  </si>
  <si>
    <t>UCJ4YODtnuwNfSyuY2hVQ1Kw</t>
  </si>
  <si>
    <t>UCP5dBTmSDsXKqvBhaEJhwfA</t>
  </si>
  <si>
    <t>UCKgIdW_1XgMso83-cHlZm-g</t>
  </si>
  <si>
    <t>UCoLxR3-lIvkT0o_EyUyVrVA</t>
  </si>
  <si>
    <t>UC3p7EbHpBX43Lx2qVYnUmEw</t>
  </si>
  <si>
    <t>UCHMv7i1bz30bwqGCoDAZyOg</t>
  </si>
  <si>
    <t>UCdUdNa5IbE-Q2ku0amPTCbA</t>
  </si>
  <si>
    <t>UChn54Xq5Lr909DLXv4y4ZyA</t>
  </si>
  <si>
    <t>UCIqT5KawM9ZUu3JZUeRbr0Q</t>
  </si>
  <si>
    <t>UC8uJo5_SeMHvB72mrabjubQ</t>
  </si>
  <si>
    <t>UCSVoZFz4FzzH3WxcHbZrzeA</t>
  </si>
  <si>
    <t>UCYZRVN4zLhqzJpFxsLHaAeQ</t>
  </si>
  <si>
    <t>UCe_QLscmHat77-Vl19j0Akw</t>
  </si>
  <si>
    <t>UCoTE9F03OIojYFApga5ggQw</t>
  </si>
  <si>
    <t>UCeQplv21MqmvpEZq9Mv-E9g</t>
  </si>
  <si>
    <t>UCgZrbsNIexeGSyRmhwvBARg</t>
  </si>
  <si>
    <t>UCwSSNToeVx1_ac4jBlPTWwQ</t>
  </si>
  <si>
    <t>UCgTh333t5yJRofx8hP9QR3A</t>
  </si>
  <si>
    <t>UCrqwO1yeDZDpEqizQl9r2cg</t>
  </si>
  <si>
    <t>UCUBRxdxwjr5pYLZN_PaiMww</t>
  </si>
  <si>
    <t>UC2t9eb-bNhX1LaHNYLOsoIQ</t>
  </si>
  <si>
    <t>UC09s08TXNwU5I67hfkraccA</t>
  </si>
  <si>
    <t>UCmzopuKkj876cDVcXP8aJYQ</t>
  </si>
  <si>
    <t>UCYqbNADZ0w0faeBfWbph0Cw</t>
  </si>
  <si>
    <t>UCfmWVk8_0BkOXYRK2VU0Bkw</t>
  </si>
  <si>
    <t>UCKjNRS6dalpCuazYZBSp3eg</t>
  </si>
  <si>
    <t>UCYxc3jUaC_advAw2utm_-KQ</t>
  </si>
  <si>
    <t>UChANq4tvKdU1QdScYMd40Yg</t>
  </si>
  <si>
    <t>UC-b5bld7GfVrvnXlfEJq43w</t>
  </si>
  <si>
    <t>UC6-sshOU8XVke5x-hcBeiAg</t>
  </si>
  <si>
    <t>UCg3vNLph88TBkW0azZeDCrg</t>
  </si>
  <si>
    <t>UCoCaIO-DdddRTRYNZdtFkEw</t>
  </si>
  <si>
    <t>UCRfK4-iCXd6kUqe63s6TlhA</t>
  </si>
  <si>
    <t>UCRbpHc-o1zXXfeqMbQXeV3w</t>
  </si>
  <si>
    <t>UCw2zFkGgV9x7h56OWzIhsQw</t>
  </si>
  <si>
    <t>UCO2xUZoK5RDyNukqo6gxuYw</t>
  </si>
  <si>
    <t>UCDCiRw1N5YI3MvkPzOMM0iA</t>
  </si>
  <si>
    <t>UCWbtHCdm7dHwaxI3apWk0tQ</t>
  </si>
  <si>
    <t>UCKcoMTqxz7Qj8WdRIF6r7iA</t>
  </si>
  <si>
    <t>UCLbwznb7IXELp0YxtULXpMQ</t>
  </si>
  <si>
    <t>UCqbTtfu9tQTvXsYsSfFFhzw</t>
  </si>
  <si>
    <t>UCIlsvXr6slgsp3xfEfzB8gg</t>
  </si>
  <si>
    <t>UCjIiEH0pLLOD70rgztI7-tw</t>
  </si>
  <si>
    <t>UCy5alV9seV9cbMwIhrSghaQ</t>
  </si>
  <si>
    <t>UC8CF8mRiWUxpq8P7YawQMgg</t>
  </si>
  <si>
    <t>UCqX177w_PiXGgkfXfnW4wtw</t>
  </si>
  <si>
    <t>UCwiD2VBz53qs5CzkKaYLVuw</t>
  </si>
  <si>
    <t>UC29ufL-6rZlQq74mCGo4qCA</t>
  </si>
  <si>
    <t>UCc-G6FYQXHiTE0f7-ZkFV5Q</t>
  </si>
  <si>
    <t>UCdh0Do1iYOiMKV-grkbjcjQ</t>
  </si>
  <si>
    <t>UCq_cL6-MVd7lmoT8GcqkGew</t>
  </si>
  <si>
    <t>UCOl9T2briN9rXOhHtA-2UVQ</t>
  </si>
  <si>
    <t>UCUWn49F_co-2qUwxo0pnCgA</t>
  </si>
  <si>
    <t>UCbItBcjAoT3zq55mgQk64zA</t>
  </si>
  <si>
    <t>UCQR2UEbaLONB77tVFAQd-BQ</t>
  </si>
  <si>
    <t>UC2gpqDFhqNpiziVdgQVlGpg</t>
  </si>
  <si>
    <t>UCSAiw_lOoornMF7bgO9qozg</t>
  </si>
  <si>
    <t>UCLEIkFjlJXhXU8hu-JUp0Kg</t>
  </si>
  <si>
    <t>UCq45QdoE7QppeSdeeds4DYQ</t>
  </si>
  <si>
    <t>UCTrJv01LlzVcp2oUcOwkb4Q</t>
  </si>
  <si>
    <t>UCqYI3lmZgTsRs202mY15QfA</t>
  </si>
  <si>
    <t>UCs4aCS-UjgJdhFfnqmLjigg</t>
  </si>
  <si>
    <t>UCq-kuTyqK2aMMhi4QYa2gYA</t>
  </si>
  <si>
    <t>UCW73fJdVVUhT29oChWWXe3w</t>
  </si>
  <si>
    <t>UCT7yXmzt1s7mrvcg1OJVBRQ</t>
  </si>
  <si>
    <t>UClMjhzaO86ynNplMrRfoB4Q</t>
  </si>
  <si>
    <t>UCrUXf4iY0j_IQGpFPsTQa1Q</t>
  </si>
  <si>
    <t>UCgM23NLmNQQP4rdr0z9OV6w</t>
  </si>
  <si>
    <t>UCqXLQYDIEN1NdwqGDImJ5jA</t>
  </si>
  <si>
    <t>UCwbTK9LMWW5Hu683te9YcRQ</t>
  </si>
  <si>
    <t>UCE8wRMsUR3Q2lj3izQ-yN6A</t>
  </si>
  <si>
    <t>UCAl9DhRv3T6VbQFhMy4ZfjA</t>
  </si>
  <si>
    <t>UCqaNnkbltkl2EZ2q-f90l_w</t>
  </si>
  <si>
    <t>UCe4kPsTw5pTJC4Y1NmnxQRg</t>
  </si>
  <si>
    <t>UC0LCq_OqhMElPUSFvxbp_WQ</t>
  </si>
  <si>
    <t>UCgFqD3On_ANmpXNY5EOG2HA</t>
  </si>
  <si>
    <t>UCOpDvOhCc0NB81DNvZeVQNg</t>
  </si>
  <si>
    <t>UCwrvFEDIvasD8EesYt-_VlA</t>
  </si>
  <si>
    <t>UC4JGtkkIk0ZUCg_EDa_A5og</t>
  </si>
  <si>
    <t>UCQuMHlEhwyQy55RLe_ZX2ww</t>
  </si>
  <si>
    <t>UCJXrvYl_yi07f2WQ4bBi61A</t>
  </si>
  <si>
    <t>UC4xnqWp5r7wANtgDOImNqFg</t>
  </si>
  <si>
    <t>UCighPl8K04wQmKEb0gHzF_A</t>
  </si>
  <si>
    <t>UCL4i-tUH7Ca38WGkmYLrQVg</t>
  </si>
  <si>
    <t>UCewUFNurytMD6cFODfVOxnA</t>
  </si>
  <si>
    <t>UC2PnpVR_3pzZe9_P0ZB_WuA</t>
  </si>
  <si>
    <t>UCkHQo0-FAGmJeyDPa-USHLg</t>
  </si>
  <si>
    <t>UCXTGE9rvyG5ui7C1eQ59Ouw</t>
  </si>
  <si>
    <t>UCNRvBUJ3tvLXgcFg9-wpVag</t>
  </si>
  <si>
    <t>UCqXJmx8_6S9eUmRbvFc9GAA</t>
  </si>
  <si>
    <t>UC3RbSovcnvfRVt5fqj4rr-Q</t>
  </si>
  <si>
    <t>UCI6RmXqnjjOBp5-8ghsBJFw</t>
  </si>
  <si>
    <t>UC8yH-uI81UUtEMDsowQyx1g</t>
  </si>
  <si>
    <t>UC67ByJZceqEg7ZdPJHpNMVA</t>
  </si>
  <si>
    <t>UCcjLqsXt8IZJ9tgdC417Jog</t>
  </si>
  <si>
    <t>UCNKCltKyRNk_ojLGPYcHQhQ</t>
  </si>
  <si>
    <t>UC1gWGhsNOQWLmz6yxaxjg9w</t>
  </si>
  <si>
    <t>UCLBBTXyFkcZf-pYdsD1yuJg</t>
  </si>
  <si>
    <t>UCqDUQ46mjsmQ_q-3qCiz2Kw</t>
  </si>
  <si>
    <t>UC1xRO5b_pOmY1lMSKUCNpQA</t>
  </si>
  <si>
    <t>UCgU61elVyVxGxkkji2CC48w</t>
  </si>
  <si>
    <t>UCjOfdA1KzgHwW4zsFMZmALw</t>
  </si>
  <si>
    <t>UCcndhjlrsFV4Yr29aBFo9Uw</t>
  </si>
  <si>
    <t>UCRZy7IXMuEE1OEeTLkvmlfw</t>
  </si>
  <si>
    <t>UCDtqUmBIjQWbe9rpnyOQ_Gg</t>
  </si>
  <si>
    <t>UCEBLRxDfnpw6KYChcCy5uVA</t>
  </si>
  <si>
    <t>UCEqFPaBdYvPflg9x0ahKARw</t>
  </si>
  <si>
    <t>UC6uXQpDkNbPa9bHV8P0PPRA</t>
  </si>
  <si>
    <t>UCwBtuBSQJvCyBghKP84irzg</t>
  </si>
  <si>
    <t>UCsba91UGiQLFOb5DN3Z_AdQ</t>
  </si>
  <si>
    <t>UCIilJVJpNJ1Wl_nMajXdXqA</t>
  </si>
  <si>
    <t>UCxXrlyseexGXxmP73jScvFQ</t>
  </si>
  <si>
    <t>UCH5BZoWAlkqtDje0mDgPwrg</t>
  </si>
  <si>
    <t>UCJUkxCgf2-A8bTRuKiUXFag</t>
  </si>
  <si>
    <t>UCS3zgpGpu_U4oU4Lsdz1IUg</t>
  </si>
  <si>
    <t>UCqPuEe1SgLWoCukMWSrzFOA</t>
  </si>
  <si>
    <t>UCwlTNogRVdJjrj9AHoZG3Mg</t>
  </si>
  <si>
    <t>UCj8XF379pUvcEMXF3CbdXkw</t>
  </si>
  <si>
    <t>UC19sWaqXdxrjnCRXKy4mg-Q</t>
  </si>
  <si>
    <t>UCMmYeNobfU1erL5KunJ0OfQ</t>
  </si>
  <si>
    <t>UCblXTng8t8ELWi2_bvR0VnA</t>
  </si>
  <si>
    <t>UCfuVPsdveNmN7ZotWZXLnVQ</t>
  </si>
  <si>
    <t>UC-Vsu2Rq8-B4Us_LD6XsTrw</t>
  </si>
  <si>
    <t>UCf4pZc-iceY4rRW_FIH1Unw</t>
  </si>
  <si>
    <t>UCORptN_cZjib1yvvXJb0qDQ</t>
  </si>
  <si>
    <t>UCH_Mw514yZ1p-1goGHzqPAg</t>
  </si>
  <si>
    <t>UC3_WGzeTLyiVjTdOCrDzBgg</t>
  </si>
  <si>
    <t>UCb3poqstXx4qdaw2w_5tBQw</t>
  </si>
  <si>
    <t>UCHhpxmEbI_QzJiynEHx7-ZQ</t>
  </si>
  <si>
    <t>UC4LoMsTr6vDlSGu65YhHubw</t>
  </si>
  <si>
    <t>UCNs2K7uGB5PcQGz6SlAJ7-Q</t>
  </si>
  <si>
    <t>UCuttF8lm2JC0qq6_aZZI59A</t>
  </si>
  <si>
    <t>UCXrbNDfwznFm4ApkcYyezAQ</t>
  </si>
  <si>
    <t>UCmws-L08D4Co5vRL_QM6VAg</t>
  </si>
  <si>
    <t>UC_5s0ngEVGxtq--kCxbcD_A</t>
  </si>
  <si>
    <t>UCz7f9p6fRxm1dD1m1ofk7QA</t>
  </si>
  <si>
    <t>UC55LZaO-y5DR0dkWTPS68HA</t>
  </si>
  <si>
    <t>UCcJNNuCzeeQkpUEZjM9auFg</t>
  </si>
  <si>
    <t>UCJFgt0We8TKrh-UbX6TdiVg</t>
  </si>
  <si>
    <t>UCkOeSfUzVPPLkxKWy33qO9g</t>
  </si>
  <si>
    <t>UCW269Xw8c4JZkTdDugBxoJg</t>
  </si>
  <si>
    <t>UCNkNOakUpGFOUms0NIlR6VQ</t>
  </si>
  <si>
    <t>UCYiClT59wh9GGFNw8RF5ecw</t>
  </si>
  <si>
    <t>UCPbQogybo9ugVqDevZ511hg</t>
  </si>
  <si>
    <t>UCY6wQpAem-Z4zFuwPo1b5vg</t>
  </si>
  <si>
    <t>UCoLbgssVprBoJA1lmVLEpNA</t>
  </si>
  <si>
    <t>UCB796-WE4aiExY6p0EF3NFw</t>
  </si>
  <si>
    <t>UCY0T82sEeQozvvRBtRkD6fg</t>
  </si>
  <si>
    <t>UCQmyB1SAI2rFv-i7kdaijMg</t>
  </si>
  <si>
    <t>UCTfJq_rmj9phsNSTFPL-nkg</t>
  </si>
  <si>
    <t>UC2gNisJ2w254FHuhu4lsotw</t>
  </si>
  <si>
    <t>UCjyHcHHhrXRrmB6ptm6SnQQ</t>
  </si>
  <si>
    <t>UC4phk1sxsyJbY9b6r9Iozlw</t>
  </si>
  <si>
    <t>UC9KQXBknPBNA0G2dBq9cifQ</t>
  </si>
  <si>
    <t>UCTazwZmE-00MCGpQTM9MArQ</t>
  </si>
  <si>
    <t>UC01_NCDSP2rlqMkwIlL3bvQ</t>
  </si>
  <si>
    <t>UCn94vXUA805IrbJf_SP8wjA</t>
  </si>
  <si>
    <t>UCjsW7CFzRn0rQypCxqYrqww</t>
  </si>
  <si>
    <t>UCs7r9iITqOE-yqbplMDKmDQ</t>
  </si>
  <si>
    <t>UCi8pRq28t2H3voNrKVG5oww</t>
  </si>
  <si>
    <t>UCwKfz2aXwgrHCqVI8q5tDdg</t>
  </si>
  <si>
    <t>UC5ycpbWKBpjx5hCNjQeOaTA</t>
  </si>
  <si>
    <t>UCbKNT--FSDrlqH6YGyBPxQw</t>
  </si>
  <si>
    <t>UCpYO4Z7HCHEQYBc9rgWK1Nw</t>
  </si>
  <si>
    <t>UCh7lqi3R_UmYsHQnqlOCAEQ</t>
  </si>
  <si>
    <t>UCh3yf5uoARWEvYyCVLY51RQ</t>
  </si>
  <si>
    <t>UCdSbBJ3CNwZUy3pCA0PJpdA</t>
  </si>
  <si>
    <t>UCQZNFK8ncUO0DogKo5rxhEQ</t>
  </si>
  <si>
    <t>UCFj24ZYPMKVe7HzrTHeFO1w</t>
  </si>
  <si>
    <t>UCZr2delx9ViejpExHtH-bsg</t>
  </si>
  <si>
    <t>UCpxyF835h0owQBODKyblEZg</t>
  </si>
  <si>
    <t>UCoeVqZ8vEtP-zulwW0cPozA</t>
  </si>
  <si>
    <t>UCq2KGwWgjEdkhrVX8Or0nUA</t>
  </si>
  <si>
    <t>UCU7a7E1vVVarstk6QbGuZew</t>
  </si>
  <si>
    <t>UCsQZw5xNPYzlK6-Wgocxa2Q</t>
  </si>
  <si>
    <t>UC8GtSV9GhYff3M5XGJ54aXw</t>
  </si>
  <si>
    <t>UCPFy5FBbF6w5gBuLt7yDuoQ</t>
  </si>
  <si>
    <t>UC_VTIa2BmuHAn0-hWEFNkjQ</t>
  </si>
  <si>
    <t>UCtqI5iwQxmxR04uUCRtCiQg</t>
  </si>
  <si>
    <t>UC9ghtevKnFxOoUAHiuQxdnA</t>
  </si>
  <si>
    <t>UCGfAOkG4QkX8yUYKgU8eAPw</t>
  </si>
  <si>
    <t>UCTREXhmvJISUYsbtrWRN40w</t>
  </si>
  <si>
    <t>UCknLrEdhRCp1aegoMqRaCZg</t>
  </si>
  <si>
    <t>UCwO1KyxLlTQ1JDBoi78ek6w</t>
  </si>
  <si>
    <t>UCnB99F-prcrtxiX9PrYHQ3w</t>
  </si>
  <si>
    <t>UC6L5K_fcAcj6wsunXj0wLPg</t>
  </si>
  <si>
    <t>UC1SzkJRHwqp4uAtcnGmCAwQ</t>
  </si>
  <si>
    <t>UCeZGMiCc3WoU9xYLq6yWxNA</t>
  </si>
  <si>
    <t>UC2B7Dr18DkozSwsNg0sNZJg</t>
  </si>
  <si>
    <t>UCqkdDIaK41sFacTy9x0aNAQ</t>
  </si>
  <si>
    <t>UC43XbxjX7RZZ_gK9Vt8Z8FA</t>
  </si>
  <si>
    <t>UCPLKy4Ypb4mfblbjJI8Aljw</t>
  </si>
  <si>
    <t>UCMDX6W0aC7y0n-v6cLiTDxQ</t>
  </si>
  <si>
    <t>UCqXINvmzjxJ9yCyhtqP4SDQ</t>
  </si>
  <si>
    <t>UCMdbxhTrvc48jOCVJyThL2A</t>
  </si>
  <si>
    <t>UCiqaENFNWjqWJxV0XcGt1Pw</t>
  </si>
  <si>
    <t>UCocUu8iWasfmkgkUzDKJUcA</t>
  </si>
  <si>
    <t>UCWg-RBRh6C1HCJHhkiaKj5Q</t>
  </si>
  <si>
    <t>128, 128, 128</t>
  </si>
  <si>
    <t>Red</t>
  </si>
  <si>
    <t>Commented Video</t>
  </si>
  <si>
    <t>Posted Video</t>
  </si>
  <si>
    <t>NCDs are of Public Health concern</t>
  </si>
  <si>
    <t>Good information</t>
  </si>
  <si>
    <t>Great content.  It&amp;#39;s very educative</t>
  </si>
  <si>
    <t>Mitt…the reason healthcare costs are so high is NOT because the government is involved. It’s because the insurance industry and big pharmacy have purchased nearly all of our politicians, who refuse to crack down on the corporate greed in our for-profit healthcare system. Just sayin. _xD83D__xDE44_ Medicare for all will start managing the cost of healthcare in our country.</t>
  </si>
  <si>
    <t>I’m glad this was put up, and thank you again Sen Sanders. Now I can see how completely idiotic and bought some of the other senators are.</t>
  </si>
  <si>
    <t>You should have been President twice. If you run in next election, I will do my best to help you!</t>
  </si>
  <si>
    <t>@49&lt;br&gt;@&lt;a href="https://www.youtube.com/watch?v=Q-YZD2u1mO8&amp;amp;t=49m00s"&gt;49:00&lt;/a&gt; ff, it is concerning to me from a systems engineering and educational consultant’s perspective that after  three years of COVID-19  PANDEMIC politicization of a public  health crisis, for the politicians to demand rapid changes seems cruel.</t>
  </si>
  <si>
    <t>We don&amp;#39;t have enough because they are UNDERPAID! It&amp;#39;s not rocket science. Keep talking Bernie and getting nothing done!</t>
  </si>
  <si>
    <t>They should STOP firing people who refused the vax, that might help.</t>
  </si>
  <si>
    <t>To Democrats it is a simple and obvious fact is that a healthy and well-educated population is the best way for a country to compete, succeed and excel. The republican party relies on the opposite.</t>
  </si>
  <si>
    <t>Has this liar Cassidy ever met a nursing student in his entire life? These people are constantly in education. Lying snake.</t>
  </si>
  <si>
    <t>I&amp;#39;d love to vote for Bernie in 2024 but if Biden runs, the DNC won&amp;#39;t allow him.</t>
  </si>
  <si>
    <t>He just keeps doing the good WORK, he plows into a body that doesn&amp;#39;t agree with him and does his absolute best every time, what an amazing human being!</t>
  </si>
  <si>
    <t>People want to goto school but cannot get aid because of their past.</t>
  </si>
  <si>
    <t>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t>
  </si>
  <si>
    <t>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t>
  </si>
  <si>
    <t>At one time Senator Grassley was aware of what is really going on with psychiatry and psychiatric drugs for some unknow reasons he backed off. He could have done something about the problems.</t>
  </si>
  <si>
    <t>Paul is a waste of brain cells</t>
  </si>
  <si>
    <t>Ty Bernie you are beloved to many just know it _xD83D__xDC4F__xD83C__xDFFB_</t>
  </si>
  <si>
    <t>Bill Cassidy is a joke.</t>
  </si>
  <si>
    <t>The man is doing Gods work looking out for the poor, working poor &amp;amp; the middle class.</t>
  </si>
  <si>
    <t>You go Sander! make it known how dysfunctional to our health system and lack of health care and crisis we facing shortage health professional nurse and doctor in America.From Dr Hebert will said!</t>
  </si>
  <si>
    <t>&amp;quot;Get vaxxed or lose your job.&amp;quot; Probably not a good idea.</t>
  </si>
  <si>
    <t>Thank you Bernie ❤️❤️</t>
  </si>
  <si>
    <t>Thanks bernie!</t>
  </si>
  <si>
    <t>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t>
  </si>
  <si>
    <t>Thank You.Mr.Bernie Sanders.Thank You ❤️❤️❤️❤️❤️❤️❤️❤️❤️❤️❤️❤️❤️❤️❤️❤️❤️❤️</t>
  </si>
  <si>
    <t>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t>
  </si>
  <si>
    <t>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t>
  </si>
  <si>
    <t>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t>
  </si>
  <si>
    <t>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t>
  </si>
  <si>
    <t>Bernie is obsolete - retire.</t>
  </si>
  <si>
    <t>What a bunch of psychopaths. They want to focus on D.I.E. in an emergency shortage and bring in more special interests. This let&amp;#39;s everyone know this is not a serious group of people addressing an emergency.</t>
  </si>
  <si>
    <t>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t>
  </si>
  <si>
    <t>And older adults issue</t>
  </si>
  <si>
    <t>By the way crowdsource the analysis of anonymized health data. Use unadulterated and independent open source AI to aid analysis, diagnosis, note taking/sharing to patients more data which will get us closer to real cures and therapies.</t>
  </si>
  <si>
    <t>How do you think this country might&amp;#39;ve benefitted if Senator Sanders - not actually subverted twice by the DNC - had been the President in place of both DJT and JRB?</t>
  </si>
  <si>
    <t>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t>
  </si>
  <si>
    <t>_xD83E__xDD32__xD83D__xDE4F_Yes this COVID more people need too order the government test and also no that COVID do not have any color ethnicity religion culture way of lifestyles. COVID is A plaque we need to monitor I never thought _xD83D__xDCAD__xD83E__xDD14__xD83E__xDD13__xD83E__xDDE0__xD83C__xDF4E_ I would say but with so many coming into the country. We need too make sure people have their traveling shot&amp;#39;s and for our mercy ships and doctors among border&amp;#39;s they travel all around the world _xD83C__xDF0E__xD83C__xDF0D_. This is why we have A shortage most of them are private doctor&amp;#39;s by appointment only they are not clinics those are good for emergency and the er are too filled.</t>
  </si>
  <si>
    <t>Check the profits in health care.  The fraud in healthcare.  Pharma profits.</t>
  </si>
  <si>
    <t>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t>
  </si>
  <si>
    <t>Bernie ♥️ GOAT x</t>
  </si>
  <si>
    <t>Most nurses I&amp;#39;ve met have been aholes.</t>
  </si>
  <si>
    <t>Thank Bernie!  You’re the real hero the Americans need.  Thank you for maintaining the battle for all justices and equality since you were a kid, almost your entire life!  Thank you for your burning.  You’re the live if the working people.</t>
  </si>
  <si>
    <t>I voted for him. Instead we got Brandon. So sad how we went down and will continue. Ppl wanted $15 an hour which lead to all this inflation. Greed led to inflation</t>
  </si>
  <si>
    <t>USA IS 3RD WORLD WITHOUT MEDICARE 4ALL RIGHT NOW.</t>
  </si>
  <si>
    <t>There are people who want to be doctors but there aren’t enough places for them to be in medical schools. We don’t have enough teaching hospitals.</t>
  </si>
  <si>
    <t>Shocking that senator Braun can&amp;#39;t get people to show up for work. I wouldn&amp;#39;t work for him, either. He&amp;#39;s a jerk.</t>
  </si>
  <si>
    <t>BERNIE SANDERS 2024‼️‼️‼️</t>
  </si>
  <si>
    <t>_xD83E__xDD71__xD83E__xDD71__xD83E__xDD71_ can someone please pass the fent</t>
  </si>
  <si>
    <t>Thank you Aunt Ann! Love You!!</t>
  </si>
  <si>
    <t>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t>
  </si>
  <si>
    <t>Hear him please</t>
  </si>
  <si>
    <t>Just another ploy to take your money...and take control....got to get these democrats out of office....United States going down hill fast...and until they are out ...blame yourself for this country going down hill....democrats policies are heinous to say the least!</t>
  </si>
  <si>
    <t>I had brain surgery and a PICC line during the shutdown. I had nurses, therapists, and aides at my house every day. They were amazing and helped me stay alive.</t>
  </si>
  <si>
    <t>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t>
  </si>
  <si>
    <t>Thank you to the doctor from Arkansas, excellent testimony and solutions offered.</t>
  </si>
  <si>
    <t>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t>
  </si>
  <si>
    <t>I’ve been with you since the beginning. And I appreciate all you and yours do. It’s the 15th and I have 18$ on my card. I need a cheap vacuum cleaner. Question; do you think we are going too get a stimulus check anytime soon? Thanks Matt and family!</t>
  </si>
  <si>
    <t>Boy I love Krusty Barney. This is a man that&amp;#39;s not on Medicare or Social Security. But he&amp;#39;s been in Congress long enough to Rob both of those trust funds. Along with many Republicans. 2034 guys 25 to 30% pay cut in your benefits because of these clowns</t>
  </si>
  <si>
    <t>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t>
  </si>
  <si>
    <t>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t>
  </si>
  <si>
    <t>These liberals who can’t answer basic questions are cowards</t>
  </si>
  <si>
    <t>I&amp;#39;m voting for THE ONE AND ONLY&lt;br&gt;BERNIE SANDERS.</t>
  </si>
  <si>
    <t>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t>
  </si>
  <si>
    <t>The only and I should say major problem with Sanders&amp;#39; example and views is that there live not enough men and women in Congress and the Institute like him.</t>
  </si>
  <si>
    <t>Never rape my seals.</t>
  </si>
  <si>
    <t>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t>
  </si>
  <si>
    <t>❤️❤️❤️❤️❤️❤️❤️_xD83D__xDCAF__xD83D__xDCAF__xD83D__xDCAF__xD83D__xDCAF__xD83D__xDCAF__xD83D__xDC4D__xD83D__xDC4D__xD83D__xDC4D__xD83D__xDC4D__xD83D__xDCAA__xD83D__xDCAA__xD83D__xDCAA__xD83D__xDCAA__xD83D__xDCAA__xD83D__xDCAA_</t>
  </si>
  <si>
    <t>Good list just not clear in what country 3 colleges are located</t>
  </si>
  <si>
    <t>Was really expecting to see Sefako Makgatho Health &amp;amp; Science University_xD83C__xDF93_ located in Pretoria_xD83C__xDDFF__xD83C__xDDE6_</t>
  </si>
  <si>
    <t>This the news I love to hear about.</t>
  </si>
  <si>
    <t>UKZN is not on the list_xD83E__xDD28_fascinating</t>
  </si>
  <si>
    <t>I still cannot believe UKZN South Africa could not be added on the list but anyway we have more even</t>
  </si>
  <si>
    <t>Love it  _xD83D__xDE01__xD83D__xDC4D__xD83D__xDCAF__xD83D__xDD25__xD83E__xDD14__xD83C__xDF0D_</t>
  </si>
  <si>
    <t>Ghana the warrior King _xD83D__xDC51_ is always on the move.</t>
  </si>
  <si>
    <t>When we talk about medical schools I agree with u, but makerere shd be in top 5. Thank u for sharing</t>
  </si>
  <si>
    <t>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t>
  </si>
  <si>
    <t>NORTHWEST UNIVERSITY HAS NO MEDICAL SCHOOL</t>
  </si>
  <si>
    <t>There&amp;#39;s a newly built university of medicine in Nigeria it&amp;#39;s the best of it kind in Nigeria probably in Africa as well it&amp;#39;s located in Ebonyi state eastern part of Nigeria</t>
  </si>
  <si>
    <t>How is UKZN not on this list_xD83D__xDE2E_</t>
  </si>
  <si>
    <t>It is time for Africa to speak for itself. The US and EU can call themselves High and mighty only if we let them. But if we stick together, there is nothing that we cannot do for ourselves. Firstly, we do not share common enemies with the US or Europe.&lt;br&gt;&lt;br&gt;Russia and China ARE NOT Africa&amp;#39;s enemies. The war in Ukraine is a US/NATO problem. Why did they think Russia will allow nukes into Ukraine next to their border? They were warned multiple times, but their ego and arrogance know no limit. &lt;br&gt;&lt;br&gt;African students trying to leave Ukraine during the war were prevented from leaving and discriminated against. Why should I have sympathy for Ukraine? sorry, but I don&amp;#39;t</t>
  </si>
  <si>
    <t>Dis is all lies.nirthwest doesn&amp;#39;t offer an mbchb curriculum. UKZN is in da top 3...Am a 6th yr medicine student at wits.</t>
  </si>
  <si>
    <t>Who compiled this list. The list is as good or as bad as the compiler.</t>
  </si>
  <si>
    <t>The fact that the University of Ghana, which isn&amp;#39;t even the best Medical school in Ghana is at 10 but Kwame Nkrumah University of Science and Technology (KNUST), WHICH IS THE BEST medical school in Ghana isn&amp;#39;t in the list, makes this list FALSE</t>
  </si>
  <si>
    <t>4 of the top ten universities in Africa are from my country, South Africa</t>
  </si>
  <si>
    <t>_xD83C__xDDFF__xD83C__xDDE6_ Dominate</t>
  </si>
  <si>
    <t>SA_xD83D__xDE0D__xD83D__xDE0D__xD83D__xDE0D_</t>
  </si>
  <si>
    <t>The best medical innovations in the WORLD were done in South African universities . The first heart transplant and the development of antiretroviral drugs for the AIDS pandemic</t>
  </si>
  <si>
    <t>It&amp;#39;s a corrupt and emotional ranking list.</t>
  </si>
  <si>
    <t>Please we didn’t see the Kwame Nkrumah university of science and technology Ghana _xD83C__xDDEC__xD83C__xDDED_ one of the best medical schools in Africa</t>
  </si>
  <si>
    <t>On medical universities makerere shud be on top,,in east Africa t leads followed by Tanzania</t>
  </si>
  <si>
    <t>North West University has no medical school. Who researches this _xD83D__xDE11__xD83D__xDE11__xD83D__xDE11__xD83D__xDE11__xD83D__xDC80__xD83D__xDC80__xD83D__xDC80_</t>
  </si>
  <si>
    <t>Even Walter Sisulu University is very good when it comes to Medicine ...I&amp;#39;m suprised North west University is in the list whereas it has noo medical school</t>
  </si>
  <si>
    <t>North West University has no medical school, they are still thinking of adding Medicine</t>
  </si>
  <si>
    <t>fake information, NWU doesn&amp;#39;t provide medicine, South African Universities that provide medicine as &amp;quot;WSU, UKZN, UFS. UCT, UP, University of Lipompo, Stellenboch University&amp;#39; and WITS&amp;quot; WSU and UKZ is one of the best medical schools</t>
  </si>
  <si>
    <t>This ranking is bogus... As far as I know, North-West University does not have a medical school.</t>
  </si>
  <si>
    <t>This is falsehood</t>
  </si>
  <si>
    <t>As a South African I can confidently say that North West University doesn’t even have a medical school_xD83D__xDC40_</t>
  </si>
  <si>
    <t>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t>
  </si>
  <si>
    <t>Please check your facts before going on air. What is this? There are 10 medical schools in SA and NWU is not one of them</t>
  </si>
  <si>
    <t>Nonsense!!!</t>
  </si>
  <si>
    <t>Where is ukzn?</t>
  </si>
  <si>
    <t>Where do you guys get your facts from why university of Ghana and not Kwame nkrumah university of science and technology</t>
  </si>
  <si>
    <t>I am not sure what criteria are being used here and I find it a lot more misleading.  North West University does not have a medical school and should not be included in this list.</t>
  </si>
  <si>
    <t>University of KwaZulu-Natal (UKZN School Of Medison)</t>
  </si>
  <si>
    <t>nonsense</t>
  </si>
  <si>
    <t>The title of this video is misleading. It says medical universities, but it included North West University in #9. NWU does not have a medical school, or are you referring to Nursing degree?</t>
  </si>
  <si>
    <t>Where&amp;#39;s the University of Nairobi</t>
  </si>
  <si>
    <t>You need to do more research before posting. Some of these institutions don&amp;#39;t even have medical schools. You also left out some of the best medical schools in Africa such as UKZN</t>
  </si>
  <si>
    <t>I study in NWU and I can confirm there&amp;#39;s no medical school here. Wonder where you get your information</t>
  </si>
  <si>
    <t>University of KwaZulu Natal didn’t make the list?_xD83D__xDE2E_</t>
  </si>
  <si>
    <t>I appreciate your content but I&amp;#39;m struggling to understand how come University of KwaZulu-Natal (UKZN) is not in the list? In fact, it should be number one.</t>
  </si>
  <si>
    <t>The fact that The University of Nairobi is not here makes this entire list false!!!</t>
  </si>
  <si>
    <t>Just for youtube money. Nothing true.</t>
  </si>
  <si>
    <t>A very serious omission not to have a university from Kenya.</t>
  </si>
  <si>
    <t>UNISA and NWU are not medical schools</t>
  </si>
  <si>
    <t>Unisa a medical university? Really?</t>
  </si>
  <si>
    <t>These is a joke.... North west university....?</t>
  </si>
  <si>
    <t>Do you watch Jim Nduruchi</t>
  </si>
  <si>
    <t>North-West University has medicine since when?</t>
  </si>
  <si>
    <t>No that is nat right, one of the top university is Ethiopia,Addis Abeba Black lion university . _xD83D__xDC4F__xD83D__xDC4F__xD83D__xDC4F__xD83D__xDC4F__xD83D__xDC4F_</t>
  </si>
  <si>
    <t>Can you make another video of best African universities basing on the latest Times Higher educatiin (THE)? &lt;br&gt;My country&amp;#39;s University (MUHAS) which is a pure medical university ranked high list which is interesting and very deserving</t>
  </si>
  <si>
    <t>_xD83D__xDE02__xD83D__xDE02__xD83D__xDE02_ Where are your facts.. All these lies_xD83D__xDE02__xD83D__xDE02__xD83D__xDE02__xD83D__xDE02_</t>
  </si>
  <si>
    <t>it&amp;#39;s like confusion because the best university in Africa is not included which is university of nairobi may this video is for advertising universities in south Africa</t>
  </si>
  <si>
    <t>Medunsa !!!!!!!!!!?</t>
  </si>
  <si>
    <t>Lies lies lies lies_xD83D__xDE0F__xD83D__xDE0F__xD83D__xDE0F_</t>
  </si>
  <si>
    <t>Your ranking is very subjective I only trust ranking from credible sources such as QS Rankings</t>
  </si>
  <si>
    <t>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t>
  </si>
  <si>
    <t>Hello. I passed outside WITS Health Sciences faculty this morning while jogging. See  Johannesburg-Parktown. _xD83E__xDD38__xD83E__xDD38__xD83D__xDD25__xD83D__xDD25__xD83D__xDE01__xD83D__xDE04__xD83E__xDD23__xD83D__xDE02__xD83D__xDC96__xD83D__xDC96__xD83D__xDC96_</t>
  </si>
  <si>
    <t>Why do you want to lower cholesterol….you need more not less….</t>
  </si>
  <si>
    <t>Ahh vo cado</t>
  </si>
  <si>
    <t>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t>
  </si>
  <si>
    <t>Good advice, excellent just wondering why did you exclude wine ? The myth wine is good for heart ? Please elaborate lmao</t>
  </si>
  <si>
    <t>I eat 12whole eggs per day for it being cheap source of protein. Is it too many, that I will have cholesterol?</t>
  </si>
  <si>
    <t>Be careful kidney beans _xD83E__xDED8_.     Always as well wash them real real good .    Don’t eat to much beans .   Mm.</t>
  </si>
  <si>
    <t>Many of which are keto foods :)</t>
  </si>
  <si>
    <t>You need cholesterol to live.</t>
  </si>
  <si>
    <t>Great tips love it❤</t>
  </si>
  <si>
    <t>What about the egg?</t>
  </si>
  <si>
    <t>Yep, I eat most of these on a daily basis!</t>
  </si>
  <si>
    <t>The carnivoreMD has entered the chat...</t>
  </si>
  <si>
    <t>THANK YOU DRS. FOR ALL YOUR EXCELLENT ADVICE.</t>
  </si>
  <si>
    <t>❤❤</t>
  </si>
  <si>
    <t>What about pussy is it safety pussy?</t>
  </si>
  <si>
    <t>I’m startin to like you guys?!…. _xD83E__xDD14_- just kidding!! Love you and thank you for just doing a super service to help- simple super help ,( with lightheartedness ! Thanks guys!</t>
  </si>
  <si>
    <t>Thank you ❤️❤️_xD83D__xDE4F__xD83C__xDFFB_</t>
  </si>
  <si>
    <t>You forgot to finish the bean song.</t>
  </si>
  <si>
    <t>But if someone also has kidney infection?</t>
  </si>
  <si>
    <t>I eat blue berry almost everyday also I use in my salad avocado eat nuts but I still have high cholesterol?</t>
  </si>
  <si>
    <t>Bullshit</t>
  </si>
  <si>
    <t>GBOMBS:  greens, beans, onions, mushrooms, berries, seeds (nuts)!</t>
  </si>
  <si>
    <t>lower cholesterol is the dumbest concept. go do that, and see your brain shrivel into putty and your hormones go way out of whack. &lt;br&gt;these are the same doctors who blindly believe any peer reviewed study while telling you to get vaxd</t>
  </si>
  <si>
    <t>why do we need to lower cholesterol? Most of them are generated from the body and we need it to heal the inflammation?</t>
  </si>
  <si>
    <t>I would rather die than eat kale. The rest i have no problemo with.</t>
  </si>
  <si>
    <t>How does fiber lower cholesterol, the mechanism please.</t>
  </si>
  <si>
    <t>my whole life, i was thinking brazil nuts &amp;amp; peanut are bad for reducing your cholesterol.</t>
  </si>
  <si>
    <t>Title should be “How to exchange your statins for glucophage.” Stick to the OR doctors and stop making your listeners fat.</t>
  </si>
  <si>
    <t>Misleading</t>
  </si>
  <si>
    <t>Hummmm....I am gonna stick with beef and lamb, I am afraid.</t>
  </si>
  <si>
    <t>Raw garlic is super food to reduce cholesterol combined with a balanced diet and everyday exercise of 1 hour. Combine with drinking only warm water. Ten days and it&amp;#39;s all good. Tried and tested.</t>
  </si>
  <si>
    <t>Straight n simple _xD83D__xDC4D__xD83C__xDFFF_</t>
  </si>
  <si>
    <t>Grapes…too high in sugar</t>
  </si>
  <si>
    <t>Psyllium husk give you leaky gut.&lt;br&gt;Dark chocolate is high in lead.&lt;br&gt;Why lower cholesterol if you have a good ratio of ldl to hdl and triglycerides.&lt;br&gt;Thus is old school thinking that is making America fat!!</t>
  </si>
  <si>
    <t>Just because you wear scrubs doesn’t mean you know what you’re talking about.</t>
  </si>
  <si>
    <t>Meat</t>
  </si>
  <si>
    <t>Thank you for the education!!!_xD83C__xDF89__xD83C__xDF89__xD83C__xDF89__xD83C__xDF89_</t>
  </si>
  <si>
    <t>Lemon helps in lowering cholesterol</t>
  </si>
  <si>
    <t>Sardines? _xD83D__xDE09_☺️_xD83D__xDE09__xD83D__xDE0F__xD83D__xDE0F_</t>
  </si>
  <si>
    <t>Is cholesterol really that bad?</t>
  </si>
  <si>
    <t>I was so hoping fried chicken would be mentioned.</t>
  </si>
  <si>
    <t>Said avocados the wrong way and cholesterol doesn’t matter.</t>
  </si>
  <si>
    <t>Simplistic. Just keep off transfats and refined sugar and you&amp;#39;ll be fine.</t>
  </si>
  <si>
    <t>I&amp;#39;ve heard that peanut oil is bad. No?</t>
  </si>
  <si>
    <t>Chia seeds don&amp;#39;t work unless they are broken down not whole</t>
  </si>
  <si>
    <t>বা</t>
  </si>
  <si>
    <t>Thank you _xD83D__xDC4D_♥️</t>
  </si>
  <si>
    <t>And for losing your INR lol (if you take warfarin avoid kale and other leafy veggies)</t>
  </si>
  <si>
    <t>Idiots at the best saying green and leafy vegetables don&amp;#39;t lower your cholesterol.</t>
  </si>
  <si>
    <t>No fish for me.Everything else❤</t>
  </si>
  <si>
    <t>Ya. Beans raise your sugar beans beans. Loads of carbs</t>
  </si>
  <si>
    <t>Good quality eggs cheese and red meat</t>
  </si>
  <si>
    <t>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t>
  </si>
  <si>
    <t>How to lower triglycerides?</t>
  </si>
  <si>
    <t>I just had my lipid. Ldl at 203. Hdl at 39. Triglycerides at 75.  I been eating clean like really clean.. whts going on docccc</t>
  </si>
  <si>
    <t>exercise lowers cholesterol</t>
  </si>
  <si>
    <t>Thank you docs❤</t>
  </si>
  <si>
    <t>Excellent excellent!  All foods that I enjoy</t>
  </si>
  <si>
    <t>I tried all these, it only works with a strict diet, 180 LDL down to 120, then 120 went back up to 140 without strict diet</t>
  </si>
  <si>
    <t>Avacado very good to reduce your bank balance _xD83D__xDE02_</t>
  </si>
  <si>
    <t>Steak</t>
  </si>
  <si>
    <t>Cool</t>
  </si>
  <si>
    <t>Can you please tell me about sugar patient female age around 35 to 40_xD83D__xDE22_</t>
  </si>
  <si>
    <t>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href="https://youtu.be/oTccIyHjxVU"&gt;https://youtu.be/oTccIyHjxVU&lt;/a&gt;</t>
  </si>
  <si>
    <t>Straight from big food and pharma handbook _xD83D__xDE02_.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t>
  </si>
  <si>
    <t>MD&amp;#39;s dont know whats healthy. They promote pharma and are in the sick care business, not health care.</t>
  </si>
  <si>
    <t>The psyllium husk by yerba prima that&amp;#39;s all I take.... Steel-cut oatmeal with strawberries blueberries blackberries once a day... That&amp;#39;s it. &lt;br&gt;&lt;br&gt;Easy peaay</t>
  </si>
  <si>
    <t>That you used the word superfood makes me suspicious</t>
  </si>
  <si>
    <t>what avocado hass or no hass.</t>
  </si>
  <si>
    <t>Is canned wild caught salmon also good? It is difficult to find fresh salmon here.</t>
  </si>
  <si>
    <t>High blood pressure is BAD ASS it makes me feel like a hydraulic press whenever I move and nothin and I mean nothing is manlier than a hydraulic press!</t>
  </si>
  <si>
    <t>DARK CHOCOLATE, &lt;br&gt;GREEN LEAFY VEGETABLE,&lt;br&gt;BEANS- CHICKPEAS, LENTILS&lt;br&gt; NUTS, &lt;br&gt;GRAPES, BLUE BERRIES&lt;br&gt;SILIUM HUSK,&lt;br&gt; FISH, OATS &amp;amp; BARLEY&lt;br&gt;&lt;br&gt;no thanks.</t>
  </si>
  <si>
    <t>They forgot to mention deeznuts</t>
  </si>
  <si>
    <t>I want to add , if you ever take statins - it&amp;#39;s kind of a lifelong thing , you should continue it..</t>
  </si>
  <si>
    <t>I ate this way for 2.5 years...never changed my cholesterol.  It is not true for all people.  40mg/day Crestor and I&amp;#39;m in the midrange</t>
  </si>
  <si>
    <t>Love you guys, you are the greatest.</t>
  </si>
  <si>
    <t>Thank you&lt;br&gt;Very clear presentation_xD83D__xDE0A__xD83D__xDC4D_</t>
  </si>
  <si>
    <t>_xD83C__xDF89__xD83C__xDF89_I admire you, finally DRS talking what is right ❤</t>
  </si>
  <si>
    <t>Too Low cholesterol is more dangerous than high cholesterol</t>
  </si>
  <si>
    <t>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t>
  </si>
  <si>
    <t>Questions : Should I take Butter or margarine to reduce cholesterol?</t>
  </si>
  <si>
    <t>Since you mention almonds, will almond milk do the same?</t>
  </si>
  <si>
    <t>I dont eat leafs and seeds</t>
  </si>
  <si>
    <t>Great video, very snappy and to the point, no waffling on</t>
  </si>
  <si>
    <t>Hate fish.  _xD83D__xDE02_ every thing else sounds good.</t>
  </si>
  <si>
    <t>Fantastic short informative video ...&lt;br&gt;My level is 207, should i be worried _xD83E__xDD37_‍♀️</t>
  </si>
  <si>
    <t>All foods that cause IBS except Fish _xD83D__xDE02_</t>
  </si>
  <si>
    <t>My mum lowered hers by switching to soy milk. Hers is a genetic one, shes super skinny like 36 or 37kg and her levels are through the roof. Shes a very healthy eater, gluten free, sugar free.</t>
  </si>
  <si>
    <t>Ewwwww green leafy vegetables!!! How gross they have cooties. That&amp;#39;s what you sound like when you preface it the way you did</t>
  </si>
  <si>
    <t>Are chia seeds safe to eat every day? i heard seeds can put u at risk for diverticulitis as we get older</t>
  </si>
  <si>
    <t>_xD83D__xDC4D__xD83D__xDC4D_</t>
  </si>
  <si>
    <t>Here&amp;#39;s the list:&lt;br&gt;Brazil Nuts&lt;br&gt;Almonds&lt;br&gt;Beans&lt;br&gt;Chickpeas &lt;br&gt;Lentils&lt;br&gt;Avocado&lt;br&gt;Dark Chocolate&lt;br&gt;Kale&lt;br&gt;Spinach&lt;br&gt;Fresh Fish&lt;br&gt;Oats&lt;br&gt;Barley&lt;br&gt;Grapes&lt;br&gt;Psyllium Husk &lt;br&gt;Chia Seeds</t>
  </si>
  <si>
    <t>Which LDL particle do these foods lower small dense or large buoyant LDL particle?</t>
  </si>
  <si>
    <t>Raw broccoli _xD83E__xDD66_ and Hope brand Hummus made with EVOO.  ❤</t>
  </si>
  <si>
    <t>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t>
  </si>
  <si>
    <t>Beans beans good for your heart the more u eat the more u fart_xD83D__xDE02_</t>
  </si>
  <si>
    <t>You dont need to lower cholesterol.  Thats a myth and they know it.&lt;br&gt;Cholesterol supports your brain , hormones your sex hormones.  Ill pass on it</t>
  </si>
  <si>
    <t>Berberine</t>
  </si>
  <si>
    <t>Better watch the entire thing and don&amp;#39;t jump to conclusions. _xD83D__xDE05_</t>
  </si>
  <si>
    <t>Correction, for part 3: condoms can decrease your risk of contracting herpes. However, even while wearing a condom you can still get genital herpes.</t>
  </si>
  <si>
    <t>Penis inner thigh lol</t>
  </si>
  <si>
    <t>I have them at my back im scared lol</t>
  </si>
  <si>
    <t>Hw bout bumbs in viginal how to remove it?</t>
  </si>
  <si>
    <t>This is worldwide pandamic disease  Thank yoa for Advic</t>
  </si>
  <si>
    <t>When he said “penis” _xD83D__xDC41_️_xD83D__xDC44__xD83D__xDC41_️</t>
  </si>
  <si>
    <t>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_xD83D__xDE22_</t>
  </si>
  <si>
    <t>Very good _xD83D__xDC4D_ ❤</t>
  </si>
  <si>
    <t>Damage control</t>
  </si>
  <si>
    <t>Sounds good</t>
  </si>
  <si>
    <t>Keep it up Africa!</t>
  </si>
  <si>
    <t>Well this is all good although according to IPCC projections the continent will be nearly uninhabitable in a couple of decades</t>
  </si>
  <si>
    <t>&amp;quot;The meek shall inherit the earth&amp;quot;.&lt;br&gt;Somebody said that one time.</t>
  </si>
  <si>
    <t>Thank God for this innovative talented African doctor _xD83D__xDC4F__xD83C__xDFFE__xD83D__xDC4F__xD83C__xDFFE__xD83D__xDC4F__xD83C__xDFFE__xD83D__xDC4F__xD83C__xDFFE_</t>
  </si>
  <si>
    <t>The Wests life expectacy has gone down and excess deaths are up 15%.</t>
  </si>
  <si>
    <t>Finally some positive news, good work Africa!</t>
  </si>
  <si>
    <t>56 is terrible, guys.</t>
  </si>
  <si>
    <t>That&amp;#39;s a pity...</t>
  </si>
  <si>
    <t>Thats still too low!</t>
  </si>
  <si>
    <t>Glory to God on the Highest for the breakthrough in Africa _xD83C__xDF0D_ _xD83D__xDE4F_ _xD83D__xDD4A_⚘.</t>
  </si>
  <si>
    <t>In some countries, this is true.  Africa is a Continent of Countries.  You would provide a better service by reporting on those where issues are improving, but also bringing attention to the countries that are not.  Life expectancies elsewhere are reported by Country, not by Continent.</t>
  </si>
  <si>
    <t>Amen n Amen.. Thank u Lord Jesus for answered my prayer for Africa. GOD BLESS AFRICA ✝️_xD83D__xDC51_♥️♥️♥️</t>
  </si>
  <si>
    <t>Only 56!!!!!!! &lt;br&gt;How is this good news?</t>
  </si>
  <si>
    <t>So children die bloated a bit later? Noice</t>
  </si>
  <si>
    <t>That gynecologist looking nice</t>
  </si>
  <si>
    <t>Africa shall &lt;b&gt;RISE AGAIN&lt;/b&gt;&lt;br&gt;Never give up, Africans _xD83D__xDE4F_</t>
  </si>
  <si>
    <t>Great now Africans can stay in their homeland</t>
  </si>
  <si>
    <t>An increase in life expectancy in developing countries &lt;br&gt;is partly due to Innovations in technology.</t>
  </si>
  <si>
    <t>&amp;quot;Dramatic increase&amp;quot; seriously! That&amp;#39;s a very disturbing choice of wording but again coming from a german tv channel I&amp;#39;m not surprised.</t>
  </si>
  <si>
    <t>Africa has been a troubled continent for ages. Where has human development stagnated if they haven&amp;#39;t learned it to this day?</t>
  </si>
  <si>
    <t>Dr. Tankou _xD83D__xDC4A__xD83C__xDFFF__xD83D__xDC4A__xD83C__xDFFF__xD83D__xDC4A__xD83C__xDFFF__xD83D__xDC4A__xD83C__xDFFF_</t>
  </si>
  <si>
    <t>Lowest vaccination rates</t>
  </si>
  <si>
    <t>We need more Africans especially in Europe!!! Great news!!!</t>
  </si>
  <si>
    <t>Due to this there will be increase in poverty</t>
  </si>
  <si>
    <t>Life expectancy in Africa increases from 46 to 56 and it shows the advancement of technology usage in medical field</t>
  </si>
  <si>
    <t>It&amp;#39;s because of Chinese investments....</t>
  </si>
  <si>
    <t>This is healthy life expectancy which means till what age they can be expected to live healthy lives. This is not the same as total life expectancy which most people are aware of. DW should have emphasized this distinction in their reporting.</t>
  </si>
  <si>
    <t>European government and NATO leaders want world peoplke dead all to Protect Ukrainians live</t>
  </si>
  <si>
    <t>No thanks to their past colonizers.</t>
  </si>
  <si>
    <t>The world needs to liberate Iran woman</t>
  </si>
  <si>
    <t>More mouths to feed.</t>
  </si>
  <si>
    <t>Economic growth is actually good</t>
  </si>
  <si>
    <t>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t>
  </si>
  <si>
    <t>Thank you for presenting some positive news.</t>
  </si>
  <si>
    <t>The earth does not need a long life expectancy of too many africans ... how can this be reversed ?</t>
  </si>
  <si>
    <t>What happens when the population, out grow&amp;#39;s the amount of food the continent can provide for themselves?.</t>
  </si>
  <si>
    <t>EU needs more African work force since their natality is dropping to boost economy</t>
  </si>
  <si>
    <t>Go to Russia .. Siberia needs people.</t>
  </si>
  <si>
    <t>Great news. Life expectancy will certainly increase in countries where all you need to do is eat and screw. White people have to work like slaves just to survive.</t>
  </si>
  <si>
    <t>Africa the place where humanity started but human has done most brutal artichokes here</t>
  </si>
  <si>
    <t>Woww! Blind football team?!&lt;br&gt;That’s interesting.&lt;br&gt;And I believe in neuroplasticity where your other senses get sharper when one sense is gone.</t>
  </si>
  <si>
    <t>Congratulations Africa From America _xD83C__xDDFA__xD83C__xDDF8_ Keep going Strong</t>
  </si>
  <si>
    <t>Thank you india! For helping Africa!</t>
  </si>
  <si>
    <t>Education and birth control are key to reducing poverty and hunger.&lt;br&gt;Having a child that you can not provide for yourself is cruel and irresponsible.</t>
  </si>
  <si>
    <t>This Makes zero sense, sense covid supposedly lowered it everywhere else _xD83E__xDD14__xD83D__xDE12_</t>
  </si>
  <si>
    <t>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t>
  </si>
  <si>
    <t>More good news stories please.</t>
  </si>
  <si>
    <t>We have to help blind people and make for all of them artificial eyes (like bionic eyes or sth similar). This should be a part of our system. It is the worst to lose that sense... _xD83D__xDC94_</t>
  </si>
  <si>
    <t>Wow happy to hear that. May African population blooming after long times of high mortalities.</t>
  </si>
  <si>
    <t>This good news has consequences. Without terrible premature deaths, the population will grow. Where is the extra food, jobs, housing, energy coming from?</t>
  </si>
  <si>
    <t>Now more of them will come</t>
  </si>
  <si>
    <t>Improved life expectancy leads to lower birth rates.  This is the way</t>
  </si>
  <si>
    <t>If they got of religion that might be 80 years old.</t>
  </si>
  <si>
    <t>This is nice!</t>
  </si>
  <si>
    <t>&lt;b&gt;AFRICANS have been knowing this for quite long time, LIFE have changed for the better, (war zones not included) we dont need DW to tell us...&lt;/b&gt;</t>
  </si>
  <si>
    <t>As an African from northern Nigeria, Kano state in particular, I say congratulations to us the Africans. We need to more innovative minds explore the talents Africans have and prove the west wrong of their malicious perspective and negatively acceptance we received</t>
  </si>
  <si>
    <t>Lack of &lt;b&gt;modern&lt;/b&gt; pharmaceuticals like vaccines seems to have had a positive effect!</t>
  </si>
  <si>
    <t>After all the documentaries I’ve watched regarding the beautiful country of Africa, I’m calling bs on this.</t>
  </si>
  <si>
    <t>Most Africans didn&amp;#39;t get the Covid jab.  Good for them.</t>
  </si>
  <si>
    <t>I am happy that Africa&amp;#39;s economy is growing and they are becoming more educated and wealthy. The more prosperously people live, the fewer wars and the better life for all of us.</t>
  </si>
  <si>
    <t>Dw never posts good news about Africa. What happened here ? This is unlike dw..</t>
  </si>
  <si>
    <t>&amp;quot;For God so loved the world, that he gave his only begotten Son, that whosoever believeth in him should not perish, but have everlasting life.&amp;quot; Jesus Christ&lt;br&gt;&lt;br&gt;&lt;br&gt;&lt;br&gt;&lt;br&gt;We plead with you on Christ&amp;#39;s behalf, &amp;quot;Be reconciled to God!&amp;quot;</t>
  </si>
  <si>
    <t>Bad news for global warming.</t>
  </si>
  <si>
    <t>Damn, that&amp;#39;s half a year of lifespan for every year passed. At a full year of lifespan per year passed, Africans will achieve immortality!</t>
  </si>
  <si>
    <t>The title is very racist. Why tf use the word dramatic. This shows how DW is run by some racists too unfortunately. Western mainstream media including DW almost always shows the worst parts in Africa while Africa had many great places aswell. Very racists _xD83E__xDD2E_</t>
  </si>
  <si>
    <t>Not really sure this is a good thing.</t>
  </si>
  <si>
    <t>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t>
  </si>
  <si>
    <t>Less reproduction please. More health and Conciousness_xD83D__xDC4D__xD83C__xDFFB_</t>
  </si>
  <si>
    <t>Innovative  congratulations _xD83C__xDF8A_  and congratulations  to the Doctor  still doing his job despite  the challenges _xD83D__xDC4F_ _xD83D__xDE4C_</t>
  </si>
  <si>
    <t>I hope birth rate declines rapidly too, we have a huge population problem.</t>
  </si>
  <si>
    <t>Liz Truss (British PM) : &amp;quot;We shouldn&amp;#39;t listen to Putin&amp;#39;s sabre rattling and bogus threats, we should continue to support Ukraine&amp;quot;.&lt;br&gt;Why is Macron in a flap over Putin&amp;#39;s threats ?&lt;br&gt;Guizot (1830) : &amp;quot;&amp;quot;In France every storm develops into a deluge, resistance always becomes insurrection and insurrection revolution : every important political conflict is made a question of life and death, people and passions rush at once to the extremes&amp;quot;.&lt;br&gt;Panic and exaggeration come naturally to the French.</t>
  </si>
  <si>
    <t>Excellent stuff. Good to see more hospitals, goods and the infrastructure required (schools, transport networks) being built to support better, faster healthcare in Africa</t>
  </si>
  <si>
    <t>The Africa lions aren&amp;#39;t doing their part to balance the African population...</t>
  </si>
  <si>
    <t>Psyllium husks 1 t mixed in an 8 ounce glass of water and your drink it right down before it gets gelatinous much better  instead of processed all bran</t>
  </si>
  <si>
    <t>When they hurt so much take some butter and put it on it ..pain is gone ..now some medicine off the doctors</t>
  </si>
  <si>
    <t>Witch hazel may help.... But it feels like _xD83D__xDD25__xD83D__xDD25__xD83D__xDD25__xD83D__xDE06_</t>
  </si>
  <si>
    <t>What an informative comedy act you two have. You put a huge smile on my face &amp;amp; also informed me, in a roundabout way, why I don&amp;#39;t have hemorrhoids. Thanks!</t>
  </si>
  <si>
    <t>Thank you for the information for hemorrhoids I have one and I&amp;#39;d love to get rid of it nothing seems to help not even the witch hazel</t>
  </si>
  <si>
    <t>Many many years ago my father took great delight in sending to friends unlucky enough to have had hemorrhoid surgery get well wishes for a “Happy New Rear”! _xD83D__xDE02_</t>
  </si>
  <si>
    <t>There are tons of food with fiber.. you don&amp;#39;t need that cereal or that stupid ass pill they showed</t>
  </si>
  <si>
    <t>And of course....Don&amp;#39;t PUSH!!!</t>
  </si>
  <si>
    <t>They are giving wholeeome advice!!</t>
  </si>
  <si>
    <t>Were witches harmed in the production of witch hazel?  May need a warning label.</t>
  </si>
  <si>
    <t>Jejeje _xD83D__xDE03_</t>
  </si>
  <si>
    <t>Thank you _xD83D__xDE01_</t>
  </si>
  <si>
    <t>Totally forgot about all brand bud ty for the reminder.</t>
  </si>
  <si>
    <t>Why the hell do you want more trucks and busses in your bowel? What you need is a lot more oils and fats. Leave the fiber out altother. Let the food slide out.</t>
  </si>
  <si>
    <t>Go to prison _xD83D__xDE02_</t>
  </si>
  <si>
    <t>Having Dr Igho as my doctor is also a positivity that I don&amp;#39;t really have to bother about any sickness or virus, because your herbal medication of heamorroid  has shown not only me but the world how good your products are and I&amp;#39;ll keep recommending you.</t>
  </si>
  <si>
    <t>Yep! As soon as I did that with fiber and adding more veggies they went away!</t>
  </si>
  <si>
    <t>Fibre doesn&amp;#39;t help.  Eating meat heals.</t>
  </si>
  <si>
    <t>Just try black cummin oil, one teaspoon in the morning and one teaspoon 2-3 hours before bed. Cheers</t>
  </si>
  <si>
    <t>LOL...I can&amp;#39;t with these two. Witch hazel brought back so unwanted memories_xD83D__xDE02_</t>
  </si>
  <si>
    <t>Bull CRAP!? FIBER WILL ABSOLUTELY IRRITATE YOUR COLON AND HEMMAROIDS!!</t>
  </si>
  <si>
    <t>Is this the same way to prevent/heal for the internal ones?</t>
  </si>
  <si>
    <t>Crohn&amp;#39;s disease flare-up is the reason I suffer from them and the blood loss causes anemia, ugh _xD83D__xDE2E_</t>
  </si>
  <si>
    <t>Love ❤️</t>
  </si>
  <si>
    <t>I know you can use is Vicks put on hemorrhoids they go away no lying</t>
  </si>
  <si>
    <t>All bran it is _xD83D__xDE01_</t>
  </si>
  <si>
    <t>I got no real pain just dryness/ itching I feel as if I can just get them to stop being inflamed it’ll go back to normal but idk what to do</t>
  </si>
  <si>
    <t>Hi there, it pains VERY MUCH and bleeds when i poop because of hemmorhoids. Please tell me what to do</t>
  </si>
  <si>
    <t>Having a good doctor like Dr Edos is a big blessings to me cause he take good cear of my health with his herbal medications..</t>
  </si>
  <si>
    <t>you guy are great</t>
  </si>
  <si>
    <t>Eat bran!  What if that doesn&amp;#39;t work?  Then eat MORE bran!  Truth!</t>
  </si>
  <si>
    <t>Good docs, sense of humor and including other remedies before getting to medication or surgery.</t>
  </si>
  <si>
    <t>Bad advice.  For some people, fiber causes constipation leading to strain resulting in hemorrhoids.</t>
  </si>
  <si>
    <t>Best fiber even if it looks like rat _xD83D__xDCA9_.. hehehe</t>
  </si>
  <si>
    <t>Thanks</t>
  </si>
  <si>
    <t>_xD83C__xDF0F__xD83D__xDD8B_️</t>
  </si>
  <si>
    <t>Bet there’s a lot of gas in there.   Great info.  Thank you.</t>
  </si>
  <si>
    <t>Funny</t>
  </si>
  <si>
    <t>Sorry....as a hemmeroid sufferer for over 40 decades none of your remedies work....&lt;br&gt;The only thing thst did was having them strangulated with rubber bands performed by hemmeroid specislists</t>
  </si>
  <si>
    <t>Bran buds ate awesome _xD83D__xDC4C_</t>
  </si>
  <si>
    <t>Thank you so much for this information!!!!!</t>
  </si>
  <si>
    <t>Thanks, I&amp;#39;d like you give advice for kidney disease and what food do we suppose to eat. for kidney stones also.</t>
  </si>
  <si>
    <t>What to do with recurring internal Hemorrhoid? I did rubber banding Mandy times no good results ? What should I do it’s truly a pain in the butt_xD83D__xDE05_</t>
  </si>
  <si>
    <t>Muzhe bohat jayda Jagran aur kamjori ke karan  Piles ki takhalif aur blooding bohat jayda hota tha FIR mayne amezon se pymol+Livcon capsule aur manulax churna  Bohat effective he ye medicine pain aur blooding rukha gya mass pata nhi kb sukhenge&lt;br&gt;•••</t>
  </si>
  <si>
    <t>Love this Doctors. ❤</t>
  </si>
  <si>
    <t>Its really helped mw to stop eating carbs!</t>
  </si>
  <si>
    <t>Well....._xD83E__xDD2D_ I will get some witch hazel!</t>
  </si>
  <si>
    <t>Come-on Docs.....their GMO! Do better.....cure the hemorrhoids....kill the microbiom.</t>
  </si>
  <si>
    <t>Colinsonia root in capsules.  Sure shot relief</t>
  </si>
  <si>
    <t>You guys are entertaining. Not sure if u r real docs. But if u are it mite help me to put some trust back into docs. Didn’t have much in the beginning. Now I really don’t  _xD83D__xDE29_</t>
  </si>
  <si>
    <t>I am going to start a fiber diet. Witchhazel for me is only 5 min temporary relief.  Looks like I&amp;#39;m getting the surgery ouch. I&amp;#39;ve heard that it&amp;#39;s 50 times worse than the Hemorrhoid pain but only for 3 days</t>
  </si>
  <si>
    <t>All Bran buds to help your bum!!  Witch Hazel??  Swine curse!!  Love you guys!!❤_xD83D__xDE02__xD83D__xDE02__xD83D__xDE02__xD83D__xDE02__xD83D__xDE02_</t>
  </si>
  <si>
    <t>Abe khajoor karan johar kaise kyu baay kar raha hai..... R u normal..???</t>
  </si>
  <si>
    <t>Amazingly Dr igho Transformed my life in all Ramification. i really Appreciate you doctor for helping me get cured naturally with your super herbs and putting a pretty smile on my face, God bless you Doc.</t>
  </si>
  <si>
    <t>Testifying about my experience with Dr Igho on YouTube is the Greatest joy i have ever had in a while because, Dr igho Transformed my life in all ramification. Your meds was able to cure my pain and hemorrhoid naturally and putting a pretty smile on my face, God bless you Doc.</t>
  </si>
  <si>
    <t>Professionals feel like they have to be re-tarded to connect with the general public, its sad but necessary. If you laughed at any of the video,  please dont reproduce.</t>
  </si>
  <si>
    <t>Thank you! Been suffering almost every day since like October. And it just so happens I have a bunch of citrus and a bottle of witch hazel.</t>
  </si>
  <si>
    <t>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t>
  </si>
  <si>
    <t>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_xD83D__xDE0A_</t>
  </si>
  <si>
    <t>Thanks for the tips _xD83D__xDC4C__xD83C__xDFFF_</t>
  </si>
  <si>
    <t>Saddle  _xD83D__xDEB4_ sore _xD83D__xDE48_</t>
  </si>
  <si>
    <t>What about internal hemorrhoids or fissures?</t>
  </si>
  <si>
    <t>I used a small castor oil pack in my bum overnight- and I’m telling you!!! GONE!!!</t>
  </si>
  <si>
    <t>Flax seed meal in protein shake.</t>
  </si>
  <si>
    <t>Gracias</t>
  </si>
  <si>
    <t>Thank you for the satire.  And not making me feel this is as serious as I thought.  I feel A lot better! _xD83C__xDF89_   Still seeing my physician.  Appreciate it</t>
  </si>
  <si>
    <t>next video aabout gynecomastia</t>
  </si>
  <si>
    <t>Granola or musli are my fibre of choice because not only is it delicious but I mean it&amp;#39;s fibre and you gotta get it somewhere right so you might as well make it enjoyable</t>
  </si>
  <si>
    <t>I followed this advice and completely cured my hemorrhoids! Thank you so much! I suffered for years, thank you thank you and God bless!</t>
  </si>
  <si>
    <t>DAFLON</t>
  </si>
  <si>
    <t>What about the anus being split open in two places looking like very deep and long cuts that bleed every now and then and get ripped open more by going to the toilet</t>
  </si>
  <si>
    <t>Drink water!!!!!</t>
  </si>
  <si>
    <t>cereal is crap, you need to take a nutritian class.</t>
  </si>
  <si>
    <t>How do you get rid of varicocele with out surgery</t>
  </si>
  <si>
    <t>... with more water.</t>
  </si>
  <si>
    <t>How does my phone know I needed this. _xD83D__xDE02_</t>
  </si>
  <si>
    <t>Metamucil is the best</t>
  </si>
  <si>
    <t>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t>
  </si>
  <si>
    <t>Why do some doctors say fiber is not good if you suffer from constipation?</t>
  </si>
  <si>
    <t>Increase water not fiber&lt;br&gt;Fiber can make it worst&lt;br&gt;More fiber more poo more pain</t>
  </si>
  <si>
    <t>Does taking calcium dobesilate monohydrate shrink external hemmaroid?</t>
  </si>
  <si>
    <t>Mine Is Inside The Anus Around 2-3 Inches Deep</t>
  </si>
  <si>
    <t>Ty so much dr❤❤❤</t>
  </si>
  <si>
    <t>Wash you butt hole with water and soap get a bidet...</t>
  </si>
  <si>
    <t>wrong. does t work. cut out carbs and sugar. you never see a lion with herorids</t>
  </si>
  <si>
    <t>DO PARASITES .!!</t>
  </si>
  <si>
    <t>I&amp;#39;m getting @n@l everyday but I never had hemorrhoids before because I just naturally eat vegetables. Eat your vegetables folks!</t>
  </si>
  <si>
    <t>Thank Dr Madida for the herbs you sent me for my human papilomavirus_xD83E__xDDA0_... It really worked and cured me.</t>
  </si>
  <si>
    <t>Preparation H makes your disgusting hemorrhoids disappear.  (I heard it from a friend.)</t>
  </si>
  <si>
    <t>The video I didn’t know I needed - thank you guys !</t>
  </si>
  <si>
    <t>I&amp;#39;d just shit it out</t>
  </si>
  <si>
    <t>Bro stop making me laugh my but hurts every time I laugh or cough Fr _xD83D__xDE2D__xD83E__xDD23__xD83E__xDD23__xD83E__xDD23_</t>
  </si>
  <si>
    <t>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t>
  </si>
  <si>
    <t>Horse chestnut Supplement _xD83D__xDC4D_</t>
  </si>
  <si>
    <t>Simple method &lt;br&gt;Do not hold …….</t>
  </si>
  <si>
    <t>My chronic hemorrhoids were gone permanently within 6 days of using the pure and natural herbal medicine from Dr Eromon on YouTube.  Dr Eromon saved my ass</t>
  </si>
  <si>
    <t>Go to your doctor and get your iron studies done. Thank me later!!!</t>
  </si>
  <si>
    <t>Very informative lecture Dr.</t>
  </si>
  <si>
    <t>Its always very interesting to study about financial management, such a delicate balance. thank you for such a good lecture Dr. Khaled.</t>
  </si>
  <si>
    <t>Great video!</t>
  </si>
  <si>
    <t>And yet too date,  Department of Health, has not admitted foreign qualified doctors?!</t>
  </si>
  <si>
    <t>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_xD83D__xDCAF_</t>
  </si>
  <si>
    <t>Keep voting ANC and EFF... the doctors will run away</t>
  </si>
  <si>
    <t>Dont worry Fake doctors  are on  the way</t>
  </si>
  <si>
    <t>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t>
  </si>
  <si>
    <t>And yet they say doctors from other countries are &amp;quot;takingvtheir jobs&amp;quot;. _xD83D__xDE22_ This shallow mondset must stop because SA is not and cannot be an island.</t>
  </si>
  <si>
    <t>Why did the gvt refuses  employ foreign doctors</t>
  </si>
  <si>
    <t>There are so many unemployed doctors in the country, department of health says there’s no money to employ them. As a result, most doctors are hassling in private and in the mines.</t>
  </si>
  <si>
    <t>The anc is like the devil They came to Destroy To Steal and to Kill!!!</t>
  </si>
  <si>
    <t>I wonder why!!!</t>
  </si>
  <si>
    <t>Yes it&amp;#39;s going to get worse.</t>
  </si>
  <si>
    <t>then they say foreigners are taking their jobs</t>
  </si>
  <si>
    <t>Foreign trained doctors and even some of local trained are sitting at home unemployed.</t>
  </si>
  <si>
    <t>...majority of S.African Drs work abroad &lt;br&gt;Thank you to the BEE</t>
  </si>
  <si>
    <t>Shortage of specialists in Canada too. Orthopedic surgery needed can have you on a waiting list for 18 months or more.</t>
  </si>
  <si>
    <t>Viva ANC... Viva darkness... Viva ANC Viva hypocrisy.... BLACK SOUTH AFRICA WHY YOU LIVING IN DARKNESS?... Viva ANC... Viva aimless, pointless and useless</t>
  </si>
  <si>
    <t>No idea what you’re talking about</t>
  </si>
  <si>
    <t>Okay bot account.</t>
  </si>
  <si>
    <t>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t>
  </si>
  <si>
    <t>The ANC have destroyed every entity in SA, now its the health systems turn.....what an evil bunch_xD83D__xDE0A_</t>
  </si>
  <si>
    <t>The doctors are going to leave every country in the world will be chomping at the bit to have them and their experience.</t>
  </si>
  <si>
    <t>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t>
  </si>
  <si>
    <t>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t>
  </si>
  <si>
    <t>Your channel has been a valuable resource for me.</t>
  </si>
  <si>
    <t>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✊_xD83C__xDFFD_✊_xD83C__xDFFC_✊_xD83C__xDFFF_✊_xD83C__xDFFB_✊</t>
  </si>
  <si>
    <t>Who is in charge of managing the current public health care service and how well is it performing? Is the NHI going to be managed by the same entity?</t>
  </si>
  <si>
    <t>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href="http://my.call/"&gt;MY.CALL&lt;/a&gt; TO THEM.AND REFUSED ME MEDS IM REALLY SO DISAPPOINTED THAT THEY WOULD. Behave So Unprofessional SO MY ONLY CONCERN &lt;a href="http://is.my/"&gt;IS.MY&lt;/a&gt; HEALTH N AN EFFICIENT MEDICAL AID SCHEME SO IVE NOW CANVELLED DISCOVERY N TOOK A PLAN WITH ONEPLAN FOR.MUCH CHEAPER FULL COVER TOP OF THE RANGE THE RESPONSE I HAD WITH &lt;a href="http://them.in/"&gt;THEM.IN&lt;/a&gt; ONE DAY WAS EXCELLENT COMPARED TO DISCOVERY FOR 35 YRS TOTALLY NOT.WHAT I EXPECTED _xD83C__xDF38_</t>
  </si>
  <si>
    <t>During the covid plandemic Discovery insisted that their clients get the &amp;quot;jab&amp;quot; yet they were not willing to pay out claims for any side effects the jab might have caused ????</t>
  </si>
  <si>
    <t>And there health guidelines like low fat diets and cholesterol will kill you eventually.</t>
  </si>
  <si>
    <t>bull$hit... money is their driving  force. go f@ck yorselfs</t>
  </si>
  <si>
    <t>How do I join Medical Aid Scheme I used to be you member I am now a Senior citizen</t>
  </si>
  <si>
    <t>&amp;quot;Hospital health cover&amp;quot; more like guidelines than actual cover</t>
  </si>
  <si>
    <t>I need a quote for 2 pensioners for medical aid.</t>
  </si>
  <si>
    <t>I am experiencing so many problems with this hence I am here! I have not been able to use this at all! I still pay cash for my medication!</t>
  </si>
  <si>
    <t>I need a agent to contact me for a quote</t>
  </si>
  <si>
    <t>Does your medical aid have a waiting period?</t>
  </si>
  <si>
    <t>If MSA is depleted for the year and for whatever reason I need to change to a plan that doesn’t have MSA what should I be aware of?</t>
  </si>
  <si>
    <t>I&amp;#39;m very happy with Affinity Health it&amp;#39;s very affordable and meets my medical concerns</t>
  </si>
  <si>
    <t>are there going to be any giveaways anytime soon???</t>
  </si>
  <si>
    <t>Because they are self idolatrous money worshippers who do not know Jesus Christ.</t>
  </si>
  <si>
    <t>so who will be left in your country.</t>
  </si>
  <si>
    <t>Leaving to reach where? Germany?</t>
  </si>
  <si>
    <t>Well. They should stay at home. A lot of chaps turning up in dinghy&amp;#39;s with their knives, claiming to be engineers and doctors are finding that western hospitals are not the same as Nigerian hospitals</t>
  </si>
  <si>
    <t>How is the country going change when the people that can bring that change leave.  Imagine Germany if every educated person had left after ww2.&lt;br&gt;Where and how did he get his education?&lt;br&gt;Country&amp;#39;s need doers not takers.</t>
  </si>
  <si>
    <t>My MPH thesis: will publish this as soon as possible</t>
  </si>
  <si>
    <t>just cancel their licence and doctor degree or make law that doctor should work atleast 10 years in the country.</t>
  </si>
  <si>
    <t>They should leave and try their luck in other countries where their skills will be appreciated</t>
  </si>
  <si>
    <t>The west strip mines the 3rd world for resources and people, leaving the countries improvised and brain drained</t>
  </si>
  <si>
    <t>Economic migration is a natural human thing - this is not “an issue” specific to Nigeria. We can see a lot of migration out of Asia as well</t>
  </si>
  <si>
    <t>Nigerians will run anywhere instead of building their own nation shame on u...</t>
  </si>
  <si>
    <t>Africans are leaving Africa because their governments don&amp;#39;t know how to run the countries.</t>
  </si>
  <si>
    <t>Because they people there care more about hating gay people and kissing Russian a* then anything else</t>
  </si>
  <si>
    <t>Nigeria will be heading for their own coup soon. The citizens deserve better.</t>
  </si>
  <si>
    <t>Because pay is much better in Britain. Their own government should create incentives for them to stay. Have to compete in a global economy</t>
  </si>
  <si>
    <t>_xD83D__xDC94_</t>
  </si>
  <si>
    <t>Also the world: &amp;quot;The West is full of racism, facism and all other kinds of badisms.&amp;quot;</t>
  </si>
  <si>
    <t>Always things remained the same people migrate to where there is hope but will always came back with what day have.</t>
  </si>
  <si>
    <t>I don&amp;#39;t blame them.  Once Russia arrives anywhere, its all death, destruction, corruption, and lawlessness.  Watch what happens.</t>
  </si>
  <si>
    <t>Who is responsible in Africa, act now with the family planing education.</t>
  </si>
  <si>
    <t>Not surprising for such a dysfunctional country, culture and way of life.</t>
  </si>
  <si>
    <t>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it.&lt;br&gt;_xD83E__xDD37_‍♀️</t>
  </si>
  <si>
    <t>Same reason they’re leaving Florida, in the US?</t>
  </si>
  <si>
    <t>Duuuhhh... Because they can? The world lacks doctors so why wouldn&amp;#39;t you go to the US or Europe? Nigeria is a dump. Absolutely everyone in their right mind would leave the very minute they can.</t>
  </si>
  <si>
    <t>if u were a doctor would u choose to live in Nigeria? ur a freaking doctor that gets paid a lot anywhere u go.</t>
  </si>
  <si>
    <t>&lt;b&gt;Neocolonialism&lt;/b&gt; at its worse.  This is why we need to stop allowing it, for moral reasons. We can train our own doctors TYVM.&lt;br&gt;&lt;br&gt;Anyway, AI will replace them all.</t>
  </si>
  <si>
    <t>&lt;a href="https://www.youtube.com/watch?v=QNvu01OGv-Y&amp;amp;t=6m11s"&gt;6:11&lt;/a&gt; She said it. People with the ability to leave will leave because it is not safe or profitable to remain in Africa. &lt;br&gt;&lt;br&gt;This is one of many reasons why mass immigration into Europe from Afica is a HUGE problem.</t>
  </si>
  <si>
    <t>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t>
  </si>
  <si>
    <t>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t>
  </si>
  <si>
    <t>It&amp;#39;s not just doctors. Every highly qualified professional is leaving. I&amp;#39;m an engineer with a masters degree in business and another specialization. It&amp;#39;s not just the pay, it&amp;#39;s the security. Remember our Police stations close early due to security reasons. _xD83D__xDE05_.</t>
  </si>
  <si>
    <t>Nigerians come to Saskatchewan, Canada. We have affordable housing and lots of job vacancies.</t>
  </si>
  <si>
    <t>Sadly one just wonder what happens to not only Medical Professionals but also other professionals. Funny enough the government don’t care, but are only interested in promoting legislations that better their own welfare</t>
  </si>
  <si>
    <t>❤❤❤</t>
  </si>
  <si>
    <t>Are they good enough. Is their qualification up to western standards.</t>
  </si>
  <si>
    <t>Many foreign doctors here in Canada work as security guards, janitors, taxi drivers etc. Don&amp;#39;t be fooled with sweet promises of good life.</t>
  </si>
  <si>
    <t>Humans has always moved from place to place for betterment. Something everyone in the west knows well too. _xD83D__xDE02__xD83D__xDE05_</t>
  </si>
  <si>
    <t>Money is the root of all evil...</t>
  </si>
  <si>
    <t>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t>
  </si>
  <si>
    <t>enjoy.</t>
  </si>
  <si>
    <t>Because it is nigera lol</t>
  </si>
  <si>
    <t>Holy Christ some one stop that nurse DONT COME TO AMERICA. It’s NOT SAFE HERE and nurses ARE NOT PAID WELL at ALL. The medical system is HORRENDOUS HERE. Go to a country were y’all can actually make a living and be safe</t>
  </si>
  <si>
    <t>I hope this time its reals doctors and engineers and not the usual people with a doctors degrees in &amp;quot;How to leech most welfare in European countries&amp;quot; or &amp;quot;Bürgergeld and free housing 1x1&amp;quot;.</t>
  </si>
  <si>
    <t>everyone hate Russia and nigerian communist. . . that why</t>
  </si>
  <si>
    <t>If the west &amp;quot;drains&amp;quot; Africa off it&amp;#39;s human and mineral resources, then they shouldn&amp;#39;t lament when African youths follow those resources to the west, it&amp;#39;s a dog-eat-dog situation....</t>
  </si>
  <si>
    <t>People are not leaving just for money, but for security, infrastructure and freedom.</t>
  </si>
  <si>
    <t>Recently, I have to resign from working 48hours stretch weekend locum for ₦30k as a Medical Officer. I don tire._xD83D__xDE22_&lt;br&gt;&lt;br&gt;Now, male CHEWs are the one working as Doctors in some of the hospitals in Lagos.&lt;br&gt;&lt;br&gt;Arise o kompasion! Naijeria skolobe. . . &lt;br&gt;&lt;br&gt;Looks like patriots are now finishing last _xD83D__xDE2E_</t>
  </si>
  <si>
    <t>This same useless government banned Nigerian medical graduates from Ukraine last year from practicing in Nigeria,</t>
  </si>
  <si>
    <t>Because the West is so bad at taking care of its own people.</t>
  </si>
  <si>
    <t>Leaving doctors must pay huge money to government that government paid the doctors collage fees. Government is spending huge money on the healthcare for their its people ONLY not for other  country. The most doctors are moving to other developed countries for MONEY only.</t>
  </si>
  <si>
    <t>Well as an African I can assure you in most Africans countries proffessionals are underpaid</t>
  </si>
  <si>
    <t>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t>
  </si>
  <si>
    <t>Their working in Washington nursing homes also.</t>
  </si>
  <si>
    <t>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t>
  </si>
  <si>
    <t>Nigeria is a perfect example of a failed state.</t>
  </si>
  <si>
    <t>Just tax Nigerians going abroad on worldwide income, just like the US does.</t>
  </si>
  <si>
    <t>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t>
  </si>
  <si>
    <t>Nigerian politicians doesn&amp;#39;t even use Nigerian hospitals.</t>
  </si>
  <si>
    <t>Now Tinbu definitely shudn&amp;#39;t be starting any war with of african neighbors.........</t>
  </si>
  <si>
    <t>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t>
  </si>
  <si>
    <t>What will WHO do about it?&lt;br&gt;How are doctors qualified?&lt;br&gt;If it&amp;#39;s public universities, free of charge,  the government could force them to stay at least for 4, 5 years after graduation.&lt;br&gt;Or qualify new doctors in a large scale.</t>
  </si>
  <si>
    <t>There are also some of us like me who remain in Nigeria, but now a bussiness person.  I have stopped practicing before the Nigerian system kills me. There are many more of us like that. So.that 1/10,000 patients is not legit. Am sure of that. &lt;br&gt;All us to the group that are out</t>
  </si>
  <si>
    <t>Systematic faults in medical practice make doctors fleeing.</t>
  </si>
  <si>
    <t>If you think this is bad, just wait until Nigeria starts aging. The system should be changed otherwise it will collapse</t>
  </si>
  <si>
    <t>Usar traduzir para português pfavor sempre ok</t>
  </si>
  <si>
    <t>It always happens to poor countries. Professional looking for greener pastures in western countries.</t>
  </si>
  <si>
    <t>I’ve said this before but more examples of Africans running away instead of fighting to make THEIR country better for the future _xD83E__xDD26__xD83C__xDFFE_&lt;br&gt;It’s ironic how many Africans run away to the very people who enslaved and colonized and mistreated their ancestors _xD83D__xDE02__xD83D__xDE02_ _xD83E__xDD26__xD83C__xDFFE_</t>
  </si>
  <si>
    <t>Why not go work in Russia?</t>
  </si>
  <si>
    <t>WHO   SAY  BRAIN?!   FIX THE DRAIN!!</t>
  </si>
  <si>
    <t>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t>
  </si>
  <si>
    <t>If the doctors are leaving, how are there still any doctors left to teach new medical staff in Nigeria?</t>
  </si>
  <si>
    <t>Where?</t>
  </si>
  <si>
    <t>That&amp;#39;s what happens when politicians who are barely educated make silly decisions all the time.</t>
  </si>
  <si>
    <t>Someone been owed 6 months salary is ridiculous</t>
  </si>
  <si>
    <t>Great work.</t>
  </si>
  <si>
    <t>Youth Grid Foundation ug</t>
  </si>
  <si>
    <t>Hussein Jabiri</t>
  </si>
  <si>
    <t>Health News</t>
  </si>
  <si>
    <t>Jenny Phillips</t>
  </si>
  <si>
    <t>MrTristan499</t>
  </si>
  <si>
    <t>jane merritt mckenna</t>
  </si>
  <si>
    <t>Vernon Nickerson</t>
  </si>
  <si>
    <t>RoTiSeRiE JoNeS</t>
  </si>
  <si>
    <t>Ruth Novena</t>
  </si>
  <si>
    <t>RhondaH</t>
  </si>
  <si>
    <t>Mimashrimp</t>
  </si>
  <si>
    <t>Batgirl P</t>
  </si>
  <si>
    <t>Feuerbach1</t>
  </si>
  <si>
    <t>Corey Anderson</t>
  </si>
  <si>
    <t>Lucha Libre Films</t>
  </si>
  <si>
    <t>Hoops Macabre</t>
  </si>
  <si>
    <t>Emilia Abeyta</t>
  </si>
  <si>
    <t>Sylvia Harris</t>
  </si>
  <si>
    <t>uptick 888</t>
  </si>
  <si>
    <t>Madronaxyz</t>
  </si>
  <si>
    <t>Rafael Valencia</t>
  </si>
  <si>
    <t>Magdelene Domut</t>
  </si>
  <si>
    <t>99.8% Survivor</t>
  </si>
  <si>
    <t>Liz Liz</t>
  </si>
  <si>
    <t>Pablo Trobo</t>
  </si>
  <si>
    <t>Lorraine Herman</t>
  </si>
  <si>
    <t>crystal pope</t>
  </si>
  <si>
    <t>Green-Eyed Child</t>
  </si>
  <si>
    <t>supaipaii</t>
  </si>
  <si>
    <t>Sharon Olson</t>
  </si>
  <si>
    <t>STK</t>
  </si>
  <si>
    <t>David</t>
  </si>
  <si>
    <t>Dustin H</t>
  </si>
  <si>
    <t>Dee Mustafa</t>
  </si>
  <si>
    <t>Linda Hauk</t>
  </si>
  <si>
    <t>Jack O'Brien</t>
  </si>
  <si>
    <t>Method Raw</t>
  </si>
  <si>
    <t>Libby Holt</t>
  </si>
  <si>
    <t>Demisia Lockett</t>
  </si>
  <si>
    <t>jmdec20</t>
  </si>
  <si>
    <t>My Eye</t>
  </si>
  <si>
    <t>Heidithesausage</t>
  </si>
  <si>
    <t>Cheeto Bandido</t>
  </si>
  <si>
    <t>Gloria Arevalo</t>
  </si>
  <si>
    <t>Rajaa Sobh</t>
  </si>
  <si>
    <t>WideEyedChild</t>
  </si>
  <si>
    <t>Janie K Carney</t>
  </si>
  <si>
    <t>Stephanie King</t>
  </si>
  <si>
    <t>ProgressiveG</t>
  </si>
  <si>
    <t>Glitch Dash</t>
  </si>
  <si>
    <t>Lowell English</t>
  </si>
  <si>
    <t>Robin Costa</t>
  </si>
  <si>
    <t>José Machorro</t>
  </si>
  <si>
    <t>David Griego</t>
  </si>
  <si>
    <t>Support Policies Not Politicians</t>
  </si>
  <si>
    <t>Alfonso Gutierrez</t>
  </si>
  <si>
    <t>Bronwyn Olsen</t>
  </si>
  <si>
    <t>Alison Mcrae</t>
  </si>
  <si>
    <t>Jay Wilson, Jr</t>
  </si>
  <si>
    <t>Detroit iron rescue</t>
  </si>
  <si>
    <t>AMO CAN</t>
  </si>
  <si>
    <t>The Vision</t>
  </si>
  <si>
    <t>Johnny Utah</t>
  </si>
  <si>
    <t>linda Davis</t>
  </si>
  <si>
    <t>WYTROSE</t>
  </si>
  <si>
    <t>Gervaze Joseph</t>
  </si>
  <si>
    <t>Anna</t>
  </si>
  <si>
    <t>Arhweeh Inreeverse</t>
  </si>
  <si>
    <t>Darion Robinson</t>
  </si>
  <si>
    <t>Loveline Outreach Ministries</t>
  </si>
  <si>
    <t>Blessly08</t>
  </si>
  <si>
    <t>T. Nelson</t>
  </si>
  <si>
    <t>Apsara House _xD83E__xDD74__xD83D__xDE0A_</t>
  </si>
  <si>
    <t>MABOTSE MOHLAHLO</t>
  </si>
  <si>
    <t>Pharaoh x</t>
  </si>
  <si>
    <t>Kouassi Bodoua</t>
  </si>
  <si>
    <t>Austin S3</t>
  </si>
  <si>
    <t>J</t>
  </si>
  <si>
    <t>kwabena nuhu</t>
  </si>
  <si>
    <t>Chigozie Innocent</t>
  </si>
  <si>
    <t>Sipho Zulu</t>
  </si>
  <si>
    <t>Donald MJ Bart-Williams</t>
  </si>
  <si>
    <t>Gugu Khumalo</t>
  </si>
  <si>
    <t>Makhosazana Msimang</t>
  </si>
  <si>
    <t>Celebritystan trending</t>
  </si>
  <si>
    <t>Roy Baxolile</t>
  </si>
  <si>
    <t>Dupa</t>
  </si>
  <si>
    <t>Nonkululeko Nhleko</t>
  </si>
  <si>
    <t>Hlesko Mlan</t>
  </si>
  <si>
    <t>Sthe_ZAR</t>
  </si>
  <si>
    <t>Akwoy Kolor Timothy</t>
  </si>
  <si>
    <t>Trust Via</t>
  </si>
  <si>
    <t>Kagiso Nko</t>
  </si>
  <si>
    <t>M T</t>
  </si>
  <si>
    <t>Tumelo Ndubane</t>
  </si>
  <si>
    <t>Sikhumbule Lufutha</t>
  </si>
  <si>
    <t>Tafadzwa Nerwande</t>
  </si>
  <si>
    <t>FOS -B DE BIOLOGISTS</t>
  </si>
  <si>
    <t>Siya Mav</t>
  </si>
  <si>
    <t>Lebo Daniel</t>
  </si>
  <si>
    <t>Sebolelo Phakisi</t>
  </si>
  <si>
    <t>stephen yala</t>
  </si>
  <si>
    <t>SAMUKELO MADIDE</t>
  </si>
  <si>
    <t>nana adu bekoe</t>
  </si>
  <si>
    <t>GT Matters (In their own words</t>
  </si>
  <si>
    <t>Skhumbuzi Ntsibande</t>
  </si>
  <si>
    <t>Mlungisi Nkanunu</t>
  </si>
  <si>
    <t>Africa Accelerated Economic Development  (NPO)</t>
  </si>
  <si>
    <t>Elvis Otieno</t>
  </si>
  <si>
    <t>Nguboyengwe KaLuvuyo</t>
  </si>
  <si>
    <t>Klaas De Mega</t>
  </si>
  <si>
    <t>Mlu Simelane</t>
  </si>
  <si>
    <t>Nkululeko Shezi</t>
  </si>
  <si>
    <t>Caleb Ekaale</t>
  </si>
  <si>
    <t>Catherine G</t>
  </si>
  <si>
    <t>Charles Macharia</t>
  </si>
  <si>
    <t>Buang Bontle</t>
  </si>
  <si>
    <t>taki the tutor</t>
  </si>
  <si>
    <t>musa mahori</t>
  </si>
  <si>
    <t>Irene Davo</t>
  </si>
  <si>
    <t>David Kotile Tsoari</t>
  </si>
  <si>
    <t>tesfaye Mikiyas</t>
  </si>
  <si>
    <t>James Bundala</t>
  </si>
  <si>
    <t>Charles Daka</t>
  </si>
  <si>
    <t>Abdirahman Abdullahi</t>
  </si>
  <si>
    <t>allthingsrevisited</t>
  </si>
  <si>
    <t>Sisi Me</t>
  </si>
  <si>
    <t>R</t>
  </si>
  <si>
    <t>Babacar Diallo</t>
  </si>
  <si>
    <t>mich mbolingaba</t>
  </si>
  <si>
    <t>michael mm</t>
  </si>
  <si>
    <t>Mike Smith</t>
  </si>
  <si>
    <t>MICHAEL MEDLICOTT</t>
  </si>
  <si>
    <t>Vasif Arshad</t>
  </si>
  <si>
    <t>PresentK</t>
  </si>
  <si>
    <t>JanglangMalatang</t>
  </si>
  <si>
    <t>John Ratcliffe</t>
  </si>
  <si>
    <t>Rodney Henson</t>
  </si>
  <si>
    <t>C Tucker</t>
  </si>
  <si>
    <t>dr.unmasked</t>
  </si>
  <si>
    <t>Zsuzsa Karoly-Smith</t>
  </si>
  <si>
    <t>Professor Truth</t>
  </si>
  <si>
    <t>elenita didier</t>
  </si>
  <si>
    <t>pooja nair</t>
  </si>
  <si>
    <t>kyle019</t>
  </si>
  <si>
    <t>Moe B</t>
  </si>
  <si>
    <t>C Rose</t>
  </si>
  <si>
    <t>Ben D</t>
  </si>
  <si>
    <t>sickoof _xD83C__xDFF3_️‍_xD83C__xDF08_‍⃠</t>
  </si>
  <si>
    <t>Ruth A.</t>
  </si>
  <si>
    <t>Nasty-M</t>
  </si>
  <si>
    <t>ILOVEJESUSCHRIST</t>
  </si>
  <si>
    <t>whocaresanyway</t>
  </si>
  <si>
    <t>K Chong</t>
  </si>
  <si>
    <t>Couldn't hold a Candle</t>
  </si>
  <si>
    <t>OdhinnsWrath</t>
  </si>
  <si>
    <t>dave dd</t>
  </si>
  <si>
    <t>Rider 57</t>
  </si>
  <si>
    <t>1 Percent</t>
  </si>
  <si>
    <t>Richard Collins</t>
  </si>
  <si>
    <t>Ravi S Hegde</t>
  </si>
  <si>
    <t>Alecia Finlayson</t>
  </si>
  <si>
    <t>Pamela Van Pelt</t>
  </si>
  <si>
    <t>carpe diem</t>
  </si>
  <si>
    <t>Hard Truth</t>
  </si>
  <si>
    <t>MrGeorgewf</t>
  </si>
  <si>
    <t>Linda Lown</t>
  </si>
  <si>
    <t>Gopinath Ramanathan</t>
  </si>
  <si>
    <t>m mendel</t>
  </si>
  <si>
    <t>Andrew Ohree</t>
  </si>
  <si>
    <t>I dig my style</t>
  </si>
  <si>
    <t>PhaseSkater</t>
  </si>
  <si>
    <t>Andrew Green</t>
  </si>
  <si>
    <t>Corkfish1</t>
  </si>
  <si>
    <t>quaqltagh333</t>
  </si>
  <si>
    <t>Bojen ghosh</t>
  </si>
  <si>
    <t>Wendy Sentosa</t>
  </si>
  <si>
    <t>MaximumOverMuslim</t>
  </si>
  <si>
    <t>Julian Kundargi</t>
  </si>
  <si>
    <t>I love music</t>
  </si>
  <si>
    <t>Shh Tu</t>
  </si>
  <si>
    <t>NGT4LIFE</t>
  </si>
  <si>
    <t>Scott Ceffalia</t>
  </si>
  <si>
    <t>S B</t>
  </si>
  <si>
    <t>blekidud</t>
  </si>
  <si>
    <t>Jas Jas</t>
  </si>
  <si>
    <t>Amig</t>
  </si>
  <si>
    <t>M. Theresa</t>
  </si>
  <si>
    <t>lahuryder</t>
  </si>
  <si>
    <t>The One</t>
  </si>
  <si>
    <t>Jimmy Conner</t>
  </si>
  <si>
    <t>Pat Nisbert</t>
  </si>
  <si>
    <t>Abdul Shakoor</t>
  </si>
  <si>
    <t>FilmSetView</t>
  </si>
  <si>
    <t>This Carnivorish Life</t>
  </si>
  <si>
    <t>MasterCarguy44</t>
  </si>
  <si>
    <t>D</t>
  </si>
  <si>
    <t>439801RS</t>
  </si>
  <si>
    <t>John Souza</t>
  </si>
  <si>
    <t>Richard Cooper</t>
  </si>
  <si>
    <t>Mericanmuskles 420</t>
  </si>
  <si>
    <t>VAIBHAV GARG</t>
  </si>
  <si>
    <t>Mayuangeloo</t>
  </si>
  <si>
    <t>GreenSquirrel</t>
  </si>
  <si>
    <t>Nostromo</t>
  </si>
  <si>
    <t>Rasmuhamed nasr</t>
  </si>
  <si>
    <t>Simona Simona</t>
  </si>
  <si>
    <t>Rossana Mendez</t>
  </si>
  <si>
    <t>SlamBarnhill</t>
  </si>
  <si>
    <t>Tim Rowland</t>
  </si>
  <si>
    <t>Panda Gultom</t>
  </si>
  <si>
    <t>JW_xD83C__xDF83_</t>
  </si>
  <si>
    <t>Juan Sanchez</t>
  </si>
  <si>
    <t>Tom Bowler</t>
  </si>
  <si>
    <t>Sylvia Ivie</t>
  </si>
  <si>
    <t>Diana Coulson</t>
  </si>
  <si>
    <t>Biscayne Beast</t>
  </si>
  <si>
    <t>Kelly K.</t>
  </si>
  <si>
    <t>Asher</t>
  </si>
  <si>
    <t>laura INFINITY</t>
  </si>
  <si>
    <t>icebreaketh</t>
  </si>
  <si>
    <t>Sandman_9</t>
  </si>
  <si>
    <t>Smith Family YouTube</t>
  </si>
  <si>
    <t>okay nope</t>
  </si>
  <si>
    <t>Adapt or Die</t>
  </si>
  <si>
    <t>Paul Sidaway</t>
  </si>
  <si>
    <t>Faith</t>
  </si>
  <si>
    <t>Binoy Mathew</t>
  </si>
  <si>
    <t>EyeWatchU2B</t>
  </si>
  <si>
    <t>Da Hunters Trophy</t>
  </si>
  <si>
    <t>Danai Gwatsvaira</t>
  </si>
  <si>
    <t>Jessa Mae Lauzon</t>
  </si>
  <si>
    <t>Ram Sita</t>
  </si>
  <si>
    <t>Ella_kwok2000</t>
  </si>
  <si>
    <t>Rik-key Music</t>
  </si>
  <si>
    <t>Ramthian Thomson</t>
  </si>
  <si>
    <t>Mikael Arhelger</t>
  </si>
  <si>
    <t>ItzYourFashionCeleb</t>
  </si>
  <si>
    <t>Jefff</t>
  </si>
  <si>
    <t>Mep. Stance</t>
  </si>
  <si>
    <t>E4T6</t>
  </si>
  <si>
    <t>N G</t>
  </si>
  <si>
    <t>James Watt</t>
  </si>
  <si>
    <t>默</t>
  </si>
  <si>
    <t>d</t>
  </si>
  <si>
    <t>My Guitar Method</t>
  </si>
  <si>
    <t>martytube821</t>
  </si>
  <si>
    <t>GABRIELE EA</t>
  </si>
  <si>
    <t>Joe O'Neill</t>
  </si>
  <si>
    <t>Stella Elkhenizy</t>
  </si>
  <si>
    <t>Stupifying Stupedity</t>
  </si>
  <si>
    <t>Matifi</t>
  </si>
  <si>
    <t>World Citizen _xD83C__xDF0D_</t>
  </si>
  <si>
    <t>TA KH</t>
  </si>
  <si>
    <t>Poo Pootin</t>
  </si>
  <si>
    <t>loolikyl0005</t>
  </si>
  <si>
    <t>Sequero</t>
  </si>
  <si>
    <t>Marcus</t>
  </si>
  <si>
    <t>Paolito</t>
  </si>
  <si>
    <t>Ruslan Arslanov</t>
  </si>
  <si>
    <t>FIRE FOCUS</t>
  </si>
  <si>
    <t>Hendra Sutika</t>
  </si>
  <si>
    <t>kick Ass</t>
  </si>
  <si>
    <t>Fang Plays</t>
  </si>
  <si>
    <t>dung nguyen</t>
  </si>
  <si>
    <t>N Bell</t>
  </si>
  <si>
    <t>Busch’s Kush</t>
  </si>
  <si>
    <t>R6ex</t>
  </si>
  <si>
    <t>jouvert alandwa</t>
  </si>
  <si>
    <t>Jon E</t>
  </si>
  <si>
    <t>Michele McGlone</t>
  </si>
  <si>
    <t>Mausi Lugner</t>
  </si>
  <si>
    <t>John Collins</t>
  </si>
  <si>
    <t>m. k.</t>
  </si>
  <si>
    <t>Principe Maquiavelo</t>
  </si>
  <si>
    <t>Miami Trancemissions</t>
  </si>
  <si>
    <t>Aman</t>
  </si>
  <si>
    <t>Thorissa</t>
  </si>
  <si>
    <t>east_coast_ceo</t>
  </si>
  <si>
    <t>WVW</t>
  </si>
  <si>
    <t>Kenz300 x</t>
  </si>
  <si>
    <t>This Old School</t>
  </si>
  <si>
    <t>Dan Spencer</t>
  </si>
  <si>
    <t>iceman</t>
  </si>
  <si>
    <t>Patrycja Planeta</t>
  </si>
  <si>
    <t>Riza-kun</t>
  </si>
  <si>
    <t>De Vroom Bagchus</t>
  </si>
  <si>
    <t>X N</t>
  </si>
  <si>
    <t>K N</t>
  </si>
  <si>
    <t>Mr Whitman</t>
  </si>
  <si>
    <t>Spaghetti is Yummy.</t>
  </si>
  <si>
    <t>buravan15</t>
  </si>
  <si>
    <t>Abubakar Sadisu Muktar</t>
  </si>
  <si>
    <t>Miles O'Brien</t>
  </si>
  <si>
    <t>Donna Cabot</t>
  </si>
  <si>
    <t>brerabbit</t>
  </si>
  <si>
    <t>Sykaax</t>
  </si>
  <si>
    <t>M M</t>
  </si>
  <si>
    <t>Eric</t>
  </si>
  <si>
    <t>Paul Blichmann</t>
  </si>
  <si>
    <t>Entengummitiger</t>
  </si>
  <si>
    <t>Acacius</t>
  </si>
  <si>
    <t>A Generic Account</t>
  </si>
  <si>
    <t>Danne Ström</t>
  </si>
  <si>
    <t>Mariana Salles</t>
  </si>
  <si>
    <t>Bih stico</t>
  </si>
  <si>
    <t>Joel Xavier</t>
  </si>
  <si>
    <t>vinm300</t>
  </si>
  <si>
    <t>Tom Nook</t>
  </si>
  <si>
    <t>DA</t>
  </si>
  <si>
    <t>Barb Glinsmann</t>
  </si>
  <si>
    <t>Janette Kreulen</t>
  </si>
  <si>
    <t>Tina Pen</t>
  </si>
  <si>
    <t>KA 63</t>
  </si>
  <si>
    <t>Lavonne McDowell</t>
  </si>
  <si>
    <t>Gail Devlin</t>
  </si>
  <si>
    <t>ydog 21</t>
  </si>
  <si>
    <t>Mario Dalla Riva</t>
  </si>
  <si>
    <t>Yellowdayz</t>
  </si>
  <si>
    <t>Michael Kurtz</t>
  </si>
  <si>
    <t>Lena Martinez</t>
  </si>
  <si>
    <t>bertha jean-marie</t>
  </si>
  <si>
    <t>JENNIFER KENT</t>
  </si>
  <si>
    <t>Pepper</t>
  </si>
  <si>
    <t>Paul Grimm</t>
  </si>
  <si>
    <t>Bukar Idris</t>
  </si>
  <si>
    <t>Susan Ferrazzano</t>
  </si>
  <si>
    <t>Annabella the happy carnivore</t>
  </si>
  <si>
    <t>Jovan Jecinac</t>
  </si>
  <si>
    <t>Dee C</t>
  </si>
  <si>
    <t>Nancy Gorham</t>
  </si>
  <si>
    <t>inapicklenow</t>
  </si>
  <si>
    <t>Boater Girl _xD83E__xDD70_</t>
  </si>
  <si>
    <t>Paul Poppenfuse</t>
  </si>
  <si>
    <t>Linda Harris</t>
  </si>
  <si>
    <t>WANO</t>
  </si>
  <si>
    <t>B Nep</t>
  </si>
  <si>
    <t>LYNX PRIME</t>
  </si>
  <si>
    <t>Patrick Hererera</t>
  </si>
  <si>
    <t>Darra Smith</t>
  </si>
  <si>
    <t>Amarok</t>
  </si>
  <si>
    <t>Francisco Saldana</t>
  </si>
  <si>
    <t>Gina Ripple</t>
  </si>
  <si>
    <t>I massage</t>
  </si>
  <si>
    <t>Kathryn Vecchione</t>
  </si>
  <si>
    <t>Datu prince mopak Mangudadatu</t>
  </si>
  <si>
    <t>Jolene Creech</t>
  </si>
  <si>
    <t>Lorna Hay</t>
  </si>
  <si>
    <t>Teresa Fraser</t>
  </si>
  <si>
    <t>Shirley Miller</t>
  </si>
  <si>
    <t>Kiana</t>
  </si>
  <si>
    <t>Chantale Dor</t>
  </si>
  <si>
    <t>mohammad Al-shammary</t>
  </si>
  <si>
    <t>Prachi Gupta</t>
  </si>
  <si>
    <t>JZ</t>
  </si>
  <si>
    <t>Caroline Lewis</t>
  </si>
  <si>
    <t>Lori</t>
  </si>
  <si>
    <t>frank Brown</t>
  </si>
  <si>
    <t>Sting Sweet</t>
  </si>
  <si>
    <t>Nancy Braybrooks</t>
  </si>
  <si>
    <t>Scooter Mcc</t>
  </si>
  <si>
    <t>Tyna Duckett</t>
  </si>
  <si>
    <t>Ajay Tiwari</t>
  </si>
  <si>
    <t>Jeffrey  Kobe</t>
  </si>
  <si>
    <t>Jatau Fwangshak</t>
  </si>
  <si>
    <t>Holypikemanz</t>
  </si>
  <si>
    <t>Sarabdyal Kaur Khalsa</t>
  </si>
  <si>
    <t>Ty Traulich</t>
  </si>
  <si>
    <t>Mihaela</t>
  </si>
  <si>
    <t>AMPOV Podcast</t>
  </si>
  <si>
    <t>Jason C.</t>
  </si>
  <si>
    <t>Debbie</t>
  </si>
  <si>
    <t>Mimi Grace</t>
  </si>
  <si>
    <t>Alex M. (Handro1313)</t>
  </si>
  <si>
    <t>estela mino</t>
  </si>
  <si>
    <t>RL4109</t>
  </si>
  <si>
    <t>B4 Ryuk</t>
  </si>
  <si>
    <t>marko polo</t>
  </si>
  <si>
    <t>eisenhoward1</t>
  </si>
  <si>
    <t>KWH</t>
  </si>
  <si>
    <t>Nadine</t>
  </si>
  <si>
    <t>Aswin Achu</t>
  </si>
  <si>
    <t>Mikki Mik</t>
  </si>
  <si>
    <t>Ronny King</t>
  </si>
  <si>
    <t>_</t>
  </si>
  <si>
    <t>Leroy Johnston</t>
  </si>
  <si>
    <t>bigJ</t>
  </si>
  <si>
    <t>Johnny</t>
  </si>
  <si>
    <t>C B</t>
  </si>
  <si>
    <t>potato aim</t>
  </si>
  <si>
    <t>Donna</t>
  </si>
  <si>
    <t>Mr-Slayer-Sir</t>
  </si>
  <si>
    <t>Evangeline Verasammy</t>
  </si>
  <si>
    <t>alfian mohamad marzuki</t>
  </si>
  <si>
    <t>Michael Tse</t>
  </si>
  <si>
    <t>abraham ramirez</t>
  </si>
  <si>
    <t>Ikan Masin</t>
  </si>
  <si>
    <t>John Robert</t>
  </si>
  <si>
    <t>Jonny Bingo</t>
  </si>
  <si>
    <t>Itai Axelrod</t>
  </si>
  <si>
    <t>Haron</t>
  </si>
  <si>
    <t>Marco Jimenez</t>
  </si>
  <si>
    <t>Shaquille C. - Owe No Man Anything</t>
  </si>
  <si>
    <t>Suze Auster</t>
  </si>
  <si>
    <t>raji vadi</t>
  </si>
  <si>
    <t>Maxim Elspledor</t>
  </si>
  <si>
    <t>Liz</t>
  </si>
  <si>
    <t>Dr.Saba Amin</t>
  </si>
  <si>
    <t>C12 abn Al-bb</t>
  </si>
  <si>
    <t>Cobra Financial Solutions</t>
  </si>
  <si>
    <t>Human</t>
  </si>
  <si>
    <t>Cheryl Penny</t>
  </si>
  <si>
    <t>Andrew Mc Farlane</t>
  </si>
  <si>
    <t>gigi</t>
  </si>
  <si>
    <t>Bad Habbitz</t>
  </si>
  <si>
    <t>Ngala Hansel</t>
  </si>
  <si>
    <t>Lupious Chiwanza</t>
  </si>
  <si>
    <t>Hadassah First</t>
  </si>
  <si>
    <t>Clara Damons</t>
  </si>
  <si>
    <t>Shirl West</t>
  </si>
  <si>
    <t>Suminthra Ramsuran</t>
  </si>
  <si>
    <t>baba Malachi</t>
  </si>
  <si>
    <t>Windy</t>
  </si>
  <si>
    <t>BNG MNH</t>
  </si>
  <si>
    <t>Ena Diedericks</t>
  </si>
  <si>
    <t>Wayne Caboz</t>
  </si>
  <si>
    <t>Hermes trismegistus</t>
  </si>
  <si>
    <t>James Frey</t>
  </si>
  <si>
    <t>Jatonne Mitchell</t>
  </si>
  <si>
    <t>The Watcher</t>
  </si>
  <si>
    <t>Daniel Schauffer</t>
  </si>
  <si>
    <t>leon hue</t>
  </si>
  <si>
    <t>It's time for a multipolar world</t>
  </si>
  <si>
    <t>Grow YouTube Views | Gain Fame</t>
  </si>
  <si>
    <t>N â p e z</t>
  </si>
  <si>
    <t>Bradley Rowlett</t>
  </si>
  <si>
    <t>Julie Govender</t>
  </si>
  <si>
    <t>Silent &amp; Violent</t>
  </si>
  <si>
    <t>johan vw</t>
  </si>
  <si>
    <t>Dan Van Zyl</t>
  </si>
  <si>
    <t>Eunice Sebatane</t>
  </si>
  <si>
    <t>Green 85</t>
  </si>
  <si>
    <t>Mike Horn</t>
  </si>
  <si>
    <t>Dimpho Mokhoantle</t>
  </si>
  <si>
    <t>Reagan Govender</t>
  </si>
  <si>
    <t>Sisb Mokoena</t>
  </si>
  <si>
    <t>Neem Creates</t>
  </si>
  <si>
    <t>zunaid Ismail</t>
  </si>
  <si>
    <t>alison welch</t>
  </si>
  <si>
    <t>pauline mutheu</t>
  </si>
  <si>
    <t>࿗  भारतवर्ष  ࿗</t>
  </si>
  <si>
    <t>The Mad Farmer</t>
  </si>
  <si>
    <t>Michael H</t>
  </si>
  <si>
    <t>Arubuola Ebenezer</t>
  </si>
  <si>
    <t>Star M</t>
  </si>
  <si>
    <t>Truth Teller</t>
  </si>
  <si>
    <t>asdgh</t>
  </si>
  <si>
    <t>Lilian</t>
  </si>
  <si>
    <t>Zack Galante</t>
  </si>
  <si>
    <t>Faral Limacha</t>
  </si>
  <si>
    <t>Blana</t>
  </si>
  <si>
    <t>Star Light</t>
  </si>
  <si>
    <t>Trevor Sutherland</t>
  </si>
  <si>
    <t>lord sauron</t>
  </si>
  <si>
    <t>Thomas Philip</t>
  </si>
  <si>
    <t>Nyale Kambombo</t>
  </si>
  <si>
    <t>MDK MEusa</t>
  </si>
  <si>
    <t>TheNet</t>
  </si>
  <si>
    <t>Paul As-Siddiq</t>
  </si>
  <si>
    <t>Kath Ev</t>
  </si>
  <si>
    <t>Angus MacFrankenstein</t>
  </si>
  <si>
    <t>Mysterio Anonymous</t>
  </si>
  <si>
    <t>Cross</t>
  </si>
  <si>
    <t>New Moon</t>
  </si>
  <si>
    <t>James Clark</t>
  </si>
  <si>
    <t>Jinxe vis</t>
  </si>
  <si>
    <t>Asi-oqua Bassey</t>
  </si>
  <si>
    <t>soTommy</t>
  </si>
  <si>
    <t>James Lascelle</t>
  </si>
  <si>
    <t>Ernest Abor</t>
  </si>
  <si>
    <t>Shahida Nusrat</t>
  </si>
  <si>
    <t>jamie</t>
  </si>
  <si>
    <t>Vancouver Watcher</t>
  </si>
  <si>
    <t>Neo South</t>
  </si>
  <si>
    <t>Chevoy McDermott</t>
  </si>
  <si>
    <t>spandanbd</t>
  </si>
  <si>
    <t>Victor Olatope</t>
  </si>
  <si>
    <t>Piccolo Isan</t>
  </si>
  <si>
    <t>Gotrek1989</t>
  </si>
  <si>
    <t>Dezember</t>
  </si>
  <si>
    <t>Horia Pereat</t>
  </si>
  <si>
    <t>D—E—S</t>
  </si>
  <si>
    <t>Anita Gorše</t>
  </si>
  <si>
    <t>Captain Specimen</t>
  </si>
  <si>
    <t>English with Sean</t>
  </si>
  <si>
    <t>TheLastBison</t>
  </si>
  <si>
    <t>SRINIVASAN NATESAN UDAIYAR</t>
  </si>
  <si>
    <t>Harlos Mining</t>
  </si>
  <si>
    <t>Nusaibah Ibraheem</t>
  </si>
  <si>
    <t>Robert Thompson</t>
  </si>
  <si>
    <t>De Kev</t>
  </si>
  <si>
    <t>M D</t>
  </si>
  <si>
    <t>Ola Palooza</t>
  </si>
  <si>
    <t>Okutama Obioma</t>
  </si>
  <si>
    <t>Էմմանուել Էզենվան Մեղր</t>
  </si>
  <si>
    <t>rich gunning</t>
  </si>
  <si>
    <t>EssLove</t>
  </si>
  <si>
    <t>citizenBR</t>
  </si>
  <si>
    <t>R A</t>
  </si>
  <si>
    <t>袁大陸</t>
  </si>
  <si>
    <t>International Investing</t>
  </si>
  <si>
    <t>Manono Kiluba</t>
  </si>
  <si>
    <t>Ferdinand Pailas</t>
  </si>
  <si>
    <t>jaklin hyde</t>
  </si>
  <si>
    <t>Sibusiso Maseko</t>
  </si>
  <si>
    <t>Skreety04</t>
  </si>
  <si>
    <t>Fun Viral Videos</t>
  </si>
  <si>
    <t>dkaoboy</t>
  </si>
  <si>
    <t>ASHOK Varatiya</t>
  </si>
  <si>
    <t>Ludwig</t>
  </si>
  <si>
    <t>Devine Olubakin</t>
  </si>
  <si>
    <t>Nsamba Joy</t>
  </si>
  <si>
    <t>LUVezT5lbvw</t>
  </si>
  <si>
    <t>axY4NWH7hCE</t>
  </si>
  <si>
    <t>AAHlA_p6yRw</t>
  </si>
  <si>
    <t>_0cqMag_ZII</t>
  </si>
  <si>
    <t>Q-YZD2u1mO8</t>
  </si>
  <si>
    <t>pRT5aJ3nbHM</t>
  </si>
  <si>
    <t>5QB8QAuirzA</t>
  </si>
  <si>
    <t>SKknfAC3PD0</t>
  </si>
  <si>
    <t>w6BMPN07BOM</t>
  </si>
  <si>
    <t>V4-3xDi_Ems</t>
  </si>
  <si>
    <t>3aUEvg57hAI</t>
  </si>
  <si>
    <t>HeygX8UYhCA</t>
  </si>
  <si>
    <t>RQV_2EyHtZw</t>
  </si>
  <si>
    <t>Ud4SrFdeMk0</t>
  </si>
  <si>
    <t>F6OoW7hqnPs</t>
  </si>
  <si>
    <t>6YhlYu70uNA</t>
  </si>
  <si>
    <t>muXoYfBWkzg</t>
  </si>
  <si>
    <t>mVN9p4-zDxw</t>
  </si>
  <si>
    <t>QNvu01OGv-Y</t>
  </si>
  <si>
    <t>1VTwFuGdMps</t>
  </si>
  <si>
    <t>vYeYNIYnRJY</t>
  </si>
  <si>
    <t>uLXNDm-VmbE</t>
  </si>
  <si>
    <t>vC6g1DOX6CM</t>
  </si>
  <si>
    <t>1jLZC7MC6M4</t>
  </si>
  <si>
    <t>dRzwl4LdVTI</t>
  </si>
  <si>
    <t>pm8E9s06gzg</t>
  </si>
  <si>
    <t>J8LP-kB9xWo</t>
  </si>
  <si>
    <t>UwvKAwOnN1U</t>
  </si>
  <si>
    <t>_r17DLe0mI4</t>
  </si>
  <si>
    <t>ZHFOfNZhcC8</t>
  </si>
  <si>
    <t>-Az3vD7k7RE</t>
  </si>
  <si>
    <t>jRbztKCETg0</t>
  </si>
  <si>
    <t>none</t>
  </si>
  <si>
    <t>https://youtu.be/oTccIyHjxVU https://youtu.be/oTccIyHjxVU</t>
  </si>
  <si>
    <t>http://my.call/ http://is.my/ http://them.in/</t>
  </si>
  <si>
    <t>youtube.com</t>
  </si>
  <si>
    <t>youtu.be youtu.be</t>
  </si>
  <si>
    <t>my.call is.my them.in</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</si>
  <si>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</si>
  <si>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</si>
  <si>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</si>
  <si>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</si>
  <si>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</si>
  <si>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</si>
  <si>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</si>
  <si>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</si>
  <si>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</si>
  <si>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</si>
  <si>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</si>
  <si>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</si>
  <si>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</si>
  <si>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Vertex Group</t>
  </si>
  <si>
    <t>Vertex Content Word Count</t>
  </si>
  <si>
    <t>URLs In Comment by Count</t>
  </si>
  <si>
    <t>URLs In Comment by Salience</t>
  </si>
  <si>
    <t>Domains In Comment by Count</t>
  </si>
  <si>
    <t>Domains In Comment by Salience</t>
  </si>
  <si>
    <t>Hashtags In Comment by Count</t>
  </si>
  <si>
    <t>Hashtags In Comment by Salience</t>
  </si>
  <si>
    <t>Top Words in Comment by Count</t>
  </si>
  <si>
    <t>Top Words in Comment by Salience</t>
  </si>
  <si>
    <t>Top Word Pairs in Comment by Count</t>
  </si>
  <si>
    <t>Top Word Pairs in Comment by Salience</t>
  </si>
  <si>
    <t>AFHEG Foundation</t>
  </si>
  <si>
    <t>Africa Cancer ECHO</t>
  </si>
  <si>
    <t>Senator Bernie Sanders</t>
  </si>
  <si>
    <t>Displore</t>
  </si>
  <si>
    <t>Talking With Docs</t>
  </si>
  <si>
    <t>Osmosis from Elsevier</t>
  </si>
  <si>
    <t>DW News</t>
  </si>
  <si>
    <t>Dr. Khaled OUANES</t>
  </si>
  <si>
    <t>SABC News</t>
  </si>
  <si>
    <t>Beyond Limitations</t>
  </si>
  <si>
    <t>DiscoverySA</t>
  </si>
  <si>
    <t>Affinity Health TV</t>
  </si>
  <si>
    <t>CNBCAfrica</t>
  </si>
  <si>
    <t>Fertility Show Africa</t>
  </si>
  <si>
    <t>AUSSENWIRTSCHAFT AUSTRIA</t>
  </si>
  <si>
    <t>CARE Hospitals</t>
  </si>
  <si>
    <t>Access to Medicine Foundation</t>
  </si>
  <si>
    <t>AMR Physiotherapy</t>
  </si>
  <si>
    <t>Ekundayo Educonsult for Healthcare Professionals</t>
  </si>
  <si>
    <t>IAS – the International AIDS Society</t>
  </si>
  <si>
    <t>News Central TV</t>
  </si>
  <si>
    <t>Medicalaid</t>
  </si>
  <si>
    <t>FasterCapital</t>
  </si>
  <si>
    <t>Seefa Productions</t>
  </si>
  <si>
    <t>Team PATA</t>
  </si>
  <si>
    <t>IHEA</t>
  </si>
  <si>
    <t>AFHEG Foundation is a non-profit health-organisation that promotes health literacy through creative storytelling and interactive gaming, to establish a community of health defenders to raise awareness about critical community health issues through advocacy and informed communication to influence health policies and strengthen health systems in Uganda.
Through its numerous platforms, the AFHEG foundation provides an informed perspective and in-depth evaluation of health concerns in Uganda and Africa, always in a fair and balanced manner. We want to showcase some of the outstanding work being done in the health sector, challenge the bad, and create a place for constructive ideas and action while doing what we do.</t>
  </si>
  <si>
    <t>The Africa Cancer Research and Control ECHO is a network of researchers, clinicians, cancer advocates and policymakers working in cancer research and control in the Africa region. They convene bi-weekly to discuss cross-cutting issues faced in strengthening the cancer response in the region. Topics include costing and financing national cancer control initiatives, implementation of patient navigation, how to integrate cancer services into existing health system structures, and much more. The ECHO hub is led by the Kenya Network of Cancer Organizations and the Africa Cancer ECHO curriculum and session management is led by a volunteer-led Steering Committee of nominated cancer leaders in the Africa region. For more information contact KENCO via email on acrcecho@kenconetwork.org.</t>
  </si>
  <si>
    <t>Senator Sanders is the longest serving independent in congressional history.</t>
  </si>
  <si>
    <t>Satire Against Humanity, Satire For Humanity
We are currently ran by 1 individual whose goal is to make the world's most brutal satire attacking Humanity's problems and strengthening Humanity's virtues. 
Welcome to MysticiaDev, our own little corner of hell!</t>
  </si>
  <si>
    <t>GOD IS MY JUDGE._xD83E__xDEC0_⚖️_xD83E__xDEB6_</t>
  </si>
  <si>
    <t>y0 y0 y0! I play video games, enjoy!</t>
  </si>
  <si>
    <t>This is a channel for anyone interested in the EDUtech Space. This is a channel to be used as a conduit for like minds to show the world their solutions. That is my vision. Thank you for watching!</t>
  </si>
  <si>
    <t>#EndReligion - I deride superstitious primates and their mythologies ✝️✡️☪️
#DefundTheMilitary - soldiers are low IQ order following cowards</t>
  </si>
  <si>
    <t>A channel of everyday talk posts videos and news to help people in their daily life</t>
  </si>
  <si>
    <t>_xD83D__xDC7B__xD83D__xDD25_</t>
  </si>
  <si>
    <t>They call me glitch dash.
This channel is dedicated to putting the drivers first.
And to dragging liars out into the spotlight of the truth. Kicking and screaming. Should be a lot of fun!
Were you a victim of the secret glitch/top dasher scam? Many of us in the gig worker community worked long and hard, taking countless low paying orders, at OUR OWN EXPENSE. While being told we need to accept all these orders to attain TD status, Glitchard and his youtube goons were using a secret glitch to avoid practicing what they preached!
Leave your real life testimonial in a comment. To be featured and screen capped. To be cataloged and saved for later use..
 Email:ThomasSchubeck@gmail.com
ALL CONTENT AND THE EVENTS PORTRAYED THEREIN ARE OPINIONS, NOT AS OF YET PROVEN AS FACT BEYOND A SHADOW OF A REASONABLE DOUBT. THESE OPINIONS ARE BASED ON A DEDUCTIVE EXTRAPOLATION USING INFORMATION AVAILABLE FROM OTHER GIGTUBE CONTENT CREATORS. WE CANNOT ASSUME THESE OPINIONS TO BE FACT AT THIS TIME.</t>
  </si>
  <si>
    <t>_xD83C__xDF39__xD83D__xDD25_ No Justice. NoPeace._xD83C__xDF39__xD83D__xDD25_</t>
  </si>
  <si>
    <t>A YouTube channel where amateur restoration and I come together.</t>
  </si>
  <si>
    <t>Whats your soul worth</t>
  </si>
  <si>
    <t>Displore is an Education channel where we help people with some Vital Information to make their lives easier. we also do Top 10 Rankings of Everything in Africa and the World be it in Music, Movies, Politics, Business etc.  our Top 10 Ranking Can either be through a Voice over or Recorded with an Actual host(on Camera Presence).
Please Subscribe and Join Our Amazing Family of Displorers.</t>
  </si>
  <si>
    <t>Please subscribe or my mom will make get a real job
https://www.youtube.com/channel/UC7leX0JJWsaBD7t-ZgGQnhA</t>
  </si>
  <si>
    <t>The offical channel of Pharaoh X .</t>
  </si>
  <si>
    <t>This channel reacts to current trending celebrities, their lifestyle, music choices, basically everything Celebrity and Trending</t>
  </si>
  <si>
    <t>For random blog</t>
  </si>
  <si>
    <t>|Muso |Jesus Lover
WHETHER YOU THINK YOU CAN OR YOU CAN'T, YOU'RE RIGHT.</t>
  </si>
  <si>
    <t>We bring you videos in their own words.  We will attempt to modify nothing!</t>
  </si>
  <si>
    <t>Africa Accelerated Economic Development is a registered NPO, by Muriel Kgomotso Gill. 
Sub-Saharan Africa (SSA) economies are documented to be under industrialized and less diversified. Some reports state that Africa never really finished the proto-industrialization stage; the first stage of industrialization. Industrialization is known to create wealth, jobs, improve productivity, grow economies and fast track them into middle and high income countries, amongst other benefits. 
The NPO aims to capitalize on this documented gap, endeavor to close it in order to promote economic growth, better productivity and therefore better per capita GDPs of SSA economies, create jobs and help reduce poverty levels. 
In closing the gap through agro-processing and small consumer goods manufacturing, the NPO will endeavor to address 3 documented impediments to entrepreneurship in SSA, namely 1) lack of startup or expansion capital, lack of business skills and lack of access of goods to markets.</t>
  </si>
  <si>
    <t>Searching for uhuru.</t>
  </si>
  <si>
    <t>#Eng 1503# Second Semester Assignments# with taki ranwashe</t>
  </si>
  <si>
    <t>A vibrant and cheerful person trying to navigate their way through this YouTube space.
Expect to see story times, vlogs, and other kinds of interest content.</t>
  </si>
  <si>
    <t>Sharing new and old contents.Disclaimer:I do not have any right to anything I share it's just a reflection channel</t>
  </si>
  <si>
    <t>Dr. Paul Zalzal and Dr. Brad Weening are orthopedic surgeons and members of the Royal College of Physicians and Surgeons of Canada. Together, they help make medicine accessible by serving up practical insights on orthopedic treatments, various tips on surgeries, gut health, as well as other health topics.
Through short, topic-specific videos that blend insight and humour, Dr. Zalzal and Dr. Weening connect with patients at every stage of their journey to inform, educate, and empower. Learn how to properly prepare for surgery, surgery risks, what to expect after surgery, cardiology, anesthesia and much more. 
The Talking with Docs Vision:  To support people’s healing journeys–from clinical diagnosis to surgery to recovery–through memorable chats that include digestible clinical information and heartfelt guidance. 
To learn more about how to take charge of your own health, visit www.talkingwithdocs.com.</t>
  </si>
  <si>
    <t>Hi, subcribble plez</t>
  </si>
  <si>
    <t>Clinical cardiologist</t>
  </si>
  <si>
    <t>PRESENT EVERYWHERE</t>
  </si>
  <si>
    <t>Mixed Media and Art Journalling</t>
  </si>
  <si>
    <t>Music &amp; Game</t>
  </si>
  <si>
    <t>On the narrow path to Heaven</t>
  </si>
  <si>
    <t>Tour of my Townhouse</t>
  </si>
  <si>
    <t>I do technical tricks and pop tricks high. I used to be sponsored by small companies. I also recently started snowboarding, so follow me on my progression journey! Subscribe!</t>
  </si>
  <si>
    <t>Love Stories and Memories</t>
  </si>
  <si>
    <t>Devine</t>
  </si>
  <si>
    <t>Hey there beautiful people! Are you looking for a community where you can learn and chat freely about Keto, Ketovore and Carnivore lifestyles for better health and weight management? Me too! Please subscribe, like and comment. Let's do this thing!
Videos coming very soon.</t>
  </si>
  <si>
    <t>Drives'N'rides on 4 &amp; 2 wheels</t>
  </si>
  <si>
    <t>Hello Guys. I am Anamitra Dutta , also known as Green Squirrel.
A citizen of Kolkata, with a motive to entertain all of you people.
If you do enjoy my videos , kindly subscribe to my channel and don't forget to click the bell icon for notifications.</t>
  </si>
  <si>
    <t>Hello..Teman-teman..selamat datang di Channel Panda Gultom yang berlokasi  Edmonton,Canada..
Channel ini share kehidupan saya di Edmonton , Canada &amp;  informasi bagaimana cara migrasi ke Canada, lewat jalur apa ya?
Jika teman-teman  suka..silahkan SUBSCRIBE channel ini, jangan lupa LIKE, COMMENT &amp; SHARE ke sosial media kalian ya.
Let's make friends by Connect to my Instagram or Page Facebook.ok? Link in this channel.
Salam dari Canada
#PandaGultom#Indonesia#youtuber</t>
  </si>
  <si>
    <t>Bleh.</t>
  </si>
  <si>
    <t>Just a family that enjoys YouTube content.</t>
  </si>
  <si>
    <t>Be like water.</t>
  </si>
  <si>
    <t>Osmosis.org is a leading medical &amp; health education platform with an audience of over 3 million current &amp; future clinicians &amp; caregivers. Our vision: Everyone who cares for someone will learn by Osmosis!
Our YouTube channel features general consumer health videos to educate the public about important medical concepts. The Osmosis.org learning platform features more in-depth videos for health professionals and students, thousands of practice questions and flashcards, and advanced features like study schedules and collaborative tools.</t>
  </si>
  <si>
    <t>Hi I’m Ella i make these cringe videos bc I want to k!11 :D  (Obviously this is a joke I would never I make cringe vids because I want to make a ppl be like “wtf-“ so yeah I wanna see some swearing-)</t>
  </si>
  <si>
    <t>Dit kanaal is bedoeld om mijn eigen werk te presenteren maar ook om als educatief platform te fungeren.</t>
  </si>
  <si>
    <t>Journalism that’s Made for Minds. Follow us for global news and analysis from the heart of Europe. DW News delivers the world's breaking news while going deep beneath the surface of what's going on. Correspondents on the ground and in the studio provide their detailed analysis and insights on issues that affect our viewers. 
Deutsche Welle is Germany’s international broadcaster, producing content in 30 languages. We independently report social, political and economic developments in Germany and Europe, incorporating both German and other perspectives. DW hopes to promote understanding between different cultures and peoples. 
While funded by the German government, the work of DW is regulated by the Deutsche Welle Act (http://p.dw.com/p/17MtP), meaning content is always independent of government influence. 
We ask that you please keep comments and discussions on this channel clean and respectful. For further information please click the 'DW Netiquette' link below.</t>
  </si>
  <si>
    <t>Lure catching mosquitoes by pheromone</t>
  </si>
  <si>
    <t>♠️A Role Model
♠️A Male Model who portrays Fashion/Walking Celeb...
♠️_xD83D__xDEB6__xD83C__xDFFD_‍♂️</t>
  </si>
  <si>
    <t>.</t>
  </si>
  <si>
    <t>Guitar tutorials, tablature, originals, covers, backing tacks and other random things!</t>
  </si>
  <si>
    <t>I am a firm believer of satire and sarcasm without disclaimers or apologies.
If you can't laugh at yourself, get a life!</t>
  </si>
  <si>
    <t>♈  #marketing #coding #design</t>
  </si>
  <si>
    <t>Hi guys, 
welcome to my Youtube Channel. 
Thanks for watching.
Recently active more on TikTok and Youtube Shorts</t>
  </si>
  <si>
    <t>Just a channel about an average Indie Dev trying to creating games. Find out more on my website severearts.com</t>
  </si>
  <si>
    <t>Homos are destroying society like the Roman’s</t>
  </si>
  <si>
    <t>Freshly captured  himars as Christmas present</t>
  </si>
  <si>
    <t>I like to review YouTube Channels for Music, Games and other content. Real Recognizes Real and Facts are Facts.</t>
  </si>
  <si>
    <t>phukumean?</t>
  </si>
  <si>
    <t>I am a bi but have transphobic tendency. Sometimes racist sometimes humanitarian depending on mood.</t>
  </si>
  <si>
    <t>Hello!
If you're wondering about my 2021 Joindate, i can explain!
I lost my old account.
And it had a 2012 Joindate. :/
Country of Birth: Bosnia and Herzegovina.
Ethnicity: Croat.
Place of current Residence: Herzegovina.
Birth day: 1st of April, 2006.
Faith: Atheism.</t>
  </si>
  <si>
    <t>I am Sykaax, Valeriy Zhuykov. I made videos on games, then politics became too important not to devote time to it. Economics and Politics is now the basis of my channel. I used to make videos in Russian, now it's useless, so I'm doing it in English.</t>
  </si>
  <si>
    <t>Reply notifications are off. You aren't important enough to warrant me being aware that you impotently tried to clap back. _xD83E__xDEF6__xD83C__xDFFB_ _xD83D__xDE18_</t>
  </si>
  <si>
    <t>Bih Stico is a nurse by profession/ Social Worker .Aside working as a nurse, she is an Artist. She is gifted with a marvellous voice and passion for music that brings peace to the soul.</t>
  </si>
  <si>
    <t>Welcome to my YouTube channel.  I'm Annabella.  This is my happy carnivore journey where I will be sharing how I'm going on the carnivore diet. I want to share crafty, and creative ideas, fiction that I write,  diamond painting, scratch art, and clothing.  The carnivore diet is giving me my health back.  Come and join me for this fun and exciting ride.</t>
  </si>
  <si>
    <t>Curious mind! Free thinker.</t>
  </si>
  <si>
    <t>_xD83C__xDF55__xD83C__xDF55_</t>
  </si>
  <si>
    <t>Happy face to everyone</t>
  </si>
  <si>
    <t>Sat Nam! (Truth is my Name. Truth is my identity). This is only the beginning of integrating the philosophy and practicality of a Kundalini Yoga practice into daily life. One will become aware of the patterns in life and adjust accordingly to the best of their capabilities. Sarab (complete in one self) Dyal (compassion).</t>
  </si>
  <si>
    <t>Expressing a different point of view on how we all look at life and our different journeys through it 50/50 chance we will succeed or fail the choice is our own _xD83D__xDCAF_</t>
  </si>
  <si>
    <t>I respect and tolerate all people, except those who discriminate against the deaf and/or are bigoted against Muslims.</t>
  </si>
  <si>
    <t>Please subscribe and like</t>
  </si>
  <si>
    <t>Welcome To Mr-Slayer-Sir's
Exhilarating Channel! Where You See Us Have Fun! Come Join Us On Our Crazy Rage Moment's And Stupid Bugs And Irrelevant Content Game Devs Adds To Thier Games.
(Twitch Is MrSlayerSir)</t>
  </si>
  <si>
    <t>||Me:
I am Dr. Khaled Ouanes, Ph.D.: CEO, Leader, Web/IT Expert, Entrepreneur, Biologist, founder of LLCs, Author, Polyglot, Senior Consultant, innovator, &amp; University Professor. 
||More Details:
I'm an active contributor in scientific research with published articles, reports and books. 
I also have a proven, consistent track record of successful business development and management with extensive expert-level Web &amp; IT Specialist. I fluently speak four languages (Arabic, French, English, and Spanish).
||My Channel:
This is my Youtube channel through which I am trying to help YOU learn more about Leadership, Technology, Science, Health, Education, Innovation and many other fields.
|| Feel free to contact me and send services and product review requests &amp; Any Proposals or requests.</t>
  </si>
  <si>
    <t>hello,i hope you all enjoy watching me and my friends play we hope to make you laugh and have fun, i may not be the best at video games but i will always try. please follow my tiktok for some highlights and shorts.</t>
  </si>
  <si>
    <t>No nonsense &amp; straight-talking debt recovery service based in Liverpool. Are you sick of asking nicely for your money? We will have you paid... &amp; Fast.
We show real-life scenarios where debtors are confronted by our collection agents and getting results.</t>
  </si>
  <si>
    <t>SABC News, Africa's news leader at www.sabcnews.com is the online news portal of South Africa's public broadcaster. 
The South African Broadcasting Corporation has 18 radio stations and 3 television stations broadcasting in 11 languages, and a web presence on www.sabc.co.za. With its extensive coverage of local and international events on Radio and TV, the SABC News online service carries the best content gathered by SABC radio and TV news teams.</t>
  </si>
  <si>
    <t>MAGMA tutorials</t>
  </si>
  <si>
    <t>Vanhu Ve Mandorokwati</t>
  </si>
  <si>
    <t>Welcome! Here at Grow Your Own London we teach you how to grow your own food in these crazy volatile times with very little space, time, money or effort required! We're starting a wave of personal self sustainability and self preservation and I want you all to join us.</t>
  </si>
  <si>
    <t>Mountain bike XC</t>
  </si>
  <si>
    <t>We're a financial services company that looks after your health, life and wellbeing. We strive to make people healthier and protect and enhance their lives.</t>
  </si>
  <si>
    <t>An unplanned academic journey of a South African student.</t>
  </si>
  <si>
    <t>Affinity Health aims to make affordable healthcare available to all South Africans with healthcare plans designed to suit your health and financial needs. We are passionate about quality healthcare. Using our expertise, we have designed a range of options, including Day-to-Day, Hospital and Combined Plans.</t>
  </si>
  <si>
    <t>Business news from across Africa.</t>
  </si>
  <si>
    <t>I appear to have gone down the rabbit hole.</t>
  </si>
  <si>
    <t>I'm a farmer and I'm mad</t>
  </si>
  <si>
    <t>23 year old Métis guy living in Saskatchewan, Canada.</t>
  </si>
  <si>
    <t>Jamie</t>
  </si>
  <si>
    <t>Mostly Vancouver Walking Tour</t>
  </si>
  <si>
    <t>Aktuelles: Das Google+ Team hat mein Profilbild aufgrund sexueller und gewaltverherrlichender Inhalte gesperrt. Das tut mir Leid :/
YouTube war auch schon mal besser.
Falls du Antworten suchst: Hier findest du sie nicht. YouTube hat den deutschen Support für normale YouTuber eingestellt. Falls möglich, wende dich an dein Netzwerk.
AdBlocker nicht vergessen! Yolo.
Hint for my english friends: trololol</t>
  </si>
  <si>
    <t>Добро пожаловать на мой Ютуб канал. В этом канале вы научитесь говорить как носитель, Я вам обЪясню английский с точки зрения носителя без лишного</t>
  </si>
  <si>
    <t>Engneering, Procurement, Commissioning of mines</t>
  </si>
  <si>
    <t>Basic Level-III</t>
  </si>
  <si>
    <t>Subscribe to our YouTube channel and get free access to a wide range of talks, from world-leading fertility specialists and experts.
Special thanks to all our awesome speakers for their invaluable contribution to the FSA programme. Their expertise, knowledge and commitment to helping those struggling to conceive is essential in helping create awareness of fertility issues and allows us to share this content freely. 
For more visit www.fertilityshowafrica.com</t>
  </si>
  <si>
    <t>Die AUSSENWIRTSCHAFT AUSTRIA der Wirtschaftskammer Österreich ist die Internationalisierungs- und Innovationsagentur der österreichischen Wirtschaft! Sie steht - mit ihren rund 100 Büros in über 70 Ländern - allen österreichischen Unternehmen bei ihrer Internationalisierung zur Seite.
Offenlegung nach § 25 Mediengesetz 
Medieninhaber: 
Wirtschaftskammer Österreich 
Vertretungsbefugte Organe 
Präsident: Dr. Harald Mahrer 
Tätigkeitsbereich:
Interessenvertretung sowie Information, Beratung und Unterstützung der jeweiligen Mitglieder als gesetzliche Interessenvertretung. 
Sitz: 
Wirtschaftskammer Österreich 
Wiedner Hauptstraße 63, A-1045 Wien 
+43 (0)5 90 900 Fax:+43 (0)5 90 900 250
office@wko.at 
Ausführliches Impressum: 
https://www.wko.at/service/Offenlegung_Oesterreich.html</t>
  </si>
  <si>
    <t>CARE Hospitals Group is a multi-speciality healthcare provider with 16 healthcare facilities serving 7 cities across 6 states in India. Today CARE Hospitals Group is the regional leader in South and Central India and is among the top 5 Pan-Indian hospital chains. It delivers comprehensive care in over 30 clinical specialities such as Cardiac Sciences, Oncology, Neurosciences, Renal Sciences, Gastroenterology &amp; Hepatology, Orthopaedics &amp; Joint Replacement, ENT, Vascular Surgery, Emergency &amp; Trauma, and Integrated Organ Transplants to name a few. With its state-of-the-art infrastructure, an internationally-certified team of eminent doctors, and a caring environment, CARE Hospitals Group is the preferred healthcare destination for people living in India and abroad.
Contact: 040 67206588</t>
  </si>
  <si>
    <t>The Access to Medicine Foundation is an independent non-profit organisation based in the Netherlands. We seek to transform the healthcare ecosystem by motivating and mobilising companies to expand access to their essential healthcare products in low- and middle-income countries. We use the power of data, collaboration and persuasion to trigger action by the pharmaceutical industry and scale up access to products.</t>
  </si>
  <si>
    <t>Welcome to AMR Physiotherapy.
Physiotherapists (or if you prefer Physical Therapists) Anthony, Martynas and Rob will bring you exercise and rehab ideas, as well as delving into the latest research and covering all things related to musculoskeletal conditions, we have videos on the channel to help you treat yourself at home, to become stronger, more flexible and pain-free.</t>
  </si>
  <si>
    <t>IAS – the International AIDS Society – convenes, educates and advocates for a world in which HIV no longer presents a threat to public health and individual well-being. After the emergence of HIV and AIDS, concerned scientists created the IAS to bring together experts from across the world and disciplines to promote a concerted HIV response. 
Today, the IAS and its members unite scientists, policy makers and activists to galvanize the scientific response, build global solidarity and enhance human dignity for all those living with and affected by HIV.  
The IAS also hosts the world’s most prestigious HIV conferences: the International AIDS Conference, the IAS Conference on HIV Science and the HIV Research for Prevention Conference.</t>
  </si>
  <si>
    <t>Our continent deserves a revolving stage that gives fair exposure to all sides of its ever-unfolding narrative, one that is ours and no one else’s to tell. We are Africa First.
News Central provides a platform that challenges the status quo while creating factual, relatable content that fits perfectly with our audience's preferences, values, and expectations.</t>
  </si>
  <si>
    <t>#1 Medical Aid Comparison Platform in South Africa.
_xD83D__xDC99_Trying to locate the most affordable medical aid plan in South Africa? 
_xD83D__xDC99_With comprehensive information on all private medical aid plans in South Africa, Medicalaid.com is the go-to resource for consumers.
_xD83D__xDC99_Receive family medical insurance from as little as R300 per month up to R10,000 per month.
_xD83D__xDC99_Our editorial research team* verifies all listed medical aids, gap covers, and hospital plan schemes once a month.
Compare, Click, and Cover…</t>
  </si>
  <si>
    <t>www.fastercapital.com | contact@fastercapital.com | UAE Mobile: +971 5558 55663 | USA: (512) 400-025
Helping startups get up and running and prosper.
FasterCapital is an online incubator, accelerator, and service provider. We help startups and small businesses worldwide and invest in them in a work-per-equity model. We provide either technical development per equity or business development per equity. We help startups and SMEs that are raising capital from angel investors, VCs, micro VCs and other funding sources.
We invest in startups from different industries (FinTech, EduTech, HealthTech, Entertainment, Media, Software, Ecommerce, Blockchain, and others) and stages (idea stage, MVP, Seed stage, Series A, and others) and we are country agnostic.
Contact us:
https://wa.me/971555855663
contact@fastercapital.com</t>
  </si>
  <si>
    <t>Seefa Productions is a TV company based in Nairobi, Kenya.
We cover News, Documentaries, Corporate videos and Events.
Our clients include Aljazeera English, BBC, CNN, TRT.
www.seefa.co.ke</t>
  </si>
  <si>
    <t>International Health Economics Association
---
IHEA is a not-for-profit membership organization, with over 1,500 members from more than 100 countries. IHEA's mission is to foster an inclusive global community of health economists, committed to strengthening the field, sharing ideas and resources, developing and applying economic theory and methods and generating evidence for improved, equitable health and health care.</t>
  </si>
  <si>
    <t>@afhegfoundation</t>
  </si>
  <si>
    <t>@youthgridfoundationug5060</t>
  </si>
  <si>
    <t>@somalidev</t>
  </si>
  <si>
    <t>@africacancerecho5247</t>
  </si>
  <si>
    <t>@healthnews4135</t>
  </si>
  <si>
    <t>@jennyphillips4401</t>
  </si>
  <si>
    <t>@senatorsanders</t>
  </si>
  <si>
    <t>@mrtristan499</t>
  </si>
  <si>
    <t>@janemerrittmckenna2386</t>
  </si>
  <si>
    <t>@vernonnickersonschoolcoach</t>
  </si>
  <si>
    <t>@rotiseriejones2137</t>
  </si>
  <si>
    <t>@ruthnovena40</t>
  </si>
  <si>
    <t>@rhondah1587</t>
  </si>
  <si>
    <t>@mimashrimp</t>
  </si>
  <si>
    <t>@batgirlp5561</t>
  </si>
  <si>
    <t>@feuerbach1</t>
  </si>
  <si>
    <t>@coreyanderson7424</t>
  </si>
  <si>
    <t>@elsantoluchador</t>
  </si>
  <si>
    <t>@mysticiadevhoopsmacabre</t>
  </si>
  <si>
    <t>@emiliaabeyta159</t>
  </si>
  <si>
    <t>@sylviaharris8852</t>
  </si>
  <si>
    <t>@uptick888</t>
  </si>
  <si>
    <t>@madronaxyz</t>
  </si>
  <si>
    <t>@ralphhy</t>
  </si>
  <si>
    <t>@magdelenedomut1433</t>
  </si>
  <si>
    <t>@99.8survivor</t>
  </si>
  <si>
    <t>@lizliz4186</t>
  </si>
  <si>
    <t>@pablotrobo</t>
  </si>
  <si>
    <t>@lorraineherman1779</t>
  </si>
  <si>
    <t>@crystalpope520</t>
  </si>
  <si>
    <t>@fokkenhotz1</t>
  </si>
  <si>
    <t>@supaipaii930</t>
  </si>
  <si>
    <t>@sharonolson5782</t>
  </si>
  <si>
    <t>@stk9387</t>
  </si>
  <si>
    <t>@david-ii3bi</t>
  </si>
  <si>
    <t>@dustinh2869</t>
  </si>
  <si>
    <t>@deemustafa4093</t>
  </si>
  <si>
    <t>@lindahauk1672</t>
  </si>
  <si>
    <t>@jackjobriencorso</t>
  </si>
  <si>
    <t>@methodraw9726</t>
  </si>
  <si>
    <t>@libbyholt3863</t>
  </si>
  <si>
    <t>@demisialockett8437</t>
  </si>
  <si>
    <t>@jmdec20</t>
  </si>
  <si>
    <t>@myrietlewis6119</t>
  </si>
  <si>
    <t>@heidithesausage</t>
  </si>
  <si>
    <t>@cheetobandido546</t>
  </si>
  <si>
    <t>@gloriaarevalo9163</t>
  </si>
  <si>
    <t>@rajaasobh</t>
  </si>
  <si>
    <t>@fokkenhotz</t>
  </si>
  <si>
    <t>@janiekcarney5482</t>
  </si>
  <si>
    <t>@slkhjf</t>
  </si>
  <si>
    <t>@progressive.g</t>
  </si>
  <si>
    <t>@theycallmeglitchdash</t>
  </si>
  <si>
    <t>@lowellenglish5319</t>
  </si>
  <si>
    <t>@robincosta8973</t>
  </si>
  <si>
    <t>@jmachorrov</t>
  </si>
  <si>
    <t>@davidgriego8664</t>
  </si>
  <si>
    <t>@marym22</t>
  </si>
  <si>
    <t>@alfonsogutierrez1392</t>
  </si>
  <si>
    <t>@bronwynolsen3849</t>
  </si>
  <si>
    <t>@alisonmcrae1281</t>
  </si>
  <si>
    <t>@jaywilsonjr2930</t>
  </si>
  <si>
    <t>@rickdominick69</t>
  </si>
  <si>
    <t>@amocan3932</t>
  </si>
  <si>
    <t>@thevision4734</t>
  </si>
  <si>
    <t>@johnnyutah1983</t>
  </si>
  <si>
    <t>@lindadavis5668</t>
  </si>
  <si>
    <t>@wytrose4602</t>
  </si>
  <si>
    <t>@gervazejoseph9586</t>
  </si>
  <si>
    <t>@anna-mm7dz</t>
  </si>
  <si>
    <t>@arhweehinreeverse1452</t>
  </si>
  <si>
    <t>@darionrobinson1</t>
  </si>
  <si>
    <t>@displore1</t>
  </si>
  <si>
    <t>@lovelineoutreachministries1914</t>
  </si>
  <si>
    <t>@blessly0882</t>
  </si>
  <si>
    <t>@t.nelson9345</t>
  </si>
  <si>
    <t>@bnd99</t>
  </si>
  <si>
    <t>@mabotsemohlahlo3721</t>
  </si>
  <si>
    <t>@theoriginalpharaohx</t>
  </si>
  <si>
    <t>@kouassibodoua7206</t>
  </si>
  <si>
    <t>@segustus</t>
  </si>
  <si>
    <t>@user-rs8965grt</t>
  </si>
  <si>
    <t>@kwabenanuhu6853</t>
  </si>
  <si>
    <t>@chigozieinnocent2782</t>
  </si>
  <si>
    <t>@siphozulu2065</t>
  </si>
  <si>
    <t>@donaldmjbart-williams3144</t>
  </si>
  <si>
    <t>@gugukhumalo6392</t>
  </si>
  <si>
    <t>@makhosazanamsimang7180</t>
  </si>
  <si>
    <t>@celebritystantrending</t>
  </si>
  <si>
    <t>@roybaxolile1243</t>
  </si>
  <si>
    <t>@dupa7977</t>
  </si>
  <si>
    <t>@nonkululekonhleko2948</t>
  </si>
  <si>
    <t>@hleskomlan4817</t>
  </si>
  <si>
    <t>@sthe_zar6341</t>
  </si>
  <si>
    <t>@akwoykolortimothy8100</t>
  </si>
  <si>
    <t>@trustvia2663</t>
  </si>
  <si>
    <t>@kagisonko3279</t>
  </si>
  <si>
    <t>@mt-oc1og</t>
  </si>
  <si>
    <t>@tumelondubane1916</t>
  </si>
  <si>
    <t>@sikhumbulelufutha3172</t>
  </si>
  <si>
    <t>@tafadzwanerwande7753</t>
  </si>
  <si>
    <t>@fos-b2537</t>
  </si>
  <si>
    <t>@siyamav4635</t>
  </si>
  <si>
    <t>@lebodaniel3154</t>
  </si>
  <si>
    <t>@sebolelophakisi230</t>
  </si>
  <si>
    <t>@stephenyala7600</t>
  </si>
  <si>
    <t>@samukelomadide797</t>
  </si>
  <si>
    <t>@nanaadubekoe9639</t>
  </si>
  <si>
    <t>@gtmatters9848</t>
  </si>
  <si>
    <t>@skhumbuzintsibande240</t>
  </si>
  <si>
    <t>@mlungisinkanunu8596</t>
  </si>
  <si>
    <t>@aaed-npo</t>
  </si>
  <si>
    <t>@elvisotieno1083</t>
  </si>
  <si>
    <t>@nguboyengwekaluvuyo6219</t>
  </si>
  <si>
    <t>@klaasdemega4741</t>
  </si>
  <si>
    <t>@simelanem</t>
  </si>
  <si>
    <t>@nkululekoshezi6300</t>
  </si>
  <si>
    <t>@calebekaale1689</t>
  </si>
  <si>
    <t>@catherineg9921</t>
  </si>
  <si>
    <t>@charlesmacharia7446</t>
  </si>
  <si>
    <t>@buangbontle4570</t>
  </si>
  <si>
    <t>@takithetutor8300</t>
  </si>
  <si>
    <t>@musamahori5493</t>
  </si>
  <si>
    <t>@irenedavo3768</t>
  </si>
  <si>
    <t>@davidkotiletsoari2663</t>
  </si>
  <si>
    <t>@tesfayemikiyas501</t>
  </si>
  <si>
    <t>@jamesbundala4670</t>
  </si>
  <si>
    <t>@charlesdaka4604</t>
  </si>
  <si>
    <t>@abdirahmanabdullahi3094</t>
  </si>
  <si>
    <t>@allthingsrevisited252</t>
  </si>
  <si>
    <t>@sisi-mee</t>
  </si>
  <si>
    <t>@r.q5194</t>
  </si>
  <si>
    <t>@babacardiallo5662</t>
  </si>
  <si>
    <t>@michmbolingaba7310</t>
  </si>
  <si>
    <t>@michaelmm4684</t>
  </si>
  <si>
    <t>@talkingwithdocs</t>
  </si>
  <si>
    <t>@mikesmith7620</t>
  </si>
  <si>
    <t>@amazingmikemed</t>
  </si>
  <si>
    <t>@vasifarshad3362</t>
  </si>
  <si>
    <t>@presentkhanal</t>
  </si>
  <si>
    <t>@janglangmalatang7475</t>
  </si>
  <si>
    <t>@johnratcliffe6438</t>
  </si>
  <si>
    <t>@user-so7uw9my6e</t>
  </si>
  <si>
    <t>@user-wr2dh9yf1n</t>
  </si>
  <si>
    <t>@azwth</t>
  </si>
  <si>
    <t>@zsuzsakarolysmith</t>
  </si>
  <si>
    <t>@professortruth56</t>
  </si>
  <si>
    <t>@elenitadidier2814</t>
  </si>
  <si>
    <t>@poojanair3367</t>
  </si>
  <si>
    <t>@kyle019</t>
  </si>
  <si>
    <t>@moeb8620</t>
  </si>
  <si>
    <t>@cyndilu9</t>
  </si>
  <si>
    <t>@begood1</t>
  </si>
  <si>
    <t>@samasda</t>
  </si>
  <si>
    <t>@rutha.3169</t>
  </si>
  <si>
    <t>@xniji</t>
  </si>
  <si>
    <t>@ilovejesuschrist621</t>
  </si>
  <si>
    <t>@thestablishmentblues</t>
  </si>
  <si>
    <t>@kchong228</t>
  </si>
  <si>
    <t>@couldntholdacandle6681</t>
  </si>
  <si>
    <t>@odhinnswrath</t>
  </si>
  <si>
    <t>@davedd5719</t>
  </si>
  <si>
    <t>@rider-hh9it</t>
  </si>
  <si>
    <t>@1percenttttt</t>
  </si>
  <si>
    <t>@richardcollins8398</t>
  </si>
  <si>
    <t>@ravishegde2335</t>
  </si>
  <si>
    <t>@aleciafinlayson6386</t>
  </si>
  <si>
    <t>@pamelavanpelt2709</t>
  </si>
  <si>
    <t>@carpediem2674</t>
  </si>
  <si>
    <t>@hardtruth2039</t>
  </si>
  <si>
    <t>@mrgeorgewf</t>
  </si>
  <si>
    <t>@lindalown-ei9zi</t>
  </si>
  <si>
    <t>@gopinathramanathan8236</t>
  </si>
  <si>
    <t>@mmendel8806</t>
  </si>
  <si>
    <t>@lasco82</t>
  </si>
  <si>
    <t>@diggingmystyle</t>
  </si>
  <si>
    <t>@phaseskater</t>
  </si>
  <si>
    <t>@andrewkitchenuk</t>
  </si>
  <si>
    <t>@corkfish1</t>
  </si>
  <si>
    <t>@quaqltagh333</t>
  </si>
  <si>
    <t>@bojenghosh3084</t>
  </si>
  <si>
    <t>@wendysentosa3312</t>
  </si>
  <si>
    <t>@maximumovermuslim6337</t>
  </si>
  <si>
    <t>@juliankundargi</t>
  </si>
  <si>
    <t>@ilovemusic8036</t>
  </si>
  <si>
    <t>@shhtu3522</t>
  </si>
  <si>
    <t>@ngt4life</t>
  </si>
  <si>
    <t>@scottceffalia9572</t>
  </si>
  <si>
    <t>@mphsb</t>
  </si>
  <si>
    <t>@blekidud</t>
  </si>
  <si>
    <t>@jasjas8232</t>
  </si>
  <si>
    <t>@amig9318</t>
  </si>
  <si>
    <t>@m.theresa1385</t>
  </si>
  <si>
    <t>@lahuryder559</t>
  </si>
  <si>
    <t>@theone-ju1vv</t>
  </si>
  <si>
    <t>@jimmyconner7279</t>
  </si>
  <si>
    <t>@user-mj6th5jb9x</t>
  </si>
  <si>
    <t>@abdulshakoor7432</t>
  </si>
  <si>
    <t>@filmsetview</t>
  </si>
  <si>
    <t>@thiscarnivorishlife</t>
  </si>
  <si>
    <t>@mastercarguy44-pk2dq</t>
  </si>
  <si>
    <t>@daby8399</t>
  </si>
  <si>
    <t>@439801rs</t>
  </si>
  <si>
    <t>@johnsouza5262</t>
  </si>
  <si>
    <t>@richardcooper4825</t>
  </si>
  <si>
    <t>@mericanmuskles4205</t>
  </si>
  <si>
    <t>@vaibhavgargrocks1</t>
  </si>
  <si>
    <t>@mayuangeloo</t>
  </si>
  <si>
    <t>@greensquirrel4019</t>
  </si>
  <si>
    <t>@2nostromo</t>
  </si>
  <si>
    <t>@user-rp6ng8cp7z</t>
  </si>
  <si>
    <t>@simonasimona7210</t>
  </si>
  <si>
    <t>@rossanamendez404</t>
  </si>
  <si>
    <t>@slambarnhill6502</t>
  </si>
  <si>
    <t>@timrowland9422</t>
  </si>
  <si>
    <t>@panda.gultom</t>
  </si>
  <si>
    <t>@jw02828</t>
  </si>
  <si>
    <t>@juansanchez4301</t>
  </si>
  <si>
    <t>@tombowler6458</t>
  </si>
  <si>
    <t>@sylviaivie7047</t>
  </si>
  <si>
    <t>@dianacoulson4724</t>
  </si>
  <si>
    <t>@biscaynebeast</t>
  </si>
  <si>
    <t>@kellyk.8519</t>
  </si>
  <si>
    <t>@blahbleh5671</t>
  </si>
  <si>
    <t>@laurainfinity1390</t>
  </si>
  <si>
    <t>@user-pk2bb3zh8t</t>
  </si>
  <si>
    <t>@icebreaketh</t>
  </si>
  <si>
    <t>@eagle_delta</t>
  </si>
  <si>
    <t>@therealsmithfamily</t>
  </si>
  <si>
    <t>@okaynope5197</t>
  </si>
  <si>
    <t>@thinkingoutloud675</t>
  </si>
  <si>
    <t>@paulsidaway4014</t>
  </si>
  <si>
    <t>@imabrideofchrist</t>
  </si>
  <si>
    <t>@binoymathew246</t>
  </si>
  <si>
    <t>@osmosis</t>
  </si>
  <si>
    <t>@eyewatchu2b</t>
  </si>
  <si>
    <t>@dahunterstrophy</t>
  </si>
  <si>
    <t>@danaigwatsvaira5846</t>
  </si>
  <si>
    <t>@user-cz5lr8zi5h</t>
  </si>
  <si>
    <t>@ramsita8198</t>
  </si>
  <si>
    <t>@ellakwok7737</t>
  </si>
  <si>
    <t>@rik-keymusic160</t>
  </si>
  <si>
    <t>@ramthian</t>
  </si>
  <si>
    <t>@dwnews</t>
  </si>
  <si>
    <t>@mikaelarhelger</t>
  </si>
  <si>
    <t>@itzyourfashionceleb5732</t>
  </si>
  <si>
    <t>@jefff72</t>
  </si>
  <si>
    <t>@mep.stance1210</t>
  </si>
  <si>
    <t>@e4t662</t>
  </si>
  <si>
    <t>@ng-iu9xn</t>
  </si>
  <si>
    <t>@jameswatt7249</t>
  </si>
  <si>
    <t>@user-ic4ce8xb5v</t>
  </si>
  <si>
    <t>@dddz961</t>
  </si>
  <si>
    <t>@mgm261</t>
  </si>
  <si>
    <t>@martytube821</t>
  </si>
  <si>
    <t>@gabrieleea2789</t>
  </si>
  <si>
    <t>@joe.oneill</t>
  </si>
  <si>
    <t>@faith5401</t>
  </si>
  <si>
    <t>@sugarbabylove1000</t>
  </si>
  <si>
    <t>@stupifyingstupedity2112</t>
  </si>
  <si>
    <t>@matifi</t>
  </si>
  <si>
    <t>@worldcitizen.2022</t>
  </si>
  <si>
    <t>@takh6806</t>
  </si>
  <si>
    <t>@poopootin3652</t>
  </si>
  <si>
    <t>@loolikyl0005</t>
  </si>
  <si>
    <t>@sequero2747</t>
  </si>
  <si>
    <t>@marcus9434</t>
  </si>
  <si>
    <t>@paolitoviertesunikat40</t>
  </si>
  <si>
    <t>@ruslanarslanov9096</t>
  </si>
  <si>
    <t>@firefocus609</t>
  </si>
  <si>
    <t>@hendrasutika</t>
  </si>
  <si>
    <t>@kickass7104</t>
  </si>
  <si>
    <t>@realfangplays</t>
  </si>
  <si>
    <t>@dungnguyen-vx2sc</t>
  </si>
  <si>
    <t>@nbell5050</t>
  </si>
  <si>
    <t>@coldstonestunners</t>
  </si>
  <si>
    <t>@r6ex</t>
  </si>
  <si>
    <t>@jouvertalandwa5337</t>
  </si>
  <si>
    <t>@jon_s</t>
  </si>
  <si>
    <t>@tuntee</t>
  </si>
  <si>
    <t>@mausilugner6637</t>
  </si>
  <si>
    <t>@johncollins2037</t>
  </si>
  <si>
    <t>@m.k.7176</t>
  </si>
  <si>
    <t>@principemaquiavelo3451</t>
  </si>
  <si>
    <t>@miamitrancemissions6425</t>
  </si>
  <si>
    <t>@amanverma7033</t>
  </si>
  <si>
    <t>@shanehtethan4133</t>
  </si>
  <si>
    <t>@east_coast_ceo1070</t>
  </si>
  <si>
    <t>@nsevv</t>
  </si>
  <si>
    <t>@kjsvitko</t>
  </si>
  <si>
    <t>@chhewee</t>
  </si>
  <si>
    <t>@danspencer9499</t>
  </si>
  <si>
    <t>@iceman4660</t>
  </si>
  <si>
    <t>@eternal_ecstasy_77</t>
  </si>
  <si>
    <t>@eza_yuta</t>
  </si>
  <si>
    <t>@devroombagchus7460</t>
  </si>
  <si>
    <t>@xn9333</t>
  </si>
  <si>
    <t>@kn-xl6lw</t>
  </si>
  <si>
    <t>@mrwhitmen1981</t>
  </si>
  <si>
    <t>@spaghettiisyummy.3623</t>
  </si>
  <si>
    <t>@buravan1512</t>
  </si>
  <si>
    <t>@abubakarsadisumuktar932</t>
  </si>
  <si>
    <t>@milesobrien2694</t>
  </si>
  <si>
    <t>@donnacabot3550</t>
  </si>
  <si>
    <t>@brerabbit4233</t>
  </si>
  <si>
    <t>@sykaax</t>
  </si>
  <si>
    <t>@mlionea</t>
  </si>
  <si>
    <t>@eric-tp8oy</t>
  </si>
  <si>
    <t>@paulblichmann2791</t>
  </si>
  <si>
    <t>@entengummitiger1576</t>
  </si>
  <si>
    <t>@acacius9903</t>
  </si>
  <si>
    <t>@agenericaccount3935</t>
  </si>
  <si>
    <t>@dannestrom</t>
  </si>
  <si>
    <t>@marianasalles242</t>
  </si>
  <si>
    <t>@bihstico5917</t>
  </si>
  <si>
    <t>@joelxavier9465</t>
  </si>
  <si>
    <t>@vinm300</t>
  </si>
  <si>
    <t>@tomnook.</t>
  </si>
  <si>
    <t>@0321rey</t>
  </si>
  <si>
    <t>@barbglinsmann3016</t>
  </si>
  <si>
    <t>@janettekreulen54</t>
  </si>
  <si>
    <t>@tinapen7725</t>
  </si>
  <si>
    <t>@ka-qw5cv</t>
  </si>
  <si>
    <t>@lavonnemcdowell7040</t>
  </si>
  <si>
    <t>@gaildevlin8926</t>
  </si>
  <si>
    <t>@ydog2114</t>
  </si>
  <si>
    <t>@mariodallariva</t>
  </si>
  <si>
    <t>@yellowdayz1800</t>
  </si>
  <si>
    <t>@michaelkurtz1967</t>
  </si>
  <si>
    <t>@lenamartinez7999</t>
  </si>
  <si>
    <t>@berthajean-marie788</t>
  </si>
  <si>
    <t>@jenniferkent386</t>
  </si>
  <si>
    <t>@pepper419</t>
  </si>
  <si>
    <t>@paulgrimm6850</t>
  </si>
  <si>
    <t>@bukaridris2808</t>
  </si>
  <si>
    <t>@susanferrazzano1957</t>
  </si>
  <si>
    <t>@annabellaredwood</t>
  </si>
  <si>
    <t>@jovanjecinac5302</t>
  </si>
  <si>
    <t>@deec505</t>
  </si>
  <si>
    <t>@nancygorham5908</t>
  </si>
  <si>
    <t>@inapicklenow8866</t>
  </si>
  <si>
    <t>@boatergirl4811</t>
  </si>
  <si>
    <t>@paulpoppenfuse7071</t>
  </si>
  <si>
    <t>@lindaharris7728</t>
  </si>
  <si>
    <t>@wano2363</t>
  </si>
  <si>
    <t>@bnep2424</t>
  </si>
  <si>
    <t>@lynxprime1778</t>
  </si>
  <si>
    <t>@patrickhererera-ku8fc</t>
  </si>
  <si>
    <t>@darrasmith-ul3mt</t>
  </si>
  <si>
    <t>@amarok5048</t>
  </si>
  <si>
    <t>@franciscosaldana2879</t>
  </si>
  <si>
    <t>@sis5674</t>
  </si>
  <si>
    <t>@imassage619</t>
  </si>
  <si>
    <t>@kathrynvecchione6466</t>
  </si>
  <si>
    <t>@datuprincemopakmangudadatu8869</t>
  </si>
  <si>
    <t>@jolenecreech7648</t>
  </si>
  <si>
    <t>@lornahay8585</t>
  </si>
  <si>
    <t>@teresafraser3049</t>
  </si>
  <si>
    <t>@bettyb00p274</t>
  </si>
  <si>
    <t>@kiana7758</t>
  </si>
  <si>
    <t>@chantaledor-qs9dj</t>
  </si>
  <si>
    <t>@thealshammary20</t>
  </si>
  <si>
    <t>@prachigupta624</t>
  </si>
  <si>
    <t>@jz2015</t>
  </si>
  <si>
    <t>@carolinelewis952</t>
  </si>
  <si>
    <t>@lori-zh2hv</t>
  </si>
  <si>
    <t>@frankbrown1843</t>
  </si>
  <si>
    <t>@stingsweet1976</t>
  </si>
  <si>
    <t>@nancybraybrooks5509</t>
  </si>
  <si>
    <t>@tractorkid223</t>
  </si>
  <si>
    <t>@tynaduckett4223</t>
  </si>
  <si>
    <t>@ajaytiwari3290</t>
  </si>
  <si>
    <t>@jeffreykobe4011</t>
  </si>
  <si>
    <t>@jataufwangshak8002</t>
  </si>
  <si>
    <t>@holypikemanz</t>
  </si>
  <si>
    <t>@ammoncalixta</t>
  </si>
  <si>
    <t>@tytraulich4987</t>
  </si>
  <si>
    <t>@fruitdemer201</t>
  </si>
  <si>
    <t>@ampovpodcast1624</t>
  </si>
  <si>
    <t>@kalijasin</t>
  </si>
  <si>
    <t>@debbie320</t>
  </si>
  <si>
    <t>@mimigrace7591</t>
  </si>
  <si>
    <t>@alexm.handro1313</t>
  </si>
  <si>
    <t>@estelamino6356</t>
  </si>
  <si>
    <t>@rdl2529</t>
  </si>
  <si>
    <t>@ryuzaki84</t>
  </si>
  <si>
    <t>@markopolo1271</t>
  </si>
  <si>
    <t>@eisenhoward1</t>
  </si>
  <si>
    <t>@kwhatten</t>
  </si>
  <si>
    <t>@user-wj4lh1ld2v</t>
  </si>
  <si>
    <t>@aswinachu2694</t>
  </si>
  <si>
    <t>@mikkimik6681</t>
  </si>
  <si>
    <t>@ronnyking366</t>
  </si>
  <si>
    <t>@skillful77</t>
  </si>
  <si>
    <t>@leroyjohnston5273</t>
  </si>
  <si>
    <t>@jarodmassie2646</t>
  </si>
  <si>
    <t>@recordball</t>
  </si>
  <si>
    <t>@cb-lx1km</t>
  </si>
  <si>
    <t>@potatoaim523</t>
  </si>
  <si>
    <t>@donna2001</t>
  </si>
  <si>
    <t>@mr-slayer-sir2623</t>
  </si>
  <si>
    <t>@evangelineverasammy6884</t>
  </si>
  <si>
    <t>@alfianmohamadmarzuki645</t>
  </si>
  <si>
    <t>@michaeltse321</t>
  </si>
  <si>
    <t>@abrahamramirez1056</t>
  </si>
  <si>
    <t>@ikanmasin</t>
  </si>
  <si>
    <t>@johnrobert1847</t>
  </si>
  <si>
    <t>@jonnybingo4062</t>
  </si>
  <si>
    <t>@itaiaxelrod</t>
  </si>
  <si>
    <t>@haron521</t>
  </si>
  <si>
    <t>@marcopolo1stp</t>
  </si>
  <si>
    <t>@owenomananything</t>
  </si>
  <si>
    <t>@suzeauster2223</t>
  </si>
  <si>
    <t>@vadirajes</t>
  </si>
  <si>
    <t>@user-mg9jg8cu1t</t>
  </si>
  <si>
    <t>@kukud44</t>
  </si>
  <si>
    <t>@dr.sabaamin4909</t>
  </si>
  <si>
    <t>@khaledouanes</t>
  </si>
  <si>
    <t>@7mooody999xd</t>
  </si>
  <si>
    <t>@cobrafinancialsolutions1039</t>
  </si>
  <si>
    <t>@human-rh7bo</t>
  </si>
  <si>
    <t>@sabcdigitalnews</t>
  </si>
  <si>
    <t>@cherylpenny7471</t>
  </si>
  <si>
    <t>@andrewmcfarlane_1</t>
  </si>
  <si>
    <t>@gigi-vx8sy</t>
  </si>
  <si>
    <t>@badhabbitz-tj3ke</t>
  </si>
  <si>
    <t>@ngalahansel6066</t>
  </si>
  <si>
    <t>@user-qt6th3qs8u</t>
  </si>
  <si>
    <t>@hadassahfirst1478</t>
  </si>
  <si>
    <t>@claradamons399</t>
  </si>
  <si>
    <t>@shirlwest7076</t>
  </si>
  <si>
    <t>@suminthraramsuran724</t>
  </si>
  <si>
    <t>@babamalachi4741</t>
  </si>
  <si>
    <t>@windy4049</t>
  </si>
  <si>
    <t>@bngmnh3583</t>
  </si>
  <si>
    <t>@enadiedericks2006</t>
  </si>
  <si>
    <t>@waynecaboz1180</t>
  </si>
  <si>
    <t>@hermestrismegistus565</t>
  </si>
  <si>
    <t>@beyondlimitations_</t>
  </si>
  <si>
    <t>@jamesfrey6136</t>
  </si>
  <si>
    <t>@jatonnemitchell5192</t>
  </si>
  <si>
    <t>@thewatcher8345</t>
  </si>
  <si>
    <t>@danielschauffer8216</t>
  </si>
  <si>
    <t>@leonhue722</t>
  </si>
  <si>
    <t>@allanlmb37</t>
  </si>
  <si>
    <t>@user-pj8tb1gj9z</t>
  </si>
  <si>
    <t>@napez4126</t>
  </si>
  <si>
    <t>@bradleyrowlett2032</t>
  </si>
  <si>
    <t>@juliegovender6360</t>
  </si>
  <si>
    <t>@discoverysa</t>
  </si>
  <si>
    <t>@av4125</t>
  </si>
  <si>
    <t>@johanvw2863</t>
  </si>
  <si>
    <t>@danvanzyl8412</t>
  </si>
  <si>
    <t>@eunicesebatane-1148</t>
  </si>
  <si>
    <t>@green-ty4kw</t>
  </si>
  <si>
    <t>@mikehorn8470</t>
  </si>
  <si>
    <t>@dimphomokhoantle</t>
  </si>
  <si>
    <t>@reagangovender457</t>
  </si>
  <si>
    <t>@sisbmokoena-wv8ml</t>
  </si>
  <si>
    <t>@neemcreates</t>
  </si>
  <si>
    <t>@zunaidismail6512</t>
  </si>
  <si>
    <t>@affinityhealthtv</t>
  </si>
  <si>
    <t>@growyoutubeviewsgainfame-ki8mo</t>
  </si>
  <si>
    <t>@cnbcafrica410</t>
  </si>
  <si>
    <t>@alisonwelch8465</t>
  </si>
  <si>
    <t>@paulinemutheu4461</t>
  </si>
  <si>
    <t>@bharata_varsa</t>
  </si>
  <si>
    <t>@themadfarmer5207</t>
  </si>
  <si>
    <t>@chmichael</t>
  </si>
  <si>
    <t>@arubuolaebenezer9986</t>
  </si>
  <si>
    <t>@starm6359</t>
  </si>
  <si>
    <t>@itsthetruthteller</t>
  </si>
  <si>
    <t>@asdgh1807</t>
  </si>
  <si>
    <t>@aliancemd</t>
  </si>
  <si>
    <t>@zackgalante4899</t>
  </si>
  <si>
    <t>@farallimacha</t>
  </si>
  <si>
    <t>@blanamaxima</t>
  </si>
  <si>
    <t>@starlight-sl9ok</t>
  </si>
  <si>
    <t>@trevorsutherland5263</t>
  </si>
  <si>
    <t>@alehanjdro1</t>
  </si>
  <si>
    <t>@thomasphilip2892</t>
  </si>
  <si>
    <t>@nyalekambombo4893</t>
  </si>
  <si>
    <t>@maineusamax</t>
  </si>
  <si>
    <t>@spidersnet31</t>
  </si>
  <si>
    <t>@paulas-siddiq1955</t>
  </si>
  <si>
    <t>@kathev9050</t>
  </si>
  <si>
    <t>@angusmacfrankenstein7227</t>
  </si>
  <si>
    <t>@mysterioanonymous3206</t>
  </si>
  <si>
    <t>@ravagher</t>
  </si>
  <si>
    <t>@newmoon1448</t>
  </si>
  <si>
    <t>@jameszclark</t>
  </si>
  <si>
    <t>@jinxevis260</t>
  </si>
  <si>
    <t>@asi-oquabassey1999</t>
  </si>
  <si>
    <t>@sotommy1949</t>
  </si>
  <si>
    <t>@jameslascelle9453</t>
  </si>
  <si>
    <t>@ernestabor</t>
  </si>
  <si>
    <t>@shahidanusrat6086</t>
  </si>
  <si>
    <t>@bae059</t>
  </si>
  <si>
    <t>@vancouverwatcher</t>
  </si>
  <si>
    <t>@neosouth3780</t>
  </si>
  <si>
    <t>@chevoymcdermott1051</t>
  </si>
  <si>
    <t>@spandanbd</t>
  </si>
  <si>
    <t>@victorolatope5148</t>
  </si>
  <si>
    <t>@skyvison33</t>
  </si>
  <si>
    <t>@gotrek-sk8rq</t>
  </si>
  <si>
    <t>@t0scanelli</t>
  </si>
  <si>
    <t>@horiapereat1205</t>
  </si>
  <si>
    <t>@des8559</t>
  </si>
  <si>
    <t>@anitagorse9204</t>
  </si>
  <si>
    <t>@captainspecimen</t>
  </si>
  <si>
    <t>@seanolan</t>
  </si>
  <si>
    <t>@thelastbison2241</t>
  </si>
  <si>
    <t>@nsrini1971</t>
  </si>
  <si>
    <t>@smallscaleminingsupplies9670</t>
  </si>
  <si>
    <t>@nusaibahibraheem8183</t>
  </si>
  <si>
    <t>@robertthompson-nn9ct</t>
  </si>
  <si>
    <t>@dekev7503</t>
  </si>
  <si>
    <t>@md-ew1xg</t>
  </si>
  <si>
    <t>@1001balance</t>
  </si>
  <si>
    <t>@amazila</t>
  </si>
  <si>
    <t>@user-zo2rn1ct6i</t>
  </si>
  <si>
    <t>@richgunning8311</t>
  </si>
  <si>
    <t>@swts4k</t>
  </si>
  <si>
    <t>@citizenbr100</t>
  </si>
  <si>
    <t>@ra-ms3je</t>
  </si>
  <si>
    <t>@user-st3im5ge7f</t>
  </si>
  <si>
    <t>@internationalinvesting4336</t>
  </si>
  <si>
    <t>@manonokiluba3732</t>
  </si>
  <si>
    <t>@ferdinandpailas2833</t>
  </si>
  <si>
    <t>@jaklinhyde</t>
  </si>
  <si>
    <t>@planperfectwedding</t>
  </si>
  <si>
    <t>@skreety0455</t>
  </si>
  <si>
    <t>@mkym365</t>
  </si>
  <si>
    <t>@dkaoboy</t>
  </si>
  <si>
    <t>@ashokindian36</t>
  </si>
  <si>
    <t>@ludwig8384</t>
  </si>
  <si>
    <t>@devineolubakin3091</t>
  </si>
  <si>
    <t>@fertilityshowafrica</t>
  </si>
  <si>
    <t>@aussenwirtschaft</t>
  </si>
  <si>
    <t>@carehospitalsindia</t>
  </si>
  <si>
    <t>@atmindextv</t>
  </si>
  <si>
    <t>@amrphysiotherapy</t>
  </si>
  <si>
    <t>@ekundayoeduconsult</t>
  </si>
  <si>
    <t>@internationalaidssociety</t>
  </si>
  <si>
    <t>@newscentralafrica</t>
  </si>
  <si>
    <t>@medicalaidcom</t>
  </si>
  <si>
    <t>@fastercapitalofficial</t>
  </si>
  <si>
    <t>@seefaproductions9867</t>
  </si>
  <si>
    <t>@teampata7083</t>
  </si>
  <si>
    <t>@healtheconomics1994</t>
  </si>
  <si>
    <t>@nsambajoy1162</t>
  </si>
  <si>
    <t>Open Channel URL in Browser</t>
  </si>
  <si>
    <t>http://them.in/ http://is.my/ http://my.call/</t>
  </si>
  <si>
    <t>youtu.be</t>
  </si>
  <si>
    <t>is.my them.in my.call</t>
  </si>
  <si>
    <t>concern public health ncds</t>
  </si>
  <si>
    <t>good information</t>
  </si>
  <si>
    <t>great educative content</t>
  </si>
  <si>
    <t>healthcare costs big reason crack government refuse medicare system mitt</t>
  </si>
  <si>
    <t>bought glad sen sanders idiotic senators completely</t>
  </si>
  <si>
    <t>election best president help</t>
  </si>
  <si>
    <t>49 49m00s yzd2u1mo8 pandemic perspective crisis concerning 00 19 cruel</t>
  </si>
  <si>
    <t>bernie rocket keep underpaid science talking</t>
  </si>
  <si>
    <t>vax firing refused stop help people</t>
  </si>
  <si>
    <t>country fact population simple best obvious healthy compete educated opposite</t>
  </si>
  <si>
    <t>people entire life cassidy lying met student nursing liar snake</t>
  </si>
  <si>
    <t>dnc runs vote love won biden bernie 2024</t>
  </si>
  <si>
    <t>human keeps agree plows amazing best absolute good work being</t>
  </si>
  <si>
    <t>aid past goto school people</t>
  </si>
  <si>
    <t>lab workers nastier doctors wear healthcare guess jobs underpaid public</t>
  </si>
  <si>
    <t>crisis people won practical resources right prioritize talking bunch pay</t>
  </si>
  <si>
    <t>waste paul cells brain</t>
  </si>
  <si>
    <t>cassidy joke bill</t>
  </si>
  <si>
    <t>poor man class middle working work gods</t>
  </si>
  <si>
    <t>health shortage dr system care nurse america hebert facing crisis</t>
  </si>
  <si>
    <t>job good idea vaxxed lose</t>
  </si>
  <si>
    <t>bernie</t>
  </si>
  <si>
    <t>senator covid 19 requirements discussion rand boasted forum volunteering paul</t>
  </si>
  <si>
    <t>job american kitchen tardy children father college minority abuse people</t>
  </si>
  <si>
    <t>bernie retire obsolete</t>
  </si>
  <si>
    <t>emergency interests addressing people bring bunch psychopaths special shortage focus</t>
  </si>
  <si>
    <t>trust closed people lose caption dr pathetic evil vaccine szanton</t>
  </si>
  <si>
    <t>adults issue</t>
  </si>
  <si>
    <t>country dnc subverted benefitted djt jrb senator think ve president</t>
  </si>
  <si>
    <t>system health right committee etc good profit insurance exists tone</t>
  </si>
  <si>
    <t>longer fauci safety standard rockefeller naturopathic coverage bill forget fda</t>
  </si>
  <si>
    <t>bernie goat</t>
  </si>
  <si>
    <t>ve nurses met aholes</t>
  </si>
  <si>
    <t>americans bernie entire kid justices hero working equality battle maintaining</t>
  </si>
  <si>
    <t>inflation ppl brandon voted greed sad 15 led down continue</t>
  </si>
  <si>
    <t>work show jerk shocking senator braun people</t>
  </si>
  <si>
    <t>bernie 2024 sanders</t>
  </si>
  <si>
    <t>pass fent</t>
  </si>
  <si>
    <t>states stressful red vaccinate people laws health threats paul worsen</t>
  </si>
  <si>
    <t>hear</t>
  </si>
  <si>
    <t>democrats hill down country money united states blame control heinous</t>
  </si>
  <si>
    <t>house aides shutdown alive surgery nurses amazing stay line picc</t>
  </si>
  <si>
    <t>healthy activities exercise big etc engage eating republicans vaccines greedy</t>
  </si>
  <si>
    <t>school parents telephone ronald technician reagan canada age choice reforms</t>
  </si>
  <si>
    <t>matt check anytime think cheap 18 cleaner appreciate 15th ve</t>
  </si>
  <si>
    <t>guys long boy medicare krusty barney congress man 25 republicans</t>
  </si>
  <si>
    <t>hospice facility people elderly week services maxing aging times comfortably</t>
  </si>
  <si>
    <t>heart stolen woman cost food heavy emergency room work feel</t>
  </si>
  <si>
    <t>bernie voting sanders</t>
  </si>
  <si>
    <t>down garbage told laptop people regs paul drug obvious prohibition</t>
  </si>
  <si>
    <t>congress views major women live like institute problem sanders men</t>
  </si>
  <si>
    <t>patient work medical healthcare nurse workers saving boundary care fear</t>
  </si>
  <si>
    <t>located list good colleges country</t>
  </si>
  <si>
    <t>expecting located pretoria university health makgatho science sefako</t>
  </si>
  <si>
    <t>hear love news</t>
  </si>
  <si>
    <t>fascinating list ukzn</t>
  </si>
  <si>
    <t>south list ukzn africa believe</t>
  </si>
  <si>
    <t>love</t>
  </si>
  <si>
    <t>ghana warrior king</t>
  </si>
  <si>
    <t>agree sharing shd schools makerere medical talk</t>
  </si>
  <si>
    <t>voice africa charm fact shocked glad wrong correct obervers mention</t>
  </si>
  <si>
    <t>northwest medical university school</t>
  </si>
  <si>
    <t>nigeria kind newly located well best medicine built university state</t>
  </si>
  <si>
    <t>list ukzn</t>
  </si>
  <si>
    <t>ukraine enemies africa russia war prevented mighty china ego sympathy</t>
  </si>
  <si>
    <t>list compiler bad good compiled</t>
  </si>
  <si>
    <t>ghana list university best school medical fact 10 false knust</t>
  </si>
  <si>
    <t>africa south country universities</t>
  </si>
  <si>
    <t>dominate</t>
  </si>
  <si>
    <t>sa</t>
  </si>
  <si>
    <t>antiretroviral pandemic african universities best innovations aids transplant development heart</t>
  </si>
  <si>
    <t>emotional ranking corrupt list</t>
  </si>
  <si>
    <t>ghana kwame best schools medical university africa science technology nkrumah</t>
  </si>
  <si>
    <t>shud followed leads tanzania east makerere medical africa universities</t>
  </si>
  <si>
    <t>north medical university researches west school</t>
  </si>
  <si>
    <t>university sisulu list suprised noo good north medical medicine walter</t>
  </si>
  <si>
    <t>adding thinking north medical medicine university west school</t>
  </si>
  <si>
    <t>wsu provide university medicine wits schools ukzn ukz south information</t>
  </si>
  <si>
    <t>far ranking north medical university west bogus school</t>
  </si>
  <si>
    <t>falsehood</t>
  </si>
  <si>
    <t>south confidently african north medical university west school</t>
  </si>
  <si>
    <t>africa best shit doctors systems health sleeping south being students</t>
  </si>
  <si>
    <t>sa 10 nwu facts check medical schools air</t>
  </si>
  <si>
    <t>ukzn</t>
  </si>
  <si>
    <t>university ghana guys kwame facts science technology nkrumah</t>
  </si>
  <si>
    <t>list university school west misleading medical lot north included being</t>
  </si>
  <si>
    <t>natal ukzn medison university kwazulu school</t>
  </si>
  <si>
    <t>medical university title universities nwu school referring west misleading north</t>
  </si>
  <si>
    <t>nairobi university</t>
  </si>
  <si>
    <t>medical schools research best ukzn left africa institutions posting</t>
  </si>
  <si>
    <t>study confirm medical nwu information school</t>
  </si>
  <si>
    <t>natal list university kwazulu</t>
  </si>
  <si>
    <t>appreciate struggling natal fact list ukzn understand university kwazulu content</t>
  </si>
  <si>
    <t>entire fact list nairobi false university</t>
  </si>
  <si>
    <t>true money</t>
  </si>
  <si>
    <t>kenya omission university</t>
  </si>
  <si>
    <t>schools medical nwu unisa</t>
  </si>
  <si>
    <t>medical unisa university</t>
  </si>
  <si>
    <t>north university west joke</t>
  </si>
  <si>
    <t>jim nduruchi</t>
  </si>
  <si>
    <t>north medicine university west</t>
  </si>
  <si>
    <t>university ethiopia abeba right lion black nat addis</t>
  </si>
  <si>
    <t>university list country african basing universities best muhas high higher</t>
  </si>
  <si>
    <t>facts lies</t>
  </si>
  <si>
    <t>university africa advertising universities best nairobi confusion like included south</t>
  </si>
  <si>
    <t>medunsa</t>
  </si>
  <si>
    <t>lies</t>
  </si>
  <si>
    <t>ranking sources subjective credible rankings qs trust</t>
  </si>
  <si>
    <t>universities africa dakar university diop mentioned english anta speak cheikh</t>
  </si>
  <si>
    <t>morning faculty jogging parktown wits passed johannesburg sciences health</t>
  </si>
  <si>
    <t>cholesterol lower</t>
  </si>
  <si>
    <t>ahh cado vo</t>
  </si>
  <si>
    <t>cholesterol sales diseases die liver alive nonsense called metabolic associated</t>
  </si>
  <si>
    <t>good wine elaborate lmao exclude advice excellent myth heart wondering</t>
  </si>
  <si>
    <t>source eggs eat cholesterol cheap 12whole being protein</t>
  </si>
  <si>
    <t>real beans careful eat good wash kidney mm well</t>
  </si>
  <si>
    <t>keto foods</t>
  </si>
  <si>
    <t>cholesterol live</t>
  </si>
  <si>
    <t>tips love great</t>
  </si>
  <si>
    <t>egg</t>
  </si>
  <si>
    <t>basis yep eat daily</t>
  </si>
  <si>
    <t>carnivoremd chat entered</t>
  </si>
  <si>
    <t>drs advice excellent</t>
  </si>
  <si>
    <t>pussy safety</t>
  </si>
  <si>
    <t>guys help super like service simple kidding love startin lightheartedness</t>
  </si>
  <si>
    <t>finish song forgot bean</t>
  </si>
  <si>
    <t>infection kidney</t>
  </si>
  <si>
    <t>eat avocado blue everyday berry salad high cholesterol nuts</t>
  </si>
  <si>
    <t>bullshit</t>
  </si>
  <si>
    <t>mushrooms seeds beans berries greens gbombs nuts onions</t>
  </si>
  <si>
    <t>putty brain lower whack believe doctors cholesterol dumbest peer hormones</t>
  </si>
  <si>
    <t>inflammation generated heal cholesterol lower body</t>
  </si>
  <si>
    <t>problemo die eat kale rest</t>
  </si>
  <si>
    <t>fiber mechanism cholesterol lower</t>
  </si>
  <si>
    <t>bad thinking peanut cholesterol reducing life nuts brazil</t>
  </si>
  <si>
    <t>listeners glucophage fat title stop stick doctors exchange statins</t>
  </si>
  <si>
    <t>misleading</t>
  </si>
  <si>
    <t>afraid beef gonna hummmm lamb stick</t>
  </si>
  <si>
    <t>drinking water cholesterol good raw food combined super diet balanced</t>
  </si>
  <si>
    <t>simple straight</t>
  </si>
  <si>
    <t>high grapes sugar</t>
  </si>
  <si>
    <t>school ldl hdl chocolate husk cholesterol thinking psyllium lead america</t>
  </si>
  <si>
    <t>wear scrubs talking</t>
  </si>
  <si>
    <t>meat</t>
  </si>
  <si>
    <t>education</t>
  </si>
  <si>
    <t>helps lemon cholesterol lowering</t>
  </si>
  <si>
    <t>sardines</t>
  </si>
  <si>
    <t>bad cholesterol</t>
  </si>
  <si>
    <t>mentioned chicken fried hoping</t>
  </si>
  <si>
    <t>wrong cholesterol avocados matter</t>
  </si>
  <si>
    <t>fine ll keep refined transfats sugar simplistic</t>
  </si>
  <si>
    <t>oil ve heard bad peanut</t>
  </si>
  <si>
    <t>chia work down broken seeds</t>
  </si>
  <si>
    <t>ব</t>
  </si>
  <si>
    <t>leafy losing inr veggies avoid kale lol warfarin</t>
  </si>
  <si>
    <t>leafy best green cholesterol lower idiots vegetables</t>
  </si>
  <si>
    <t>fish</t>
  </si>
  <si>
    <t>beans carbs loads raise sugar</t>
  </si>
  <si>
    <t>cheese eggs good quality red meat</t>
  </si>
  <si>
    <t>eat money people doctors healthy cholesterol membranes brain wrong worry</t>
  </si>
  <si>
    <t>triglycerides lower</t>
  </si>
  <si>
    <t>clean triglycerides like 75 203 ldl lipid eating docccc hdl</t>
  </si>
  <si>
    <t>docs</t>
  </si>
  <si>
    <t>excellent enjoy foods</t>
  </si>
  <si>
    <t>strict 120 diet 180 140 works ldl down</t>
  </si>
  <si>
    <t>balance reduce good bank avacado</t>
  </si>
  <si>
    <t>steak</t>
  </si>
  <si>
    <t>cool</t>
  </si>
  <si>
    <t>35 female age 40 patient sugar</t>
  </si>
  <si>
    <t>podcast link otcciyhjxvu trying ongoing foods forgot answer nutritioni nutrition</t>
  </si>
  <si>
    <t>cholesterol successful eating foods pharma doctors medications big trying heal</t>
  </si>
  <si>
    <t>care healthy md sick pharma business health promote</t>
  </si>
  <si>
    <t>oatmeal easy husk blackberries peaay blueberries prima steel yerba psyllium</t>
  </si>
  <si>
    <t>suspicious superfood word</t>
  </si>
  <si>
    <t>hass avocado</t>
  </si>
  <si>
    <t>salmon fresh caught canned good difficult wild</t>
  </si>
  <si>
    <t>hydraulic press manlier like feel blood nothin ass bad pressure</t>
  </si>
  <si>
    <t>oats blue lentils chickpeas husk barley dark fish grapes beans</t>
  </si>
  <si>
    <t>mention forgot deeznuts</t>
  </si>
  <si>
    <t>kind add thing lifelong continue statins</t>
  </si>
  <si>
    <t>midrange crestor true cholesterol ate changed 40mg people</t>
  </si>
  <si>
    <t>guys greatest love</t>
  </si>
  <si>
    <t>presentation</t>
  </si>
  <si>
    <t>right drs finally admire talking</t>
  </si>
  <si>
    <t>cholesterol high dangerous</t>
  </si>
  <si>
    <t>cholesterol body doctors oils brain people disease think tallow thing</t>
  </si>
  <si>
    <t>reduce cholesterol questions butter margarine</t>
  </si>
  <si>
    <t>milk mention almond almonds</t>
  </si>
  <si>
    <t>leafs eat seeds</t>
  </si>
  <si>
    <t>hate fish sounds thing good</t>
  </si>
  <si>
    <t>worried 207 informative level short fantastic</t>
  </si>
  <si>
    <t>fish ibs foods</t>
  </si>
  <si>
    <t>healthy like 36 genetic milk switching lowered levels super mum</t>
  </si>
  <si>
    <t>like ewwwww leafy preface green sound vegetables gross cooties</t>
  </si>
  <si>
    <t>seeds chia risk heard eat safe diverticulitis</t>
  </si>
  <si>
    <t>fresh dark oats chia chocolate avocado fish spinach lentils list</t>
  </si>
  <si>
    <t>ldl particle dense large buoyant lower foods</t>
  </si>
  <si>
    <t>evoo hummus brand hope raw broccoli</t>
  </si>
  <si>
    <t>ldl chocolate dark vldl increase change greater reduction decrease cholesterol</t>
  </si>
  <si>
    <t>beans fart eat good heart</t>
  </si>
  <si>
    <t>cholesterol hormones ill supports pass lower brain myth sex</t>
  </si>
  <si>
    <t>berberine</t>
  </si>
  <si>
    <t>entire conclusions thing better jump</t>
  </si>
  <si>
    <t>herpes wearing contracting condoms genital risk correction condom decrease part</t>
  </si>
  <si>
    <t>thigh penis lol</t>
  </si>
  <si>
    <t>scared lol</t>
  </si>
  <si>
    <t>hw bout remove bumbs viginal</t>
  </si>
  <si>
    <t>pandamic advic worldwide yoa disease</t>
  </si>
  <si>
    <t>penis</t>
  </si>
  <si>
    <t>lips strange system bit hurts surface hell common reoccurred immune</t>
  </si>
  <si>
    <t>good</t>
  </si>
  <si>
    <t>control damage</t>
  </si>
  <si>
    <t>sounds good</t>
  </si>
  <si>
    <t>keep africa</t>
  </si>
  <si>
    <t>uninhabitable projections ipcc continent well decades good couple</t>
  </si>
  <si>
    <t>meek time inherit earth</t>
  </si>
  <si>
    <t>innovative doctor god african talented</t>
  </si>
  <si>
    <t>15 wests deaths excess expectacy life down</t>
  </si>
  <si>
    <t>positive finally good work news africa</t>
  </si>
  <si>
    <t>guys terrible 56</t>
  </si>
  <si>
    <t>pity</t>
  </si>
  <si>
    <t>glory breakthrough god highest africa</t>
  </si>
  <si>
    <t>countries continent country reporting improving provide bringing life africa better</t>
  </si>
  <si>
    <t>amen africa bless prayer answered god lord jesus</t>
  </si>
  <si>
    <t>56 good news</t>
  </si>
  <si>
    <t>bit bloated die children noice</t>
  </si>
  <si>
    <t>nice gynecologist</t>
  </si>
  <si>
    <t>rise africans africa</t>
  </si>
  <si>
    <t>stay great africans homeland</t>
  </si>
  <si>
    <t>increase expectancy developing innovations countries life partly technology</t>
  </si>
  <si>
    <t>increase tv choice surprised disturbing coming wording dramatic german</t>
  </si>
  <si>
    <t>continent learned troubled development stagnated africa human ages</t>
  </si>
  <si>
    <t>dr tankou</t>
  </si>
  <si>
    <t>rates vaccination lowest</t>
  </si>
  <si>
    <t>europe great news africans</t>
  </si>
  <si>
    <t>increase poverty</t>
  </si>
  <si>
    <t>field increases usage expectancy 56 46 life medical technology africa</t>
  </si>
  <si>
    <t>chinese investments</t>
  </si>
  <si>
    <t>expectancy healthy life reporting lives people expected distinction dw live</t>
  </si>
  <si>
    <t>government leaders nato ukrainians european protect live peoplke world dead</t>
  </si>
  <si>
    <t>past colonizers</t>
  </si>
  <si>
    <t>iran liberate woman world</t>
  </si>
  <si>
    <t>feed mouths</t>
  </si>
  <si>
    <t>good economic growth</t>
  </si>
  <si>
    <t>africa western media trying phoney congo mistakes data pushing expectancy</t>
  </si>
  <si>
    <t>positive presenting news</t>
  </si>
  <si>
    <t>long reversed expectancy life africans earth</t>
  </si>
  <si>
    <t>population continent provide food grow amount</t>
  </si>
  <si>
    <t>natality force dropping african boost work economy eu</t>
  </si>
  <si>
    <t>russia siberia people</t>
  </si>
  <si>
    <t>eat countries survive people expectancy news increase like life work</t>
  </si>
  <si>
    <t>human artichokes brutal started africa humanity place</t>
  </si>
  <si>
    <t>sense interesting football senses team woww neuroplasticity believe blind sharper</t>
  </si>
  <si>
    <t>america congratulations keep africa strong</t>
  </si>
  <si>
    <t>helping africa india</t>
  </si>
  <si>
    <t>hunger birth control irresponsible provide poverty reducing cruel child key</t>
  </si>
  <si>
    <t>sense supposedly lowered covid zero</t>
  </si>
  <si>
    <t>information insecurity struggling ill report living countries longer people expectancy</t>
  </si>
  <si>
    <t>stories good news</t>
  </si>
  <si>
    <t>eyes blind people bionic artificial system part like lose sense</t>
  </si>
  <si>
    <t>long blooming population happy times hear african high mortalities wow</t>
  </si>
  <si>
    <t>jobs population coming energy housing good food grow news premature</t>
  </si>
  <si>
    <t>rates birth expectancy leads lower life improved</t>
  </si>
  <si>
    <t>religion 80</t>
  </si>
  <si>
    <t>nice</t>
  </si>
  <si>
    <t>time zones changed dw africans life better included long war</t>
  </si>
  <si>
    <t>africans northern minds explore talents perspective state negatively malicious prove</t>
  </si>
  <si>
    <t>like effect positive lack pharmaceuticals vaccines modern</t>
  </si>
  <si>
    <t>bs documentaries ve beautiful africa watched calling country</t>
  </si>
  <si>
    <t>jab good africans covid</t>
  </si>
  <si>
    <t>prosperously happy people economy educated live life africa growing better</t>
  </si>
  <si>
    <t>dw happened good news posts africa</t>
  </si>
  <si>
    <t>god christ begotten plead behalf perish reconciled world life jesus</t>
  </si>
  <si>
    <t>warming bad news global</t>
  </si>
  <si>
    <t>passed lifespan damn immortality achieve africans</t>
  </si>
  <si>
    <t>racists shows dw africa parts unfortunately western tf aswell title</t>
  </si>
  <si>
    <t>thing good</t>
  </si>
  <si>
    <t>countries hope african sad news happy well continent big entire</t>
  </si>
  <si>
    <t>health conciousness reproduction</t>
  </si>
  <si>
    <t>congratulations innovative job doctor challenges</t>
  </si>
  <si>
    <t>population birth hope declines rate huge problem rapidly</t>
  </si>
  <si>
    <t>insurrection putin threats naturally listen truss continue liz question rush</t>
  </si>
  <si>
    <t>built stuff transport networks required healthcare good hospitals africa better</t>
  </si>
  <si>
    <t>population balance african lions africa part</t>
  </si>
  <si>
    <t>water gelatinous drink right mixed better glass psyllium processed down</t>
  </si>
  <si>
    <t>hurt medicine butter pain doctors</t>
  </si>
  <si>
    <t>witch feels like hazel help</t>
  </si>
  <si>
    <t>informed smile informative roundabout huge act comedy hemorrhoids</t>
  </si>
  <si>
    <t>witch hazel love rid hemorrhoids help information</t>
  </si>
  <si>
    <t>unlucky happy surgery well hemorrhoid sending great rear wishes friends</t>
  </si>
  <si>
    <t>tons fiber ass pill stupid food cereal</t>
  </si>
  <si>
    <t>push course</t>
  </si>
  <si>
    <t>wholeeome advice</t>
  </si>
  <si>
    <t>witch hazel warning harmed production witches label</t>
  </si>
  <si>
    <t>jejeje</t>
  </si>
  <si>
    <t>ty brand bud forgot reminder totally</t>
  </si>
  <si>
    <t>prison</t>
  </si>
  <si>
    <t>herbal recommending dr medication good sickness keep products heamorroid ll</t>
  </si>
  <si>
    <t>yep fiber adding veggies</t>
  </si>
  <si>
    <t>heals fibre eating help meat</t>
  </si>
  <si>
    <t>teaspoon oil bed cheers try black cummin morning</t>
  </si>
  <si>
    <t>witch memories hazel unwanted brought lol</t>
  </si>
  <si>
    <t>bull fiber irritate absolutely hemmaroids crap colon</t>
  </si>
  <si>
    <t>heal prevent internal</t>
  </si>
  <si>
    <t>loss blood reason crohn flare ugh anemia suffer disease</t>
  </si>
  <si>
    <t>vicks hemorrhoids lying</t>
  </si>
  <si>
    <t>bran</t>
  </si>
  <si>
    <t>real stop idk feel normal dryness being ll inflamed itching</t>
  </si>
  <si>
    <t>hemmorhoids bleeds pains poop</t>
  </si>
  <si>
    <t>good dr like cear medications edos doctor big health herbal</t>
  </si>
  <si>
    <t>great guy</t>
  </si>
  <si>
    <t>bran eat work truth</t>
  </si>
  <si>
    <t>sense surgery good including medication docs remedies humor</t>
  </si>
  <si>
    <t>leading fiber constipation bad advice hemorrhoids resulting strain people</t>
  </si>
  <si>
    <t>like rat fiber best hehehe</t>
  </si>
  <si>
    <t>gas bet great info lot</t>
  </si>
  <si>
    <t>hemmeroid sufferer strangulated performed rubber thing decades 40 work bands</t>
  </si>
  <si>
    <t>bran ate awesome buds</t>
  </si>
  <si>
    <t>information</t>
  </si>
  <si>
    <t>kidney stones eat food suppose disease like advice</t>
  </si>
  <si>
    <t>recurring results times banding rubber hemorrhoid good mandy butt internal</t>
  </si>
  <si>
    <t>aur bohat blooding jayda pata ke churna piles nhi muzhe</t>
  </si>
  <si>
    <t>love doctors</t>
  </si>
  <si>
    <t>carbs eating stop mw helped</t>
  </si>
  <si>
    <t>witch hazel well</t>
  </si>
  <si>
    <t>kill microbiom gmo hemorrhoids better docs cure</t>
  </si>
  <si>
    <t>colinsonia root shot relief capsules</t>
  </si>
  <si>
    <t>docs guys mite entertaining help real trust</t>
  </si>
  <si>
    <t>temporary 50 ouch surgery witchhazel heard fiber diet worse like</t>
  </si>
  <si>
    <t>swine witch love bum guys help buds curse hazel bran</t>
  </si>
  <si>
    <t>kaise baay karan raha hai kyu johar normal abe khajoor</t>
  </si>
  <si>
    <t>ramification dr appreciate smile super naturally god pretty life amazingly</t>
  </si>
  <si>
    <t>dr igho experience greatest ramification smile cure naturally god pretty</t>
  </si>
  <si>
    <t>like feel laughed public tarded connect professionals reproduce sad</t>
  </si>
  <si>
    <t>witch bottle suffering bunch like october citrus hazel</t>
  </si>
  <si>
    <t>hemorrhoid 10 skin loose problem tugs bath left restroom memories</t>
  </si>
  <si>
    <t>minutes maximum home immunity stayed week 10 swollen vitamins chamomile</t>
  </si>
  <si>
    <t>tips</t>
  </si>
  <si>
    <t>saddle sore</t>
  </si>
  <si>
    <t>fissures hemorrhoids internal</t>
  </si>
  <si>
    <t>oil bum castor pack telling overnight</t>
  </si>
  <si>
    <t>seed protein meal flax shake</t>
  </si>
  <si>
    <t>gracias</t>
  </si>
  <si>
    <t>feel physician appreciate satire better lot</t>
  </si>
  <si>
    <t>aabout gynecomastia</t>
  </si>
  <si>
    <t>fibre delicious granola right enjoyable gotta choice musli well</t>
  </si>
  <si>
    <t>bless followed god suffered advice hemorrhoids completely cured</t>
  </si>
  <si>
    <t>daflon</t>
  </si>
  <si>
    <t>open toilet places deep like ripped split being cuts bleed</t>
  </si>
  <si>
    <t>water drink</t>
  </si>
  <si>
    <t>class nutritian cereal crap</t>
  </si>
  <si>
    <t>surgery varicocele rid</t>
  </si>
  <si>
    <t>water</t>
  </si>
  <si>
    <t>phone</t>
  </si>
  <si>
    <t>best metamucil</t>
  </si>
  <si>
    <t>external decent size bs past water difficult drink eat 10</t>
  </si>
  <si>
    <t>fiber constipation good suffer doctors</t>
  </si>
  <si>
    <t>fiber increase pain water worst poo</t>
  </si>
  <si>
    <t>dobesilate monohydrate calcium external hemmaroid shrink</t>
  </si>
  <si>
    <t>inches deep anus</t>
  </si>
  <si>
    <t>hole bidet wash soap butt water</t>
  </si>
  <si>
    <t>wrong carbs lion cut herorids work sugar</t>
  </si>
  <si>
    <t>parasites</t>
  </si>
  <si>
    <t>eat vegetables everyday naturally hemorrhoids folks</t>
  </si>
  <si>
    <t>human dr papilomavirus madida herbs worked cured</t>
  </si>
  <si>
    <t>disgusting heard friend hemorrhoids preparation disappear</t>
  </si>
  <si>
    <t>guys</t>
  </si>
  <si>
    <t>shit</t>
  </si>
  <si>
    <t>laugh hurts bro cough stop time</t>
  </si>
  <si>
    <t>completely smooth adult following toilet pop visible stop fit extreme</t>
  </si>
  <si>
    <t>chestnut horse supplement</t>
  </si>
  <si>
    <t>hold simple method</t>
  </si>
  <si>
    <t>eromon dr saved ass natural pure permanently hemorrhoids medicine chronic</t>
  </si>
  <si>
    <t>studies doctor iron</t>
  </si>
  <si>
    <t>dr informative lecture</t>
  </si>
  <si>
    <t>balance dr financial good delicate management khaled lecture interesting study</t>
  </si>
  <si>
    <t>great</t>
  </si>
  <si>
    <t>admitted foreign health department doctors qualified</t>
  </si>
  <si>
    <t>dr plan continent paying travel expectancy living work loans africa</t>
  </si>
  <si>
    <t>voting anc eff keep doctors</t>
  </si>
  <si>
    <t>fake worry doctors</t>
  </si>
  <si>
    <t>power anc qualified home teachers respected voted conditions people doctors</t>
  </si>
  <si>
    <t>island takingvtheir mondset shallow stop sa countries jobs doctors</t>
  </si>
  <si>
    <t>gvt employ foreign refuses doctors</t>
  </si>
  <si>
    <t>doctors country unemployed private money hassling department mines health employ</t>
  </si>
  <si>
    <t>kill like destroy anc devil steal</t>
  </si>
  <si>
    <t>worse</t>
  </si>
  <si>
    <t>foreigners jobs</t>
  </si>
  <si>
    <t>trained local home foreign sitting unemployed doctors</t>
  </si>
  <si>
    <t>majority drs bee african work</t>
  </si>
  <si>
    <t>viva anc darkness aimless living hypocrisy useless africa south black</t>
  </si>
  <si>
    <t>idea talking</t>
  </si>
  <si>
    <t>account bot</t>
  </si>
  <si>
    <t>gods longer stop people call revealed anunnaki powerful chains powers</t>
  </si>
  <si>
    <t>destroyed evil systems entity anc sa health bunch</t>
  </si>
  <si>
    <t>bit experience leave world chomping country doctors</t>
  </si>
  <si>
    <t>care health state private people hospitals manage sector clinics world</t>
  </si>
  <si>
    <t>care anc universal health idea running countries modern europe right</t>
  </si>
  <si>
    <t>resource valuable</t>
  </si>
  <si>
    <t>state amandla ignored public improve health lot anc functional clinics</t>
  </si>
  <si>
    <t>current performing service care managing public charge well entity nhi</t>
  </si>
  <si>
    <t>call plan aid medical discovery 35 cover scheme excellent response</t>
  </si>
  <si>
    <t>jab willing discovery caused claims pay insisted effects covid clients</t>
  </si>
  <si>
    <t>kill like guidelines diets fat cholesterol eventually health</t>
  </si>
  <si>
    <t>bull driving force hit ck money yorselfs</t>
  </si>
  <si>
    <t>aid citizen scheme join medical member senior</t>
  </si>
  <si>
    <t>cover like actual guidelines hospital health</t>
  </si>
  <si>
    <t>aid pensioners quote medical</t>
  </si>
  <si>
    <t>problems pay experiencing medication cash</t>
  </si>
  <si>
    <t>quote contact agent</t>
  </si>
  <si>
    <t>aid period medical waiting</t>
  </si>
  <si>
    <t>msa plan change reason depleted aware</t>
  </si>
  <si>
    <t>happy meets medical concerns affinity health affordable</t>
  </si>
  <si>
    <t>anytime giveaways</t>
  </si>
  <si>
    <t>idolatrous money christ jesus worshippers</t>
  </si>
  <si>
    <t>left country</t>
  </si>
  <si>
    <t>reach germany leaving</t>
  </si>
  <si>
    <t>hospitals dinghy knives western engineers home chaps stay well finding</t>
  </si>
  <si>
    <t>country change ww2 doers people person bring left educated imagine</t>
  </si>
  <si>
    <t>publish mph thesis</t>
  </si>
  <si>
    <t>doctor country law 10 licence cancel atleast work degree</t>
  </si>
  <si>
    <t>luck appreciated try countries leave skills</t>
  </si>
  <si>
    <t>brain countries resources people leaving west improvised drained strip mines</t>
  </si>
  <si>
    <t>migration human specific nigeria well thing natural economic asia issue</t>
  </si>
  <si>
    <t>nation nigerians shame building</t>
  </si>
  <si>
    <t>governments countries africa africans leaving</t>
  </si>
  <si>
    <t>people care russian gay hating kissing</t>
  </si>
  <si>
    <t>nigeria deserve heading citizens better coup</t>
  </si>
  <si>
    <t>government stay incentives compete economy pay better global create britain</t>
  </si>
  <si>
    <t>kinds racism world west badisms facism</t>
  </si>
  <si>
    <t>hope migrate things remained people</t>
  </si>
  <si>
    <t>russia blame death destruction lawlessness corruption arrives</t>
  </si>
  <si>
    <t>responsible planing act family africa education</t>
  </si>
  <si>
    <t>west reality creator comparing intend better wearing labor illusion jacket</t>
  </si>
  <si>
    <t>florida reason leaving</t>
  </si>
  <si>
    <t>minute duuuhhh europe right doctors nigeria dump leave mind lacks</t>
  </si>
  <si>
    <t>doctor nigeria ur freaking paid choose live lot</t>
  </si>
  <si>
    <t>train ai stop doctors worse allowing replace neocolonialism tyvm reasons</t>
  </si>
  <si>
    <t>uk qualification b4 cows ur alot knowledge real written people</t>
  </si>
  <si>
    <t>healthcare training nigeria public decent systems research practice access hospitals</t>
  </si>
  <si>
    <t>canada housing lots job nigerians vacancies saskatchewan affordable</t>
  </si>
  <si>
    <t>professionals government welfare funny medical care better sadly legislations interested</t>
  </si>
  <si>
    <t>western good qualification standards</t>
  </si>
  <si>
    <t>guards sweet security canada taxi drivers fooled doctors good janitors</t>
  </si>
  <si>
    <t>place humans well betterment west moved</t>
  </si>
  <si>
    <t>root evil money</t>
  </si>
  <si>
    <t>bangladesh private country usd regard bangladeshi finishing 20 10 diminishing</t>
  </si>
  <si>
    <t>enjoy</t>
  </si>
  <si>
    <t>lol nigera</t>
  </si>
  <si>
    <t>safe country living stop horrendous nurse christ system holy medical</t>
  </si>
  <si>
    <t>doctors time countries leech people welfare housing european engineers reals</t>
  </si>
  <si>
    <t>russia hate communist nigerian</t>
  </si>
  <si>
    <t>dog resources west human youths mineral drains eat african lament</t>
  </si>
  <si>
    <t>freedom infrastructure security money leaving people</t>
  </si>
  <si>
    <t>working tire officer naijeria locum chews 48hours weekend doctors finishing</t>
  </si>
  <si>
    <t>practicing nigeria banned ukraine graduates medical useless government nigerian</t>
  </si>
  <si>
    <t>care bad west people</t>
  </si>
  <si>
    <t>money government doctors huge moving spending healthcare pay developed paid</t>
  </si>
  <si>
    <t>african countries africans assure underpaid well proffessionals</t>
  </si>
  <si>
    <t>doctors time experience junior labour toxic eat sleepless senior cares</t>
  </si>
  <si>
    <t>nursing homes working washington</t>
  </si>
  <si>
    <t>country well illiterate thy engineer ineptitude germany talents effectively massive</t>
  </si>
  <si>
    <t>failed perfect nigeria state</t>
  </si>
  <si>
    <t>like income tax worldwide nigerians</t>
  </si>
  <si>
    <t>country finish scream german site unasef racism potopoto called news</t>
  </si>
  <si>
    <t>nigerian politicians hospitals</t>
  </si>
  <si>
    <t>shudn tinbu starting neighbors war african</t>
  </si>
  <si>
    <t>parents healthcare life pathetic great fixing running doctors funerals savings</t>
  </si>
  <si>
    <t>like bussiness kills 10 patients person system nigeria practicing 000</t>
  </si>
  <si>
    <t>practice systematic medical fleeing faults doctors</t>
  </si>
  <si>
    <t>changed bad starts aging system collapse nigeria think wait</t>
  </si>
  <si>
    <t>sempre português traduzir usar pfavor</t>
  </si>
  <si>
    <t>countries western greener poor pastures professional</t>
  </si>
  <si>
    <t>africans country running ironic people enslaved ve mistreated better examples</t>
  </si>
  <si>
    <t>russia work</t>
  </si>
  <si>
    <t>fix brain drain</t>
  </si>
  <si>
    <t>doctors left nigeria staff teach medical leaving</t>
  </si>
  <si>
    <t>politicians silly educated barely decisions time</t>
  </si>
  <si>
    <t>salary owed ridiculous months</t>
  </si>
  <si>
    <t>dr ty</t>
  </si>
  <si>
    <t>health,concern  ncds,public  public,health</t>
  </si>
  <si>
    <t>good,information</t>
  </si>
  <si>
    <t>content,educative  great,content</t>
  </si>
  <si>
    <t>refuse,crack  corporate,greed  industry,big  sayin,medicare  high,government  medicare,start  big,pharmacy  managing,cost  insurance,industry  mitt,reason</t>
  </si>
  <si>
    <t>idiotic,bought  glad,sen  sen,sanders  bought,senators  completely,idiotic  sanders,completely</t>
  </si>
  <si>
    <t>best,help  election,best  president,election</t>
  </si>
  <si>
    <t>19,pandemic  rapid,changes  pandemic,politicization  yzd2u1mo8,49m00s  49,00  49,yzd2u1mo8  politicians,demand  engineering,educational  politicization,public  changes,cruel</t>
  </si>
  <si>
    <t>keep,talking  science,keep  underpaid,rocket  talking,bernie  rocket,science</t>
  </si>
  <si>
    <t>people,refused  stop,firing  vax,help  refused,vax  firing,people</t>
  </si>
  <si>
    <t>obvious,fact  democrats,simple  simple,obvious  country,compete  excel,republican  party,relies  population,best  succeed,excel  compete,succeed  well,educated</t>
  </si>
  <si>
    <t>education,lying  met,nursing  nursing,student  cassidy,met  life,people  constantly,education  student,entire  entire,life  lying,snake  people,constantly</t>
  </si>
  <si>
    <t>runs,dnc  biden,runs  vote,bernie  dnc,won  love,vote  bernie,2024  2024,biden</t>
  </si>
  <si>
    <t>work,plows  human,being  agree,absolute  absolute,best  amazing,human  time,amazing  best,time  keeps,good  body,agree  plows,body</t>
  </si>
  <si>
    <t>school,aid  people,goto  goto,school  aid,past</t>
  </si>
  <si>
    <t>workers,waiters  surprised,shortage  overworked,underpaid  wear,lab  waiters,respectful  coats,nurses  lab,coats  guess,wear  public,nastier  respectful,doctors</t>
  </si>
  <si>
    <t>capability,handle  pay,people  people,better  handle,crisis  work,won  better,prioritize  won,practical  crisis,crisis  bunch,rich  talking,poor</t>
  </si>
  <si>
    <t>brain,cells  paul,waste  waste,brain</t>
  </si>
  <si>
    <t>cassidy,joke  bill,cassidy</t>
  </si>
  <si>
    <t>working,poor  man,gods  poor,middle  gods,work  middle,class  work,poor  poor,working</t>
  </si>
  <si>
    <t>sander,dysfunctional  care,crisis  nurse,doctor  doctor,america  health,care  crisis,facing  health,professional  dr,hebert  lack,health  america,dr</t>
  </si>
  <si>
    <t>job,good  good,idea  lose,job  vaxxed,lose</t>
  </si>
  <si>
    <t>covid,19  senator,rand  practicing,medicine  volunteering,hospital  covid,vaccine  stick,discussion  discussion,senator  recovering,covid  romney,boasted  keep,focus</t>
  </si>
  <si>
    <t>foreign,student  affirmative,action  college,seats  caucasian,minority  tardies,teacher  joined,army  grades,college  phd,home  partially,college  tardy,marks</t>
  </si>
  <si>
    <t>earned,right  doctor,practicing  industry,runs  ceo,hell  successful,poorest  drug,told  ceo,told  medicine,earned  job,drug  forbidden,help</t>
  </si>
  <si>
    <t>bernie,obsolete  obsolete,retire</t>
  </si>
  <si>
    <t>focus,emergency  special,interests  bring,special  bunch,psychopaths  emergency,shortage  psychopaths,focus  group,people  interests,group  shortage,bring  addressing,emergency</t>
  </si>
  <si>
    <t>people,lose  closed,caption  lose,trust  speaking,closed  caption,people  asks,dr  word,correctly  hospitalized,myocarditis  government,closed  being,hospitalized</t>
  </si>
  <si>
    <t>adults,issue</t>
  </si>
  <si>
    <t>dnc,president  president,place  country,ve  subverted,dnc  djt,jrb  think,country  place,djt  ve,benefitted  sanders,subverted  senator,sanders</t>
  </si>
  <si>
    <t>right,examples  pin,right  good,idea  matter,live  student,debt  good,health  raised,newly  system,co  system,terms  citizen,profit</t>
  </si>
  <si>
    <t>safety,respect  longer,gold  cv19,experiment  treatment,fauci  coverage,forget  respect,naturopathic  bill,gates  insurance,coverage  forget,cv19  rockefeller,bill</t>
  </si>
  <si>
    <t>bernie,goat</t>
  </si>
  <si>
    <t>met,aholes  nurses,ve  ve,met</t>
  </si>
  <si>
    <t>burning,live  kid,entire  bernie,real  equality,kid  working,people  americans,maintaining  battle,justices  hero,americans  live,working  entire,life</t>
  </si>
  <si>
    <t>inflation,greed  15,lead  down,continue  greed,led  voted,brandon  ppl,15  led,inflation  sad,down  continue,ppl  lead,inflation</t>
  </si>
  <si>
    <t>shocking,senator  people,show  senator,braun  braun,people  work,work  work,jerk  show,work</t>
  </si>
  <si>
    <t>bernie,sanders  sanders,2024</t>
  </si>
  <si>
    <t>pass,fent</t>
  </si>
  <si>
    <t>red,states  adamant,refusal  children,measles  laws,larger  threats,legal  challenges,true  stressful,jobs  past,doctors  polio,mumps  severe,abortion</t>
  </si>
  <si>
    <t>down,hill  hill,fast  policies,heinous  ploy,money  hill,democrats  democrats,office  fast,blame  control,democrats  money,control  united,states</t>
  </si>
  <si>
    <t>therapists,aides  amazing,helped  brain,surgery  stay,alive  aides,house  nurses,therapists  line,shutdown  shutdown,nurses  picc,line  surgery,picc</t>
  </si>
  <si>
    <t>greedy,oligarchs  democrats,corporate  big,hypocrite  hard,impossible  etc,republicans  thing,healthy  healthy,food  establishment,democrats  exercise,healthy  impossible,afford</t>
  </si>
  <si>
    <t>telephone,technician  ronald,reagan  technician,education  school,parents  1983,23  afford,send  high,school  choice,american  23,ronald  school,telephone</t>
  </si>
  <si>
    <t>think,stimulus  anytime,matt  check,anytime  stimulus,check  vacuum,cleaner  ve,appreciate  cleaner,question  card,cheap  question,think  15th,18</t>
  </si>
  <si>
    <t>2034,guys  krusty,barney  long,rob  pay,cut  guys,25  funds,republicans  boy,love  medicare,social  trust,funds  security,congress</t>
  </si>
  <si>
    <t>rehab,fare  think,somwhat  comfortably,suffering  pain,elderly  swfl,hospital  biggest,hospitals  naples,fl  florida,senator  nurse,week  bath,times</t>
  </si>
  <si>
    <t>emergency,room  heavy,heart  heart,attacks  12,taxpayer  sensitive,multilingual  minutes,heavy  worker,followed  english,heart  excetera,lined  etc,speaking</t>
  </si>
  <si>
    <t>voting,bernie  bernie,sanders</t>
  </si>
  <si>
    <t>garbage,causing  broken,exploitive  gossiping,denying  confusion,regulations  pushing,death  systems,hiding  billion,wow  explorations,geezers  revelation,data  told,garbage</t>
  </si>
  <si>
    <t>sanders,views  congress,institute  institute,like  views,live  problem,sanders  women,congress  men,women  live,men  major,problem</t>
  </si>
  <si>
    <t>healthcare,workers  stable,patient  constantly,threatened  workers,rights  respect,boundary  medical,treatment  nurse,reprimanded  medical,condition  set,boundary  100,dignity</t>
  </si>
  <si>
    <t>good,list  list,country  country,colleges  colleges,located</t>
  </si>
  <si>
    <t>makgatho,health  expecting,sefako  located,pretoria  university,located  science,university  sefako,makgatho  health,science</t>
  </si>
  <si>
    <t>news,love  love,hear</t>
  </si>
  <si>
    <t>list,fascinating  ukzn,list</t>
  </si>
  <si>
    <t>africa,list  south,africa  ukzn,south  believe,ukzn</t>
  </si>
  <si>
    <t>warrior,king  ghana,warrior</t>
  </si>
  <si>
    <t>agree,makerere  talk,medical  makerere,shd  shd,sharing  schools,agree  medical,schools</t>
  </si>
  <si>
    <t>shocked,wrong  glad,mention  africa,correct  voice,africa  charm,voice  correct,voice  africa,obervers  fact,charm  voice,glad  missing,charm</t>
  </si>
  <si>
    <t>northwest,university  university,medical  medical,school</t>
  </si>
  <si>
    <t>eastern,part  newly,built  nigeria,best  best,kind  nigeria,africa  well,located  located,ebonyi  university,medicine  ebonyi,state  built,university</t>
  </si>
  <si>
    <t>ukzn,list</t>
  </si>
  <si>
    <t>leaving,discriminated  enemies,war  europe,russia  high,mighty  arrogance,limit  discriminated,sympathy  warned,multiple  eu,call  think,russia  russia,nukes</t>
  </si>
  <si>
    <t>good,bad  list,list  compiled,list  list,good  bad,compiler</t>
  </si>
  <si>
    <t>school,ghana  best,medical  medical,school  list,list  university,science  fact,university  university,ghana  ghana,list  technology,knust  science,technology</t>
  </si>
  <si>
    <t>south,africa  africa,country  universities,africa  country,south</t>
  </si>
  <si>
    <t>south,african  aids,pandemic  development,antiretroviral  drugs,aids  universities,heart  african,universities  medical,innovations  innovations,world  world,south  heart,transplant</t>
  </si>
  <si>
    <t>ranking,list  corrupt,emotional  emotional,ranking</t>
  </si>
  <si>
    <t>schools,africa  science,technology  kwame,nkrumah  university,science  technology,ghana  ghana,best  medical,schools  nkrumah,university  best,medical</t>
  </si>
  <si>
    <t>universities,makerere  east,africa  medical,universities  followed,tanzania  africa,leads  shud,east  makerere,shud  leads,followed</t>
  </si>
  <si>
    <t>school,researches  west,university  north,west  university,medical  medical,school</t>
  </si>
  <si>
    <t>west,university  north,west  list,noo  university,list  good,medicine  suprised,north  university,good  medicine,suprised  medical,school  noo,medical</t>
  </si>
  <si>
    <t>university,medical  adding,medicine  school,thinking  medical,school  thinking,adding  north,west  west,university</t>
  </si>
  <si>
    <t>provide,medicine  information,nwu  medicine,wsu  uct,university  medicine,south  universities,provide  stellenboch,university  ukz,best  wsu,ukzn  university,wits</t>
  </si>
  <si>
    <t>far,north  west,university  ranking,bogus  north,west  university,medical  bogus,far  medical,school</t>
  </si>
  <si>
    <t>south,african  confidently,north  university,medical  medical,school  north,west  african,confidently  west,university</t>
  </si>
  <si>
    <t>doctors,studied  rate,doctors  africa,high  best,professors  systems,africa  shit,health  health,systems  boosting,being  best,universities  universities,long</t>
  </si>
  <si>
    <t>air,10  10,medical  sa,nwu  schools,sa  check,facts  facts,air  medical,schools</t>
  </si>
  <si>
    <t>nkrumah,university  guys,facts  kwame,nkrumah  ghana,kwame  university,ghana  university,science  science,technology  facts,university</t>
  </si>
  <si>
    <t>west,university  misleading,north  included,list  north,west  lot,misleading  university,medical  being,lot  criteria,being  school,included  medical,school</t>
  </si>
  <si>
    <t>ukzn,school  natal,ukzn  kwazulu,natal  school,medison  university,kwazulu</t>
  </si>
  <si>
    <t>referring,nursing  universities,included  university,#9  nwu,medical  nursing,degree  included,north  title,misleading  medical,school  north,west  school,referring</t>
  </si>
  <si>
    <t>university,nairobi</t>
  </si>
  <si>
    <t>medical,schools  schools,left  research,posting  schools,africa  left,best  posting,institutions  africa,ukzn  institutions,medical  best,medical</t>
  </si>
  <si>
    <t>confirm,medical  school,information  nwu,confirm  study,nwu  medical,school</t>
  </si>
  <si>
    <t>natal,list  kwazulu,natal  university,kwazulu</t>
  </si>
  <si>
    <t>ukzn,list  university,kwazulu  kwazulu,natal  natal,ukzn  appreciate,content  understand,university  content,struggling  struggling,understand  list,fact</t>
  </si>
  <si>
    <t>entire,list  list,false  university,nairobi  nairobi,entire  fact,university</t>
  </si>
  <si>
    <t>money,true</t>
  </si>
  <si>
    <t>omission,university  university,kenya</t>
  </si>
  <si>
    <t>unisa,nwu  nwu,medical  medical,schools</t>
  </si>
  <si>
    <t>medical,university  unisa,medical</t>
  </si>
  <si>
    <t>west,university  north,west  joke,north</t>
  </si>
  <si>
    <t>jim,nduruchi</t>
  </si>
  <si>
    <t>west,university  north,west  university,medicine</t>
  </si>
  <si>
    <t>addis,abeba  nat,right  abeba,black  right,university  lion,university  black,lion  ethiopia,addis  university,ethiopia</t>
  </si>
  <si>
    <t>universities,basing  high,list  educatiin,country  higher,educatiin  basing,times  muhas,pure  interesting,deserving  best,african  medical,university  ranked,high</t>
  </si>
  <si>
    <t>facts,lies</t>
  </si>
  <si>
    <t>like,confusion  included,university  africa,included  confusion,best  south,africa  advertising,universities  universities,south  university,africa  university,nairobi  best,university</t>
  </si>
  <si>
    <t>lies,lies</t>
  </si>
  <si>
    <t>trust,ranking  credible,sources  sources,qs  ranking,subjective  qs,rankings  subjective,trust  ranking,credible</t>
  </si>
  <si>
    <t>diop,university  university,dakar  cheikh,anta  speaking,universities  anta,diop  stop,easy  canada,france  science,business  usa,canada  africa,25</t>
  </si>
  <si>
    <t>faculty,morning  passed,wits  johannesburg,parktown  sciences,faculty  jogging,johannesburg  health,sciences  morning,jogging  wits,health</t>
  </si>
  <si>
    <t>lower,cholesterol</t>
  </si>
  <si>
    <t>ahh,vo  vo,cado</t>
  </si>
  <si>
    <t>called,statins  drugs,called  heard,homeostasis  lower,cholesterol  stupid,lower  profitable,pill  diseases,nonsense  statins,profitable  cholesterol,die  die,cholesterol</t>
  </si>
  <si>
    <t>wine,myth  wondering,exclude  exclude,wine  excellent,wondering  advice,excellent  heart,elaborate  good,advice  good,heart  wine,good  myth,wine</t>
  </si>
  <si>
    <t>source,protein  eat,12whole  being,cheap  protein,cholesterol  cheap,source  eggs,being  12whole,eggs</t>
  </si>
  <si>
    <t>good,eat  well,wash  careful,kidney  real,good  real,real  kidney,beans  beans,well  wash,real  eat,beans  beans,mm</t>
  </si>
  <si>
    <t>keto,foods</t>
  </si>
  <si>
    <t>cholesterol,live</t>
  </si>
  <si>
    <t>tips,love  great,tips</t>
  </si>
  <si>
    <t>yep,eat  daily,basis  eat,daily</t>
  </si>
  <si>
    <t>carnivoremd,entered  entered,chat</t>
  </si>
  <si>
    <t>excellent,advice  drs,excellent</t>
  </si>
  <si>
    <t>pussy,safety  safety,pussy</t>
  </si>
  <si>
    <t>super,help  kidding,love  startin,like  help,simple  lightheartedness,guys  super,service  service,help  like,guys  guys,kidding  simple,super</t>
  </si>
  <si>
    <t>bean,song  forgot,finish  finish,bean</t>
  </si>
  <si>
    <t>kidney,infection</t>
  </si>
  <si>
    <t>everyday,salad  blue,berry  eat,nuts  avocado,eat  salad,avocado  berry,everyday  nuts,high  high,cholesterol  eat,blue</t>
  </si>
  <si>
    <t>mushrooms,berries  gbombs,greens  greens,beans  beans,onions  berries,seeds  onions,mushrooms  seeds,nuts</t>
  </si>
  <si>
    <t>blindly,believe  study,telling  concept,brain  hormones,whack  dumbest,concept  brain,shrivel  reviewed,study  peer,reviewed  whack,doctors  believe,peer</t>
  </si>
  <si>
    <t>heal,inflammation  generated,body  lower,cholesterol  cholesterol,generated  body,heal</t>
  </si>
  <si>
    <t>rest,problemo  kale,rest  die,eat  eat,kale</t>
  </si>
  <si>
    <t>lower,cholesterol  cholesterol,mechanism  fiber,lower</t>
  </si>
  <si>
    <t>peanut,bad  bad,reducing  nuts,peanut  brazil,nuts  reducing,cholesterol  life,thinking  thinking,brazil</t>
  </si>
  <si>
    <t>listeners,fat  title,exchange  statins,glucophage  stick,doctors  doctors,stop  glucophage,stick  stop,listeners  exchange,statins</t>
  </si>
  <si>
    <t>beef,lamb  gonna,stick  stick,beef  lamb,afraid  hummmm,gonna</t>
  </si>
  <si>
    <t>exercise,combine  super,food  diet,everyday  everyday,exercise  drinking,warm  good,tested  combine,drinking  combined,balanced  warm,water  balanced,diet</t>
  </si>
  <si>
    <t>straight,simple</t>
  </si>
  <si>
    <t>high,sugar  grapes,high</t>
  </si>
  <si>
    <t>dark,chocolate  lead,lower  good,ratio  leaky,gut  america,fat  gut,dark  husk,leaky  chocolate,high  thinking,america  ratio,ldl</t>
  </si>
  <si>
    <t>wear,scrubs  scrubs,talking</t>
  </si>
  <si>
    <t>lowering,cholesterol  helps,lowering  lemon,helps</t>
  </si>
  <si>
    <t>cholesterol,bad</t>
  </si>
  <si>
    <t>chicken,mentioned  hoping,fried  fried,chicken</t>
  </si>
  <si>
    <t>cholesterol,matter  avocados,wrong  wrong,cholesterol</t>
  </si>
  <si>
    <t>simplistic,keep  ll,fine  keep,transfats  transfats,refined  sugar,ll  refined,sugar</t>
  </si>
  <si>
    <t>peanut,oil  heard,peanut  oil,bad  ve,heard</t>
  </si>
  <si>
    <t>seeds,work  work,broken  broken,down  chia,seeds</t>
  </si>
  <si>
    <t>inr,lol  kale,leafy  warfarin,avoid  lol,warfarin  leafy,veggies  avoid,kale  losing,inr</t>
  </si>
  <si>
    <t>lower,cholesterol  best,green  green,leafy  idiots,best  leafy,vegetables  vegetables,lower</t>
  </si>
  <si>
    <t>loads,carbs  beans,raise  sugar,beans  beans,loads  raise,sugar  beans,beans</t>
  </si>
  <si>
    <t>cheese,red  quality,eggs  red,meat  eggs,cheese  good,quality</t>
  </si>
  <si>
    <t>people,doctors  doctors,money  healthy,worry  worry,remember  remember,sick  fried,foods  money,healthy  wrong,cholesterol  joints,cell  brain,health</t>
  </si>
  <si>
    <t>lower,triglycerides</t>
  </si>
  <si>
    <t>eating,clean  ldl,203  203,hdl  75,eating  clean,whts  hdl,triglycerides  lipid,ldl  whts,docccc  like,clean  clean,like</t>
  </si>
  <si>
    <t>lowers,cholesterol  exercise,lowers</t>
  </si>
  <si>
    <t>excellent,excellent  foods,enjoy  excellent,foods</t>
  </si>
  <si>
    <t>strict,diet  ldl,down  140,strict  180,ldl  works,strict  120,120  120,140  diet,180  down,120</t>
  </si>
  <si>
    <t>reduce,bank  bank,balance  avacado,good  good,reduce</t>
  </si>
  <si>
    <t>age,35  patient,female  female,age  35,40  sugar,patient</t>
  </si>
  <si>
    <t>podcast,study  nutrition,foods  answer,nutrition  study,ongoing  fats,podcast  otcciyhjxvu,otcciyhjxvu  keto,fats  podcast,nutritioni  trying,honestly  comment,link</t>
  </si>
  <si>
    <t>successful,patients  trying,heal  patients,medications  preferably,150  diabetes,autoimmune  type,diabetes  medications,reversing  broke,coffee  feels,yucky  truth,show</t>
  </si>
  <si>
    <t>healthy,promote  promote,pharma  md,healthy  health,care  care,business  pharma,sick  business,health  sick,care</t>
  </si>
  <si>
    <t>strawberries,blueberries  easy,peaay  psyllium,husk  steel,cut  cut,oatmeal  oatmeal,strawberries  prima,steel  husk,yerba  blueberries,blackberries  yerba,prima</t>
  </si>
  <si>
    <t>word,superfood  superfood,suspicious</t>
  </si>
  <si>
    <t>avocado,hass  hass,hass</t>
  </si>
  <si>
    <t>wild,caught  caught,salmon  fresh,salmon  difficult,fresh  canned,wild  salmon,good  good,difficult</t>
  </si>
  <si>
    <t>hydraulic,press  press,nothin  ass,feel  high,blood  like,hydraulic  bad,ass  nothin,manlier  blood,pressure  feel,like  manlier,hydraulic</t>
  </si>
  <si>
    <t>silium,husk  grapes,blue  fish,oats  green,leafy  dark,chocolate  blue,berries  beans,chickpeas  lentils,nuts  husk,fish  oats,barley</t>
  </si>
  <si>
    <t>forgot,mention  mention,deeznuts</t>
  </si>
  <si>
    <t>thing,continue  add,statins  lifelong,thing  kind,lifelong  statins,kind</t>
  </si>
  <si>
    <t>crestor,midrange  cholesterol,true  40mg,crestor  ate,changed  true,people  people,40mg  changed,cholesterol</t>
  </si>
  <si>
    <t>guys,greatest  love,guys</t>
  </si>
  <si>
    <t>finally,drs  drs,talking  talking,right  admire,finally</t>
  </si>
  <si>
    <t>dangerous,high  high,cholesterol  cholesterol,dangerous</t>
  </si>
  <si>
    <t>body,brain  seed,oils  oils,vegetable  parkinson,doctors  avocado,olive  good,science  link,lied  fat,diet  doctors,people  disease,link</t>
  </si>
  <si>
    <t>reduce,cholesterol  butter,margarine  margarine,reduce  questions,butter</t>
  </si>
  <si>
    <t>almond,milk  almonds,almond  mention,almonds</t>
  </si>
  <si>
    <t>leafs,seeds  eat,leafs</t>
  </si>
  <si>
    <t>hate,fish  thing,sounds  fish,thing  sounds,good</t>
  </si>
  <si>
    <t>fantastic,short  level,207  short,informative  207,worried  informative,level</t>
  </si>
  <si>
    <t>ibs,fish  foods,ibs</t>
  </si>
  <si>
    <t>eater,gluten  genetic,super  roof,healthy  levels,roof  gluten,sugar  healthy,eater  switching,milk  36,37kg  super,skinny  skinny,like</t>
  </si>
  <si>
    <t>cooties,sound  green,leafy  vegetables,gross  leafy,vegetables  ewwwww,green  like,preface  gross,cooties  sound,like</t>
  </si>
  <si>
    <t>heard,seeds  risk,diverticulitis  eat,heard  chia,seeds  safe,eat  seeds,safe  seeds,risk</t>
  </si>
  <si>
    <t>grapes,psyllium  spinach,fresh  chocolate,kale  list,brazil  brazil,nuts  fish,oats  kale,spinach  dark,chocolate  psyllium,husk  beans,chickpeas</t>
  </si>
  <si>
    <t>ldl,particle  dense,large  particle,foods  buoyant,ldl  foods,lower  large,buoyant  lower,dense</t>
  </si>
  <si>
    <t>raw,broccoli  brand,hummus  hope,brand  broccoli,hope  hummus,evoo</t>
  </si>
  <si>
    <t>dark,chocolate  increase,vldl  vldl,decrease  vldl,aware  decrease,ldl  ldl,increase  chocolate,include  phytosterols,greater  total,change  reduction,ldl</t>
  </si>
  <si>
    <t>beans,good  heart,eat  good,heart  eat,fart  beans,beans</t>
  </si>
  <si>
    <t>myth,cholesterol  brain,hormones  cholesterol,supports  hormones,sex  sex,hormones  supports,brain  cholesterol,myth  hormones,ill  lower,cholesterol  ill,pass</t>
  </si>
  <si>
    <t>thing,jump  jump,conclusions  better,entire  entire,thing</t>
  </si>
  <si>
    <t>condom,genital  herpes,wearing  contracting,herpes  risk,contracting  wearing,condom  decrease,risk  genital,herpes  part,condoms  condoms,decrease  correction,part</t>
  </si>
  <si>
    <t>thigh,lol  penis,thigh</t>
  </si>
  <si>
    <t>scared,lol</t>
  </si>
  <si>
    <t>bumbs,viginal  hw,bout  bout,bumbs  viginal,remove</t>
  </si>
  <si>
    <t>yoa,advic  disease,yoa  pandamic,disease  worldwide,pandamic</t>
  </si>
  <si>
    <t>surface,common  immune,system  fun,hurts  buttocks,fun  thumb,strange  strange,reoccurred  bit,prone  hurts,itchy  hell,surface  itchy,hell</t>
  </si>
  <si>
    <t>damage,control</t>
  </si>
  <si>
    <t>sounds,good</t>
  </si>
  <si>
    <t>keep,africa</t>
  </si>
  <si>
    <t>projections,continent  uninhabitable,couple  well,good  continent,uninhabitable  couple,decades  ipcc,projections  good,ipcc</t>
  </si>
  <si>
    <t>earth,time  meek,inherit  inherit,earth</t>
  </si>
  <si>
    <t>innovative,talented  talented,african  african,doctor  god,innovative</t>
  </si>
  <si>
    <t>down,excess  life,expectacy  expectacy,down  wests,life  excess,deaths  deaths,15</t>
  </si>
  <si>
    <t>good,work  news,good  positive,news  finally,positive  work,africa</t>
  </si>
  <si>
    <t>terrible,guys  56,terrible</t>
  </si>
  <si>
    <t>god,highest  glory,god  breakthrough,africa  highest,breakthrough</t>
  </si>
  <si>
    <t>better,service  bringing,attention  service,reporting  life,expectancies  expectancies,reported  true,africa  countries,life  country,continent  improving,bringing  africa,continent</t>
  </si>
  <si>
    <t>god,bless  jesus,answered  africa,god  lord,jesus  answered,prayer  prayer,africa  amen,lord  amen,amen  bless,africa</t>
  </si>
  <si>
    <t>good,news  56,good</t>
  </si>
  <si>
    <t>die,bloated  children,die  bit,noice  bloated,bit</t>
  </si>
  <si>
    <t>gynecologist,nice</t>
  </si>
  <si>
    <t>rise,africans  africa,rise</t>
  </si>
  <si>
    <t>great,africans  stay,homeland  africans,stay</t>
  </si>
  <si>
    <t>developing,countries  increase,life  life,expectancy  partly,innovations  innovations,technology  countries,partly  expectancy,developing</t>
  </si>
  <si>
    <t>dramatic,increase  german,tv  disturbing,choice  coming,german  tv,surprised  wording,coming  choice,wording  increase,disturbing</t>
  </si>
  <si>
    <t>ages,human  stagnated,learned  development,stagnated  human,development  troubled,continent  africa,troubled  continent,ages</t>
  </si>
  <si>
    <t>dr,tankou</t>
  </si>
  <si>
    <t>lowest,vaccination  vaccination,rates</t>
  </si>
  <si>
    <t>africans,europe  great,news  europe,great</t>
  </si>
  <si>
    <t>increase,poverty</t>
  </si>
  <si>
    <t>usage,medical  technology,usage  africa,increases  expectancy,africa  life,expectancy  shows,advancement  56,shows  advancement,technology  46,56  medical,field</t>
  </si>
  <si>
    <t>chinese,investments</t>
  </si>
  <si>
    <t>life,expectancy  total,life  expectancy,age  expectancy,people  aware,dw  people,aware  lives,total  live,healthy  expected,live  age,expected</t>
  </si>
  <si>
    <t>european,government  nato,leaders  world,peoplke  peoplke,dead  leaders,world  protect,ukrainians  ukrainians,live  dead,protect  government,nato</t>
  </si>
  <si>
    <t>past,colonizers</t>
  </si>
  <si>
    <t>world,liberate  liberate,iran  iran,woman</t>
  </si>
  <si>
    <t>mouths,feed</t>
  </si>
  <si>
    <t>economic,growth  growth,good</t>
  </si>
  <si>
    <t>western,media  bit,late  agenda,africa  entire,africa  64,western  mistakes,bit  congo,extrapolate  africa,64  media,trying  expectancy,africa</t>
  </si>
  <si>
    <t>presenting,positive  positive,news</t>
  </si>
  <si>
    <t>life,expectancy  long,life  expectancy,africans  earth,long  africans,reversed</t>
  </si>
  <si>
    <t>amount,food  continent,provide  grow,amount  population,grow  food,continent</t>
  </si>
  <si>
    <t>work,force  force,natality  eu,african  african,work  boost,economy  dropping,boost  natality,dropping</t>
  </si>
  <si>
    <t>siberia,people  russia,siberia</t>
  </si>
  <si>
    <t>great,news  people,work  eat,screw  slaves,survive  white,people  news,life  work,like  expectancy,increase  screw,white  life,expectancy</t>
  </si>
  <si>
    <t>brutal,artichokes  humanity,started  africa,place  place,humanity  human,brutal  started,human</t>
  </si>
  <si>
    <t>believe,neuroplasticity  woww,blind  football,team  neuroplasticity,senses  interesting,believe  blind,football  sharper,sense  team,interesting  senses,sharper</t>
  </si>
  <si>
    <t>keep,strong  congratulations,africa  africa,america  america,keep</t>
  </si>
  <si>
    <t>india,helping  helping,africa</t>
  </si>
  <si>
    <t>cruel,irresponsible  child,provide  education,birth  key,reducing  reducing,poverty  provide,cruel  birth,control  hunger,child  control,key  poverty,hunger</t>
  </si>
  <si>
    <t>zero,sense  sense,covid  sense,sense  covid,supposedly  supposedly,lowered</t>
  </si>
  <si>
    <t>ill,timed  developing,countries  increased,average  information,ill  timed,view  decreased,infant  view,food  living,longer  struggling,developing  countries,decreased</t>
  </si>
  <si>
    <t>news,stories  good,news</t>
  </si>
  <si>
    <t>eyes,like  part,system  people,artificial  blind,people  system,worst  eyes,sth  sth,part  artificial,eyes  worst,lose  bionic,eyes</t>
  </si>
  <si>
    <t>times,high  high,mortalities  long,times  wow,happy  blooming,long  african,population  hear,african  happy,hear  population,blooming</t>
  </si>
  <si>
    <t>housing,energy  consequences,terrible  grow,extra  terrible,premature  jobs,housing  deaths,population  good,news  premature,deaths  extra,food  population,grow</t>
  </si>
  <si>
    <t>improved,life  life,expectancy  lower,birth  birth,rates  leads,lower  expectancy,leads</t>
  </si>
  <si>
    <t>religion,80</t>
  </si>
  <si>
    <t>africans,knowing  zones,included  better,war  knowing,long  life,changed  included,dw  war,zones  time,life  changed,better  long,time</t>
  </si>
  <si>
    <t>northern,nigeria  african,northern  nigeria,kano  prove,west  africans,prove  perspective,negatively  negatively,acceptance  explore,talents  africans,innovative  kano,state</t>
  </si>
  <si>
    <t>vaccines,positive  modern,pharmaceuticals  like,vaccines  positive,effect  pharmaceuticals,like  lack,modern</t>
  </si>
  <si>
    <t>calling,bs  country,africa  beautiful,country  documentaries,ve  africa,calling  watched,beautiful  ve,watched</t>
  </si>
  <si>
    <t>africans,covid  jab,good  covid,jab</t>
  </si>
  <si>
    <t>wars,better  educated,wealthy  people,live  better,life  live,wars  growing,educated  prosperously,people  economy,growing  africa,economy  happy,africa</t>
  </si>
  <si>
    <t>posts,good  happened,dw  good,news  news,africa  africa,happened  dw,posts</t>
  </si>
  <si>
    <t>perish,everlasting  christ,behalf  christ,plead  life,jesus  believeth,perish  jesus,christ  everlasting,life  behalf,reconciled  loved,world  whosoever,believeth</t>
  </si>
  <si>
    <t>bad,news  global,warming  news,global</t>
  </si>
  <si>
    <t>lifespan,passed  africans,achieve  achieve,immortality  passed,lifespan  damn,lifespan  passed,africans</t>
  </si>
  <si>
    <t>shows,worst  africa,great  racists,unfortunately  media,including  worst,parts  tf,word  africa,africa  unfortunately,western  dw,racists  aswell,racists</t>
  </si>
  <si>
    <t>good,thing</t>
  </si>
  <si>
    <t>african,continent  countries,well  liked,blind  well,liked  expectancy,down  export,product  hope,export  product,countries  innovation,screening  sad,average</t>
  </si>
  <si>
    <t>reproduction,health  health,conciousness</t>
  </si>
  <si>
    <t>innovative,congratulations  doctor,job  congratulations,doctor  congratulations,congratulations  job,challenges</t>
  </si>
  <si>
    <t>declines,rapidly  population,problem  birth,rate  hope,birth  rate,declines  huge,population  rapidly,huge</t>
  </si>
  <si>
    <t>revolution,important  important,political  life,death  resistance,insurrection  death,people  ukraine,macron  guizot,1830  passions,rush  people,passions  truss,british</t>
  </si>
  <si>
    <t>networks,being  transport,networks  healthcare,africa  infrastructure,required  stuff,good  being,built  schools,transport  faster,healthcare  better,faster  built,support</t>
  </si>
  <si>
    <t>balance,african  africa,lions  part,balance  african,population  lions,part</t>
  </si>
  <si>
    <t>gelatinous,better  mixed,ounce  psyllium,husks  better,processed  ounce,glass  down,gelatinous  husks,mixed  glass,water  drink,right  processed,bran</t>
  </si>
  <si>
    <t>hurt,butter  medicine,doctors  butter,pain  pain,medicine</t>
  </si>
  <si>
    <t>hazel,help  witch,hazel  help,feels  feels,like</t>
  </si>
  <si>
    <t>comedy,act  informed,roundabout  act,huge  informative,comedy  smile,informed  huge,smile  roundabout,hemorrhoids</t>
  </si>
  <si>
    <t>witch,hazel  help,witch  hemorrhoids,love  love,rid  information,hemorrhoids  rid,help</t>
  </si>
  <si>
    <t>sending,friends  happy,rear  surgery,well  unlucky,hemorrhoid  hemorrhoid,surgery  great,delight  friends,unlucky  wishes,happy  well,wishes  delight,sending</t>
  </si>
  <si>
    <t>tons,food  stupid,ass  ass,pill  fiber,cereal  food,fiber  cereal,stupid</t>
  </si>
  <si>
    <t>course,push</t>
  </si>
  <si>
    <t>wholeeome,advice</t>
  </si>
  <si>
    <t>hazel,warning  warning,label  witch,hazel  harmed,production  production,witch  witches,harmed</t>
  </si>
  <si>
    <t>bud,ty  brand,bud  totally,forgot  forgot,brand  ty,reminder</t>
  </si>
  <si>
    <t>heamorroid,world  medication,heamorroid  ll,keep  sickness,virus  virus,herbal  dr,igho  good,products  world,good  bother,sickness  doctor,positivity</t>
  </si>
  <si>
    <t>fiber,adding  adding,veggies  yep,fiber</t>
  </si>
  <si>
    <t>meat,heals  fibre,help  eating,meat  help,eating</t>
  </si>
  <si>
    <t>black,cummin  bed,cheers  try,black  oil,teaspoon  teaspoon,morning  teaspoon,bed  morning,teaspoon  cummin,oil</t>
  </si>
  <si>
    <t>witch,hazel  hazel,brought  brought,unwanted  lol,witch  unwanted,memories</t>
  </si>
  <si>
    <t>colon,hemmaroids  irritate,colon  bull,crap  fiber,absolutely  crap,fiber  absolutely,irritate</t>
  </si>
  <si>
    <t>prevent,heal  heal,internal</t>
  </si>
  <si>
    <t>disease,flare  anemia,ugh  reason,suffer  loss,anemia  suffer,blood  blood,loss  flare,reason  crohn,disease</t>
  </si>
  <si>
    <t>hemorrhoids,lying  vicks,hemorrhoids</t>
  </si>
  <si>
    <t>ll,normal  real,pain  pain,dryness  itching,feel  being,inflamed  stop,being  dryness,itching  inflamed,ll  feel,stop  normal,idk</t>
  </si>
  <si>
    <t>poop,hemmorhoids  bleeds,poop  pains,bleeds</t>
  </si>
  <si>
    <t>good,doctor  like,dr  health,herbal  good,cear  edos,big  dr,edos  blessings,good  big,blessings  herbal,medications  cear,health</t>
  </si>
  <si>
    <t>guy,great</t>
  </si>
  <si>
    <t>eat,bran  bran,truth  bran,work  work,eat</t>
  </si>
  <si>
    <t>docs,sense  good,docs  remedies,medication  including,remedies  humor,including  medication,surgery  sense,humor</t>
  </si>
  <si>
    <t>bad,advice  people,fiber  fiber,constipation  constipation,leading  resulting,hemorrhoids  strain,resulting  advice,people  leading,strain</t>
  </si>
  <si>
    <t>rat,hehehe  like,rat  best,fiber  fiber,like</t>
  </si>
  <si>
    <t>gas,great  bet,lot  lot,gas  great,info</t>
  </si>
  <si>
    <t>bands,performed  thst,strangulated  sufferer,40  decades,remedies  performed,hemmeroid  work,thing  hemmeroid,specislists  hemmeroid,sufferer  strangulated,rubber  remedies,work</t>
  </si>
  <si>
    <t>bran,buds  buds,ate  ate,awesome</t>
  </si>
  <si>
    <t>like,advice  food,suppose  advice,kidney  kidney,disease  disease,food  kidney,stones  suppose,eat  eat,kidney</t>
  </si>
  <si>
    <t>internal,hemorrhoid  times,good  mandy,times  rubber,banding  good,results  pain,butt  hemorrhoid,rubber  results,pain  banding,mandy  recurring,internal</t>
  </si>
  <si>
    <t>aur,blooding  bohat,jayda  piles,ki  jagran,aur  manulax,churna  pata,nhi  jayda,jagran  ki,takhalif  churna,bohat  gya,mass</t>
  </si>
  <si>
    <t>love,doctors</t>
  </si>
  <si>
    <t>eating,carbs  stop,eating  helped,mw  mw,stop</t>
  </si>
  <si>
    <t>witch,hazel  well,witch</t>
  </si>
  <si>
    <t>docs,gmo  better,cure  kill,microbiom  hemorrhoids,kill  gmo,better  cure,hemorrhoids</t>
  </si>
  <si>
    <t>shot,relief  capsules,shot  root,capsules  colinsonia,root</t>
  </si>
  <si>
    <t>help,trust  trust,docs  mite,help  guys,entertaining  real,docs  docs,mite  entertaining,real</t>
  </si>
  <si>
    <t>diet,witchhazel  50,times  min,temporary  relief,like  times,worse  ouch,ve  fiber,diet  like,surgery  ve,heard  surgery,ouch</t>
  </si>
  <si>
    <t>hazel,swine  bum,witch  witch,hazel  help,bum  bran,buds  buds,help  love,guys  curse,love  swine,curse</t>
  </si>
  <si>
    <t>baay,kar  hai,normal  kyu,baay  raha,hai  kaise,kyu  karan,johar  abe,khajoor  khajoor,karan  johar,kaise  kar,raha</t>
  </si>
  <si>
    <t>bless,doc  life,ramification  ramification,appreciate  appreciate,doctor  pretty,smile  god,bless  herbs,putting  dr,igho  putting,pretty  doctor,helping</t>
  </si>
  <si>
    <t>dr,igho  bless,doc  life,ramification  joy,dr  pretty,smile  god,bless  igho,greatest  hemorrhoid,naturally  putting,pretty  cure,pain</t>
  </si>
  <si>
    <t>laughed,reproduce  feel,like  like,tarded  tarded,connect  sad,laughed  public,sad  connect,public  professionals,feel</t>
  </si>
  <si>
    <t>witch,hazel  citrus,bottle  like,october  october,bunch  bunch,citrus  suffering,like  bottle,witch</t>
  </si>
  <si>
    <t>loose,skin  bath,tissue  pulls,memories  problem,tugs  tissue,starts  spot,thx  pain,associated  hemorrhoid,pain  skin,hemorrhoid  restroom,bath</t>
  </si>
  <si>
    <t>tea,soluble  10,minutes  stayed,15  maximum,10  external,completely  15,minutes  home,treatment  avoid,sitting  chamomile,tea  vitamins,stayed</t>
  </si>
  <si>
    <t>saddle,sore</t>
  </si>
  <si>
    <t>hemorrhoids,fissures  internal,hemorrhoids</t>
  </si>
  <si>
    <t>oil,pack  bum,overnight  castor,oil  overnight,telling  pack,bum</t>
  </si>
  <si>
    <t>protein,shake  meal,protein  seed,meal  flax,seed</t>
  </si>
  <si>
    <t>better,physician  satire,feel  feel,lot  lot,better  feel,feel  physician,appreciate</t>
  </si>
  <si>
    <t>aabout,gynecomastia</t>
  </si>
  <si>
    <t>fibre,choice  fibre,gotta  delicious,fibre  gotta,right  choice,delicious  musli,fibre  well,enjoyable  granola,musli  right,well</t>
  </si>
  <si>
    <t>god,bless  advice,completely  hemorrhoids,suffered  cured,hemorrhoids  followed,advice  completely,cured  suffered,god</t>
  </si>
  <si>
    <t>being,split  places,like  split,open  ripped,open  open,toilet  cuts,bleed  anus,being  bleed,ripped  like,deep  long,cuts</t>
  </si>
  <si>
    <t>drink,water</t>
  </si>
  <si>
    <t>nutritian,class  crap,nutritian  cereal,crap</t>
  </si>
  <si>
    <t>rid,varicocele  varicocele,surgery</t>
  </si>
  <si>
    <t>metamucil,best</t>
  </si>
  <si>
    <t>10,removed  external,larger  external,option  removed,surgically  larger,pee  size,past  cut,super  fit,drink  past,10  difficult,rid</t>
  </si>
  <si>
    <t>fiber,good  good,suffer  suffer,constipation  doctors,fiber</t>
  </si>
  <si>
    <t>poo,pain  fiber,worst  worst,fiber  increase,water  water,fiber  fiber,poo  fiber,fiber</t>
  </si>
  <si>
    <t>monohydrate,shrink  shrink,external  external,hemmaroid  calcium,dobesilate  dobesilate,monohydrate</t>
  </si>
  <si>
    <t>inches,deep  anus,inches</t>
  </si>
  <si>
    <t>ty,dr</t>
  </si>
  <si>
    <t>wash,butt  soap,bidet  hole,water  water,soap  butt,hole</t>
  </si>
  <si>
    <t>work,cut  carbs,sugar  sugar,lion  cut,carbs  lion,herorids  wrong,work</t>
  </si>
  <si>
    <t>eat,vegetables  vegetables,folks  hemorrhoids,naturally  everyday,hemorrhoids  naturally,eat  vegetables,eat</t>
  </si>
  <si>
    <t>herbs,human  worked,cured  dr,madida  human,papilomavirus  papilomavirus,worked  madida,herbs</t>
  </si>
  <si>
    <t>preparation,disgusting  disappear,heard  disgusting,hemorrhoids  hemorrhoids,disappear  heard,friend</t>
  </si>
  <si>
    <t>laugh,cough  stop,laugh  time,laugh  bro,stop  hurts,time  laugh,hurts</t>
  </si>
  <si>
    <t>visible,adult  extreme,cases  associated,positive  positive,size  completely,fiber  straining,#2  pain,associated  paper,completely  gummies,refrained  fiber,gummies</t>
  </si>
  <si>
    <t>horse,chestnut  chestnut,supplement</t>
  </si>
  <si>
    <t>simple,method  method,hold</t>
  </si>
  <si>
    <t>dr,eromon  saved,ass  herbal,medicine  pure,natural  eromon,saved  medicine,dr  natural,herbal  hemorrhoids,permanently  eromon,dr  permanently,pure</t>
  </si>
  <si>
    <t>doctor,iron  iron,studies</t>
  </si>
  <si>
    <t>lecture,dr  informative,lecture</t>
  </si>
  <si>
    <t>delicate,balance  management,delicate  dr,khaled  study,financial  lecture,dr  interesting,study  balance,good  good,lecture  financial,management</t>
  </si>
  <si>
    <t>foreign,qualified  qualified,doctors  admitted,foreign  department,health  health,admitted</t>
  </si>
  <si>
    <t>lowest,world  continent,dr  continent,lowest  paying,student  program,newly  america,program  loans,mother  expectancy,continent  plan,life  graduate,dr</t>
  </si>
  <si>
    <t>eff,doctors  anc,eff  voting,anc  keep,voting</t>
  </si>
  <si>
    <t>fake,doctors  worry,fake</t>
  </si>
  <si>
    <t>power,qualified  anc,voted  counties,notch  respected,welcome  qualified,doctors  moving,better  keep,counties  engineers,etc  etc,home  busy,moving</t>
  </si>
  <si>
    <t>takingvtheir,jobs  mondset,stop  doctors,countries  stop,sa  sa,island  jobs,shallow  shallow,mondset  countries,takingvtheir</t>
  </si>
  <si>
    <t>gvt,refuses  refuses,employ  foreign,doctors  employ,foreign</t>
  </si>
  <si>
    <t>department,health  unemployed,doctors  employ,result  doctors,hassling  hassling,private  doctors,country  money,employ  private,mines  result,doctors  health,money</t>
  </si>
  <si>
    <t>anc,like  steal,kill  devil,destroy  like,devil  destroy,steal</t>
  </si>
  <si>
    <t>foreigners,jobs</t>
  </si>
  <si>
    <t>local,trained  trained,doctors  sitting,home  foreign,trained  trained,sitting  doctors,local  home,unemployed</t>
  </si>
  <si>
    <t>work,bee  drs,work  majority,african  african,drs</t>
  </si>
  <si>
    <t>anc,viva  viva,anc  darkness,viva  pointless,useless  living,darkness  south,africa  aimless,pointless  viva,aimless  black,south  hypocrisy,black</t>
  </si>
  <si>
    <t>idea,talking</t>
  </si>
  <si>
    <t>bot,account</t>
  </si>
  <si>
    <t>black,hidden  possess,longer  anunnaki,gods  keep,chains  image,powerful  hidden,revealed  descendants,anunnaki  longer,stop  powerful,beings  afraid,powers</t>
  </si>
  <si>
    <t>sa,health  entity,sa  evil,bunch  anc,destroyed  health,systems  systems,evil  destroyed,entity</t>
  </si>
  <si>
    <t>world,chomping  country,world  leave,country  doctors,leave  chomping,bit  bit,experience</t>
  </si>
  <si>
    <t>health,care  manage,state  clinics,hospitals  state,clinics  care,insurance  private,sectors  corrupt,anc  private,health  requiring,1st  funding,scheme</t>
  </si>
  <si>
    <t>universal,health  health,care  asia,work  works,world  bad,track  managing,idea  decent,medical  record,managing  well,access  anc,bad</t>
  </si>
  <si>
    <t>valuable,resource</t>
  </si>
  <si>
    <t>generations,amandla  corruption,amandla  amandla,state  current,health  amend,improve  state,hospitals  health,state  lot,politicians  state,corruption  anc,clinics</t>
  </si>
  <si>
    <t>managing,current  well,performing  performing,nhi  charge,managing  managed,entity  care,service  service,well  health,care  public,health  nhi,managed</t>
  </si>
  <si>
    <t>medical,aid  discam,ask  downsized,package  compitent,call  plan,called  efficient,medical  chromic,hospital  35,yrs  cover,range  discovery,35</t>
  </si>
  <si>
    <t>effects,jab  claims,effects  clients,jab  insisted,clients  jab,willing  jab,caused  pay,claims  plandemic,discovery  covid,plandemic  discovery,insisted</t>
  </si>
  <si>
    <t>diets,cholesterol  fat,diets  like,fat  health,guidelines  cholesterol,kill  kill,eventually  guidelines,like</t>
  </si>
  <si>
    <t>bull,hit  force,ck  driving,force  money,driving  hit,money  ck,yorselfs</t>
  </si>
  <si>
    <t>medical,aid  join,medical  senior,citizen  aid,scheme  scheme,member  member,senior</t>
  </si>
  <si>
    <t>guidelines,actual  like,guidelines  health,cover  actual,cover  cover,like  hospital,health</t>
  </si>
  <si>
    <t>medical,aid  quote,pensioners  pensioners,medical</t>
  </si>
  <si>
    <t>pay,cash  cash,medication  experiencing,problems  problems,pay</t>
  </si>
  <si>
    <t>contact,quote  agent,contact</t>
  </si>
  <si>
    <t>medical,aid  waiting,period  aid,waiting</t>
  </si>
  <si>
    <t>reason,change  depleted,reason  msa,aware  msa,depleted  change,plan  plan,msa</t>
  </si>
  <si>
    <t>meets,medical  medical,concerns  affinity,health  happy,affinity  health,affordable  affordable,meets</t>
  </si>
  <si>
    <t>giveaways,anytime</t>
  </si>
  <si>
    <t>jesus,christ  idolatrous,money  money,worshippers  worshippers,jesus</t>
  </si>
  <si>
    <t>left,country</t>
  </si>
  <si>
    <t>reach,germany  leaving,reach</t>
  </si>
  <si>
    <t>stay,home  knives,claiming  well,stay  doctors,finding  engineers,doctors  home,lot  claiming,engineers  hospitals,nigerian  chaps,dinghy  western,hospitals</t>
  </si>
  <si>
    <t>ww2,education  country,doers  leave,imagine  person,left  imagine,germany  change,leave  bring,change  germany,educated  change,people  education,country</t>
  </si>
  <si>
    <t>mph,thesis  thesis,publish</t>
  </si>
  <si>
    <t>10,country  cancel,licence  doctor,degree  degree,law  doctor,work  atleast,10  law,doctor  work,atleast  licence,doctor</t>
  </si>
  <si>
    <t>skills,appreciated  countries,skills  leave,try  try,luck  luck,countries</t>
  </si>
  <si>
    <t>strip,mines  world,resources  mines,3rd  countries,improvised  brain,drained  improvised,brain  leaving,countries  resources,people  west,strip  3rd,world</t>
  </si>
  <si>
    <t>human,thing  lot,migration  economic,migration  asia,well  natural,human  nigeria,lot  thing,issue  migration,asia  issue,specific  migration,natural</t>
  </si>
  <si>
    <t>nigerians,building  nation,shame  building,nation</t>
  </si>
  <si>
    <t>africans,leaving  africa,governments  leaving,africa  governments,countries</t>
  </si>
  <si>
    <t>people,kissing  kissing,russian  care,hating  people,care  gay,people  hating,gay</t>
  </si>
  <si>
    <t>coup,citizens  citizens,deserve  heading,coup  deserve,better  nigeria,heading</t>
  </si>
  <si>
    <t>compete,global  create,incentives  government,create  pay,better  better,britain  britain,government  global,economy  incentives,stay  stay,compete</t>
  </si>
  <si>
    <t>racism,facism  kinds,badisms  facism,kinds  world,west  west,racism</t>
  </si>
  <si>
    <t>migrate,hope  things,remained  people,migrate  remained,people</t>
  </si>
  <si>
    <t>russia,arrives  destruction,corruption  blame,russia  corruption,lawlessness  arrives,death  death,destruction</t>
  </si>
  <si>
    <t>family,planing  act,family  africa,act  responsible,africa  planing,education</t>
  </si>
  <si>
    <t>countries,immigrants  illusion,west  volume,term  comparing,countries  speaks,volume  immigrants,gonna  room,doctor  west,pays  west,intend  pays,better</t>
  </si>
  <si>
    <t>reason,leaving  leaving,florida</t>
  </si>
  <si>
    <t>doctors,europe  world,lacks  leave,minute  absolutely,right  europe,nigeria  nigeria,dump  lacks,doctors  duuuhhh,world  mind,leave  dump,absolutely</t>
  </si>
  <si>
    <t>paid,lot  freaking,doctor  live,nigeria  doctor,paid  ur,freaking  nigeria,ur  choose,live  doctor,choose</t>
  </si>
  <si>
    <t>train,doctors  moral,reasons  tyvm,ai  reasons,train  worse,stop  ai,replace  neocolonialism,worse  stop,allowing  allowing,moral  doctors,tyvm</t>
  </si>
  <si>
    <t>qualification,demand  real,knowledge  redo,alot  uk,green  uk,ride  doctor,uk  green,light  knowledge,written  allowed,drive  study,b4</t>
  </si>
  <si>
    <t>public,hospitals  level,healthcare  stop,exodus  based,system  discharging,duties  rewards,accruing  system,rewards  research,emphasise  salary,hcws  fulfilling,hcw</t>
  </si>
  <si>
    <t>housing,lots  job,vacancies  lots,job  canada,affordable  saskatchewan,canada  nigerians,saskatchewan  affordable,housing</t>
  </si>
  <si>
    <t>funny,government  care,interested  medical,professionals  legislations,better  sadly,medical  interested,promoting  better,welfare  promoting,legislations  professionals,professionals  professionals,funny</t>
  </si>
  <si>
    <t>western,standards  good,qualification  qualification,western</t>
  </si>
  <si>
    <t>doctors,canada  guards,janitors  promises,good  foreign,doctors  good,life  fooled,sweet  etc,fooled  drivers,etc  janitors,taxi  canada,work</t>
  </si>
  <si>
    <t>west,well  place,betterment  place,place  moved,place  betterment,west  humans,moved</t>
  </si>
  <si>
    <t>root,evil  money,root</t>
  </si>
  <si>
    <t>neighbouring,country  regard,bangladesh  usd,complete  doctors,private  20,times  10,20  earn,10  medical,colleges  murder,democracy  achievements,diminishing</t>
  </si>
  <si>
    <t>nigera,lol</t>
  </si>
  <si>
    <t>paid,well  living,safe  medical,system  holy,christ  nurse,america  safe,nurses  america,safe  country,living  system,horrendous  horrendous,country</t>
  </si>
  <si>
    <t>european,countries  doctors,engineers  housing,1x1  reals,doctors  engineers,usual  usual,people  degrees,leech  welfare,european  bürgergeld,housing  people,doctors</t>
  </si>
  <si>
    <t>nigerian,communist  hate,russia  russia,nigerian</t>
  </si>
  <si>
    <t>lament,african  human,mineral  mineral,resources  dog,eat  african,youths  west,dog  resources,west  africa,human  resources,lament  west,drains</t>
  </si>
  <si>
    <t>infrastructure,freedom  money,security  leaving,money  security,infrastructure  people,leaving</t>
  </si>
  <si>
    <t>locum,30k  patriots,finishing  kompasion,naijeria  naijeria,skolobe  doctors,hospitals  resign,working  like,patriots  skolobe,like  lagos,kompasion  working,48hours</t>
  </si>
  <si>
    <t>ukraine,practicing  nigerian,medical  useless,government  medical,graduates  government,banned  banned,nigerian  practicing,nigeria  graduates,ukraine</t>
  </si>
  <si>
    <t>bad,care  care,people  west,bad</t>
  </si>
  <si>
    <t>huge,money  paid,doctors  healthcare,people  spending,huge  countries,money  doctors,pay  government,government  developed,countries  moving,developed  fees,government</t>
  </si>
  <si>
    <t>countries,proffessionals  well,african  proffessionals,underpaid  african,assure  africans,countries  assure,africans</t>
  </si>
  <si>
    <t>blame,shout  etc,blame  experience,pay  cares,sleepless  nigerian,doctor  time,eat  eat,etc  sleepless,time  rights,cares  senior,doctors</t>
  </si>
  <si>
    <t>washington,nursing  working,washington  nursing,homes</t>
  </si>
  <si>
    <t>past,present  skills,quick  right,skills  drain,happening  work,germany  specialists,country  thy,effectively  caused,ineptitude  engineer,work  drs,3rd</t>
  </si>
  <si>
    <t>nigeria,perfect  perfect,failed  failed,state</t>
  </si>
  <si>
    <t>tax,nigerians  income,like  worldwide,income  nigerians,worldwide</t>
  </si>
  <si>
    <t>line,destruction  german,news  tinubu,set  scream,racism  pressed,media  potopoto,baf  enjoy,scream  called,nigerians  country,kind  button,called</t>
  </si>
  <si>
    <t>nigerian,hospitals  nigerian,politicians  politicians,nigerian</t>
  </si>
  <si>
    <t>shudn,starting  war,african  african,neighbors  starting,war  tinbu,shudn</t>
  </si>
  <si>
    <t>people,parents  system,doctors  problems,speaking  fixing,fix  healthcare,parents  fix,healthcare  funerals,people  being,degraded  leave,suffer  running,problems</t>
  </si>
  <si>
    <t>system,kills  bussiness,person  patients,legit  kills,like  000,patients  legit,group  nigerian,system  nigeria,bussiness  remain,nigeria  person,stopped</t>
  </si>
  <si>
    <t>systematic,faults  practice,doctors  doctors,fleeing  medical,practice  faults,medical</t>
  </si>
  <si>
    <t>bad,wait  nigeria,starts  starts,aging  system,changed  think,bad  changed,collapse  aging,system  wait,nigeria</t>
  </si>
  <si>
    <t>português,pfavor  pfavor,sempre  traduzir,português  usar,traduzir</t>
  </si>
  <si>
    <t>western,countries  greener,pastures  poor,countries  pastures,western  professional,greener  countries,professional</t>
  </si>
  <si>
    <t>enslaved,colonized  better,future  colonized,mistreated  ironic,africans  fighting,country  mistreated,ancestors  people,enslaved  africans,people  examples,africans  future,ironic</t>
  </si>
  <si>
    <t>work,russia</t>
  </si>
  <si>
    <t>fix,drain  brain,fix</t>
  </si>
  <si>
    <t>staff,nigeria  medical,staff  teach,medical  left,teach  doctors,left  doctors,leaving  leaving,doctors</t>
  </si>
  <si>
    <t>politicians,barely  barely,educated  silly,decisions  educated,silly  decisions,time</t>
  </si>
  <si>
    <t>owed,months  salary,ridiculous  months,salary</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</si>
  <si>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</si>
  <si>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t>
  </si>
  <si>
    <t>/content/video/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</si>
  <si>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</si>
  <si>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</si>
  <si>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</si>
  <si>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</si>
  <si>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</si>
  <si>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</si>
  <si>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</si>
  <si>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</si>
  <si>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</si>
  <si>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</si>
  <si>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</si>
  <si>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</si>
  <si>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</si>
  <si>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</si>
  <si>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</si>
  <si>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</si>
  <si>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</si>
  <si>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</si>
  <si>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</si>
  <si>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</si>
  <si>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</si>
  <si>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</si>
  <si>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</si>
  <si>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</si>
  <si>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</si>
  <si>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</si>
  <si>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</si>
  <si>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</si>
  <si>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</si>
  <si>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</si>
  <si>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</si>
  <si>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</si>
  <si>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</si>
  <si>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</si>
  <si>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</si>
  <si>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</si>
  <si>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doctors</t>
  </si>
  <si>
    <t>people</t>
  </si>
  <si>
    <t>medical</t>
  </si>
  <si>
    <t>africa</t>
  </si>
  <si>
    <t>university</t>
  </si>
  <si>
    <t>cholesterol</t>
  </si>
  <si>
    <t>health</t>
  </si>
  <si>
    <t>work</t>
  </si>
  <si>
    <t>like</t>
  </si>
  <si>
    <t>life</t>
  </si>
  <si>
    <t>country</t>
  </si>
  <si>
    <t>countries</t>
  </si>
  <si>
    <t>care</t>
  </si>
  <si>
    <t>eat</t>
  </si>
  <si>
    <t>doctor</t>
  </si>
  <si>
    <t>best</t>
  </si>
  <si>
    <t>west</t>
  </si>
  <si>
    <t>healthcare</t>
  </si>
  <si>
    <t>school</t>
  </si>
  <si>
    <t>well</t>
  </si>
  <si>
    <t>dr</t>
  </si>
  <si>
    <t>better</t>
  </si>
  <si>
    <t>world</t>
  </si>
  <si>
    <t>list</t>
  </si>
  <si>
    <t>nigeria</t>
  </si>
  <si>
    <t>african</t>
  </si>
  <si>
    <t>system</t>
  </si>
  <si>
    <t>africans</t>
  </si>
  <si>
    <t>universities</t>
  </si>
  <si>
    <t>money</t>
  </si>
  <si>
    <t>government</t>
  </si>
  <si>
    <t>help</t>
  </si>
  <si>
    <t>news</t>
  </si>
  <si>
    <t>medicine</t>
  </si>
  <si>
    <t>right</t>
  </si>
  <si>
    <t>hospitals</t>
  </si>
  <si>
    <t>covid</t>
  </si>
  <si>
    <t>lot</t>
  </si>
  <si>
    <t>stop</t>
  </si>
  <si>
    <t>fiber</t>
  </si>
  <si>
    <t>down</t>
  </si>
  <si>
    <t>anc</t>
  </si>
  <si>
    <t>pay</t>
  </si>
  <si>
    <t>etc</t>
  </si>
  <si>
    <t>lower</t>
  </si>
  <si>
    <t>food</t>
  </si>
  <si>
    <t>being</t>
  </si>
  <si>
    <t>high</t>
  </si>
  <si>
    <t>expectancy</t>
  </si>
  <si>
    <t>brain</t>
  </si>
  <si>
    <t>south</t>
  </si>
  <si>
    <t>healthy</t>
  </si>
  <si>
    <t>keep</t>
  </si>
  <si>
    <t>bad</t>
  </si>
  <si>
    <t>public</t>
  </si>
  <si>
    <t>beans</t>
  </si>
  <si>
    <t>continent</t>
  </si>
  <si>
    <t>state</t>
  </si>
  <si>
    <t>heart</t>
  </si>
  <si>
    <t>time</t>
  </si>
  <si>
    <t>leave</t>
  </si>
  <si>
    <t>10</t>
  </si>
  <si>
    <t>pain</t>
  </si>
  <si>
    <t>hemorrhoids</t>
  </si>
  <si>
    <t>leaving</t>
  </si>
  <si>
    <t>aid</t>
  </si>
  <si>
    <t>schools</t>
  </si>
  <si>
    <t>god</t>
  </si>
  <si>
    <t>live</t>
  </si>
  <si>
    <t>think</t>
  </si>
  <si>
    <t>thing</t>
  </si>
  <si>
    <t>foods</t>
  </si>
  <si>
    <t>senator</t>
  </si>
  <si>
    <t>north</t>
  </si>
  <si>
    <t>problem</t>
  </si>
  <si>
    <t>population</t>
  </si>
  <si>
    <t>ve</t>
  </si>
  <si>
    <t>systems</t>
  </si>
  <si>
    <t>wrong</t>
  </si>
  <si>
    <t>times</t>
  </si>
  <si>
    <t>science</t>
  </si>
  <si>
    <t>home</t>
  </si>
  <si>
    <t>western</t>
  </si>
  <si>
    <t>long</t>
  </si>
  <si>
    <t>job</t>
  </si>
  <si>
    <t>private</t>
  </si>
  <si>
    <t>sanders</t>
  </si>
  <si>
    <t>increase</t>
  </si>
  <si>
    <t>feel</t>
  </si>
  <si>
    <t>excellent</t>
  </si>
  <si>
    <t>hospital</t>
  </si>
  <si>
    <t>ldl</t>
  </si>
  <si>
    <t>real</t>
  </si>
  <si>
    <t>hope</t>
  </si>
  <si>
    <t>insurance</t>
  </si>
  <si>
    <t>surgery</t>
  </si>
  <si>
    <t>hemorrhoid</t>
  </si>
  <si>
    <t>foreign</t>
  </si>
  <si>
    <t>dw</t>
  </si>
  <si>
    <t>practice</t>
  </si>
  <si>
    <t>hazel</t>
  </si>
  <si>
    <t>trying</t>
  </si>
  <si>
    <t>witch</t>
  </si>
  <si>
    <t>nigerian</t>
  </si>
  <si>
    <t>paul</t>
  </si>
  <si>
    <t>service</t>
  </si>
  <si>
    <t>seeds</t>
  </si>
  <si>
    <t>bunch</t>
  </si>
  <si>
    <t>viva</t>
  </si>
  <si>
    <t>talking</t>
  </si>
  <si>
    <t>huge</t>
  </si>
  <si>
    <t>eating</t>
  </si>
  <si>
    <t>trust</t>
  </si>
  <si>
    <t>super</t>
  </si>
  <si>
    <t>politicians</t>
  </si>
  <si>
    <t>emergency</t>
  </si>
  <si>
    <t>advice</t>
  </si>
  <si>
    <t>provide</t>
  </si>
  <si>
    <t>crisis</t>
  </si>
  <si>
    <t>working</t>
  </si>
  <si>
    <t>russia</t>
  </si>
  <si>
    <t>happy</t>
  </si>
  <si>
    <t>nurse</t>
  </si>
  <si>
    <t>sugar</t>
  </si>
  <si>
    <t>plan</t>
  </si>
  <si>
    <t>america</t>
  </si>
  <si>
    <t>shortage</t>
  </si>
  <si>
    <t>medication</t>
  </si>
  <si>
    <t>big</t>
  </si>
  <si>
    <t>fact</t>
  </si>
  <si>
    <t>security</t>
  </si>
  <si>
    <t>speaking</t>
  </si>
  <si>
    <t>canada</t>
  </si>
  <si>
    <t>ukraine</t>
  </si>
  <si>
    <t>patient</t>
  </si>
  <si>
    <t>student</t>
  </si>
  <si>
    <t>human</t>
  </si>
  <si>
    <t>nurses</t>
  </si>
  <si>
    <t>jobs</t>
  </si>
  <si>
    <t>sense</t>
  </si>
  <si>
    <t>ghana</t>
  </si>
  <si>
    <t>entire</t>
  </si>
  <si>
    <t>lol</t>
  </si>
  <si>
    <t>call</t>
  </si>
  <si>
    <t>resources</t>
  </si>
  <si>
    <t>past</t>
  </si>
  <si>
    <t>nuts</t>
  </si>
  <si>
    <t>parents</t>
  </si>
  <si>
    <t>believe</t>
  </si>
  <si>
    <t>europe</t>
  </si>
  <si>
    <t>workers</t>
  </si>
  <si>
    <t>research</t>
  </si>
  <si>
    <t>chocolate</t>
  </si>
  <si>
    <t>ranking</t>
  </si>
  <si>
    <t>heard</t>
  </si>
  <si>
    <t>black</t>
  </si>
  <si>
    <t>study</t>
  </si>
  <si>
    <t>diet</t>
  </si>
  <si>
    <t>uk</t>
  </si>
  <si>
    <t>dark</t>
  </si>
  <si>
    <t>minutes</t>
  </si>
  <si>
    <t>decent</t>
  </si>
  <si>
    <t>speak</t>
  </si>
  <si>
    <t>nwu</t>
  </si>
  <si>
    <t>common</t>
  </si>
  <si>
    <t>patients</t>
  </si>
  <si>
    <t>green</t>
  </si>
  <si>
    <t>practicing</t>
  </si>
  <si>
    <t>left</t>
  </si>
  <si>
    <t>stay</t>
  </si>
  <si>
    <t>body</t>
  </si>
  <si>
    <t>idea</t>
  </si>
  <si>
    <t>change</t>
  </si>
  <si>
    <t>external</t>
  </si>
  <si>
    <t>technology</t>
  </si>
  <si>
    <t>qualified</t>
  </si>
  <si>
    <t>completely</t>
  </si>
  <si>
    <t>including</t>
  </si>
  <si>
    <t>christ</t>
  </si>
  <si>
    <t>medicare</t>
  </si>
  <si>
    <t>students</t>
  </si>
  <si>
    <t>longer</t>
  </si>
  <si>
    <t>cut</t>
  </si>
  <si>
    <t>bless</t>
  </si>
  <si>
    <t>part</t>
  </si>
  <si>
    <t>oils</t>
  </si>
  <si>
    <t>nursing</t>
  </si>
  <si>
    <t>ll</t>
  </si>
  <si>
    <t>data</t>
  </si>
  <si>
    <t>american</t>
  </si>
  <si>
    <t>charge</t>
  </si>
  <si>
    <t>nigerians</t>
  </si>
  <si>
    <t>experience</t>
  </si>
  <si>
    <t>told</t>
  </si>
  <si>
    <t>hard</t>
  </si>
  <si>
    <t>safe</t>
  </si>
  <si>
    <t>clinics</t>
  </si>
  <si>
    <t>called</t>
  </si>
  <si>
    <t>media</t>
  </si>
  <si>
    <t>appreciate</t>
  </si>
  <si>
    <t>reason</t>
  </si>
  <si>
    <t>won</t>
  </si>
  <si>
    <t>fat</t>
  </si>
  <si>
    <t>paid</t>
  </si>
  <si>
    <t>reduce</t>
  </si>
  <si>
    <t>interesting</t>
  </si>
  <si>
    <t>broken</t>
  </si>
  <si>
    <t>business</t>
  </si>
  <si>
    <t>true</t>
  </si>
  <si>
    <t>children</t>
  </si>
  <si>
    <t>choice</t>
  </si>
  <si>
    <t>woman</t>
  </si>
  <si>
    <t>red</t>
  </si>
  <si>
    <t>cassidy</t>
  </si>
  <si>
    <t>size</t>
  </si>
  <si>
    <t>place</t>
  </si>
  <si>
    <t>pharma</t>
  </si>
  <si>
    <t>kidney</t>
  </si>
  <si>
    <t>triglycerides</t>
  </si>
  <si>
    <t>included</t>
  </si>
  <si>
    <t>death</t>
  </si>
  <si>
    <t>heal</t>
  </si>
  <si>
    <t>cover</t>
  </si>
  <si>
    <t>corruption</t>
  </si>
  <si>
    <t>husk</t>
  </si>
  <si>
    <t>congratulations</t>
  </si>
  <si>
    <t>leafy</t>
  </si>
  <si>
    <t>sad</t>
  </si>
  <si>
    <t>poor</t>
  </si>
  <si>
    <t>bangladesh</t>
  </si>
  <si>
    <t>simple</t>
  </si>
  <si>
    <t>issue</t>
  </si>
  <si>
    <t>reasons</t>
  </si>
  <si>
    <t>forgot</t>
  </si>
  <si>
    <t>aware</t>
  </si>
  <si>
    <t>aur</t>
  </si>
  <si>
    <t>living</t>
  </si>
  <si>
    <t>positive</t>
  </si>
  <si>
    <t>democrats</t>
  </si>
  <si>
    <t>psyllium</t>
  </si>
  <si>
    <t>drs</t>
  </si>
  <si>
    <t>crap</t>
  </si>
  <si>
    <t>disease</t>
  </si>
  <si>
    <t>age</t>
  </si>
  <si>
    <t>bit</t>
  </si>
  <si>
    <t>cost</t>
  </si>
  <si>
    <t>hell</t>
  </si>
  <si>
    <t>avocado</t>
  </si>
  <si>
    <t>vegetables</t>
  </si>
  <si>
    <t>naturally</t>
  </si>
  <si>
    <t>igho</t>
  </si>
  <si>
    <t>war</t>
  </si>
  <si>
    <t>discovery</t>
  </si>
  <si>
    <t>stick</t>
  </si>
  <si>
    <t>treatment</t>
  </si>
  <si>
    <t>worst</t>
  </si>
  <si>
    <t>educated</t>
  </si>
  <si>
    <t>oil</t>
  </si>
  <si>
    <t>lose</t>
  </si>
  <si>
    <t>citizen</t>
  </si>
  <si>
    <t>blind</t>
  </si>
  <si>
    <t>show</t>
  </si>
  <si>
    <t>lots</t>
  </si>
  <si>
    <t>border</t>
  </si>
  <si>
    <t>profit</t>
  </si>
  <si>
    <t>germany</t>
  </si>
  <si>
    <t>35</t>
  </si>
  <si>
    <t>15</t>
  </si>
  <si>
    <t>places</t>
  </si>
  <si>
    <t>total</t>
  </si>
  <si>
    <t>hormones</t>
  </si>
  <si>
    <t>question</t>
  </si>
  <si>
    <t>evil</t>
  </si>
  <si>
    <t>blame</t>
  </si>
  <si>
    <t>discussion</t>
  </si>
  <si>
    <t>control</t>
  </si>
  <si>
    <t>associated</t>
  </si>
  <si>
    <t>natal</t>
  </si>
  <si>
    <t>rid</t>
  </si>
  <si>
    <t>ty</t>
  </si>
  <si>
    <t>lead</t>
  </si>
  <si>
    <t>herbal</t>
  </si>
  <si>
    <t>grapes</t>
  </si>
  <si>
    <t>professionals</t>
  </si>
  <si>
    <t>dakar</t>
  </si>
  <si>
    <t>jab</t>
  </si>
  <si>
    <t>successful</t>
  </si>
  <si>
    <t>week</t>
  </si>
  <si>
    <t>die</t>
  </si>
  <si>
    <t>qualification</t>
  </si>
  <si>
    <t>respect</t>
  </si>
  <si>
    <t>matter</t>
  </si>
  <si>
    <t>stolen</t>
  </si>
  <si>
    <t>afford</t>
  </si>
  <si>
    <t>mentioned</t>
  </si>
  <si>
    <t>shows</t>
  </si>
  <si>
    <t>passed</t>
  </si>
  <si>
    <t>finish</t>
  </si>
  <si>
    <t>avoid</t>
  </si>
  <si>
    <t>room</t>
  </si>
  <si>
    <t>staff</t>
  </si>
  <si>
    <t>afraid</t>
  </si>
  <si>
    <t>running</t>
  </si>
  <si>
    <t>putting</t>
  </si>
  <si>
    <t>gonna</t>
  </si>
  <si>
    <t>agree</t>
  </si>
  <si>
    <t>totally</t>
  </si>
  <si>
    <t>issues</t>
  </si>
  <si>
    <t>3rd</t>
  </si>
  <si>
    <t>sen</t>
  </si>
  <si>
    <t>everyday</t>
  </si>
  <si>
    <t>saving</t>
  </si>
  <si>
    <t>gods</t>
  </si>
  <si>
    <t>course</t>
  </si>
  <si>
    <t>suffer</t>
  </si>
  <si>
    <t>title</t>
  </si>
  <si>
    <t>works</t>
  </si>
  <si>
    <t>internal</t>
  </si>
  <si>
    <t>kwame</t>
  </si>
  <si>
    <t>newly</t>
  </si>
  <si>
    <t>fats</t>
  </si>
  <si>
    <t>hospice</t>
  </si>
  <si>
    <t>ass</t>
  </si>
  <si>
    <t>oats</t>
  </si>
  <si>
    <t>amandla</t>
  </si>
  <si>
    <t>followed</t>
  </si>
  <si>
    <t>moving</t>
  </si>
  <si>
    <t>anus</t>
  </si>
  <si>
    <t>economy</t>
  </si>
  <si>
    <t>balance</t>
  </si>
  <si>
    <t>environment</t>
  </si>
  <si>
    <t>exercise</t>
  </si>
  <si>
    <t>smile</t>
  </si>
  <si>
    <t>jesus</t>
  </si>
  <si>
    <t>focus</t>
  </si>
  <si>
    <t>meds</t>
  </si>
  <si>
    <t>degree</t>
  </si>
  <si>
    <t>professional</t>
  </si>
  <si>
    <t>easy</t>
  </si>
  <si>
    <t>cured</t>
  </si>
  <si>
    <t>kind</t>
  </si>
  <si>
    <t>facts</t>
  </si>
  <si>
    <t>coming</t>
  </si>
  <si>
    <t>hdl</t>
  </si>
  <si>
    <t>drugs</t>
  </si>
  <si>
    <t>managing</t>
  </si>
  <si>
    <t>underpaid</t>
  </si>
  <si>
    <t>located</t>
  </si>
  <si>
    <t>continue</t>
  </si>
  <si>
    <t>father</t>
  </si>
  <si>
    <t>bring</t>
  </si>
  <si>
    <t>changed</t>
  </si>
  <si>
    <t>drink</t>
  </si>
  <si>
    <t>moved</t>
  </si>
  <si>
    <t>governments</t>
  </si>
  <si>
    <t>normal</t>
  </si>
  <si>
    <t>engineers</t>
  </si>
  <si>
    <t>statins</t>
  </si>
  <si>
    <t>bath</t>
  </si>
  <si>
    <t>makerere</t>
  </si>
  <si>
    <t>bohat</t>
  </si>
  <si>
    <t>rights</t>
  </si>
  <si>
    <t>content</t>
  </si>
  <si>
    <t>housing</t>
  </si>
  <si>
    <t>man</t>
  </si>
  <si>
    <t>access</t>
  </si>
  <si>
    <t>nkrumah</t>
  </si>
  <si>
    <t>kale</t>
  </si>
  <si>
    <t>kill</t>
  </si>
  <si>
    <t>30</t>
  </si>
  <si>
    <t>pushing</t>
  </si>
  <si>
    <t>ceo</t>
  </si>
  <si>
    <t>toxic</t>
  </si>
  <si>
    <t>child</t>
  </si>
  <si>
    <t>medications</t>
  </si>
  <si>
    <t>inflation</t>
  </si>
  <si>
    <t>skin</t>
  </si>
  <si>
    <t>vegetable</t>
  </si>
  <si>
    <t>birth</t>
  </si>
  <si>
    <t>thinking</t>
  </si>
  <si>
    <t>pandemic</t>
  </si>
  <si>
    <t>sector</t>
  </si>
  <si>
    <t>english</t>
  </si>
  <si>
    <t>nairobi</t>
  </si>
  <si>
    <t>processed</t>
  </si>
  <si>
    <t>improve</t>
  </si>
  <si>
    <t>56</t>
  </si>
  <si>
    <t>seed</t>
  </si>
  <si>
    <t>law</t>
  </si>
  <si>
    <t>group</t>
  </si>
  <si>
    <t>sounds</t>
  </si>
  <si>
    <t>force</t>
  </si>
  <si>
    <t>check</t>
  </si>
  <si>
    <t>informative</t>
  </si>
  <si>
    <t>nhi</t>
  </si>
  <si>
    <t>peanut</t>
  </si>
  <si>
    <t>carbs</t>
  </si>
  <si>
    <t>innovative</t>
  </si>
  <si>
    <t>ate</t>
  </si>
  <si>
    <t>word</t>
  </si>
  <si>
    <t>cheap</t>
  </si>
  <si>
    <t>fibre</t>
  </si>
  <si>
    <t>level</t>
  </si>
  <si>
    <t>threats</t>
  </si>
  <si>
    <t>states</t>
  </si>
  <si>
    <t>chia</t>
  </si>
  <si>
    <t>19</t>
  </si>
  <si>
    <t>blood</t>
  </si>
  <si>
    <t>drive</t>
  </si>
  <si>
    <t>problems</t>
  </si>
  <si>
    <t>open</t>
  </si>
  <si>
    <t>wits</t>
  </si>
  <si>
    <t>training</t>
  </si>
  <si>
    <t>rand</t>
  </si>
  <si>
    <t>link</t>
  </si>
  <si>
    <t>absolutely</t>
  </si>
  <si>
    <t>mention</t>
  </si>
  <si>
    <t>kwazulu</t>
  </si>
  <si>
    <t>scheme</t>
  </si>
  <si>
    <t>barley</t>
  </si>
  <si>
    <t>pretty</t>
  </si>
  <si>
    <t>worth</t>
  </si>
  <si>
    <t>mitt</t>
  </si>
  <si>
    <t>built</t>
  </si>
  <si>
    <t>glad</t>
  </si>
  <si>
    <t>anytime</t>
  </si>
  <si>
    <t>person</t>
  </si>
  <si>
    <t>ill</t>
  </si>
  <si>
    <t>clean</t>
  </si>
  <si>
    <t>sitting</t>
  </si>
  <si>
    <t>tardy</t>
  </si>
  <si>
    <t>remove</t>
  </si>
  <si>
    <t>herbs</t>
  </si>
  <si>
    <t>aging</t>
  </si>
  <si>
    <t>faculty</t>
  </si>
  <si>
    <t>raised</t>
  </si>
  <si>
    <t>white</t>
  </si>
  <si>
    <t>podcast</t>
  </si>
  <si>
    <t>ability</t>
  </si>
  <si>
    <t>lowered</t>
  </si>
  <si>
    <t>earth</t>
  </si>
  <si>
    <t>ugly</t>
  </si>
  <si>
    <t>light</t>
  </si>
  <si>
    <t>pathetic</t>
  </si>
  <si>
    <t>following</t>
  </si>
  <si>
    <t>bogus</t>
  </si>
  <si>
    <t>development</t>
  </si>
  <si>
    <t>25</t>
  </si>
  <si>
    <t>skills</t>
  </si>
  <si>
    <t>talents</t>
  </si>
  <si>
    <t>idiots</t>
  </si>
  <si>
    <t>terrible</t>
  </si>
  <si>
    <t>cure</t>
  </si>
  <si>
    <t>pure</t>
  </si>
  <si>
    <t>ai</t>
  </si>
  <si>
    <t>anta</t>
  </si>
  <si>
    <t>guards</t>
  </si>
  <si>
    <t>start</t>
  </si>
  <si>
    <t>toilet</t>
  </si>
  <si>
    <t>cheaper</t>
  </si>
  <si>
    <t>requirements</t>
  </si>
  <si>
    <t>lack</t>
  </si>
  <si>
    <t>mass</t>
  </si>
  <si>
    <t>questions</t>
  </si>
  <si>
    <t>hass</t>
  </si>
  <si>
    <t>pass</t>
  </si>
  <si>
    <t>remember</t>
  </si>
  <si>
    <t>profits</t>
  </si>
  <si>
    <t>european</t>
  </si>
  <si>
    <t>insurrection</t>
  </si>
  <si>
    <t>perspective</t>
  </si>
  <si>
    <t>confusion</t>
  </si>
  <si>
    <t>funds</t>
  </si>
  <si>
    <t>chickpeas</t>
  </si>
  <si>
    <t>minority</t>
  </si>
  <si>
    <t>blue</t>
  </si>
  <si>
    <t>doc</t>
  </si>
  <si>
    <t>gotta</t>
  </si>
  <si>
    <t>darkness</t>
  </si>
  <si>
    <t>france</t>
  </si>
  <si>
    <t>french</t>
  </si>
  <si>
    <t>modern</t>
  </si>
  <si>
    <t>debt</t>
  </si>
  <si>
    <t>elderly</t>
  </si>
  <si>
    <t>kitchen</t>
  </si>
  <si>
    <t>deaths</t>
  </si>
  <si>
    <t>putin</t>
  </si>
  <si>
    <t>head</t>
  </si>
  <si>
    <t>joke</t>
  </si>
  <si>
    <t>quality</t>
  </si>
  <si>
    <t>nato</t>
  </si>
  <si>
    <t>expected</t>
  </si>
  <si>
    <t>hospitalized</t>
  </si>
  <si>
    <t>18</t>
  </si>
  <si>
    <t>struggling</t>
  </si>
  <si>
    <t>truth</t>
  </si>
  <si>
    <t>trained</t>
  </si>
  <si>
    <t>lowest</t>
  </si>
  <si>
    <t>myth</t>
  </si>
  <si>
    <t>degrees</t>
  </si>
  <si>
    <t>pressed</t>
  </si>
  <si>
    <t>amazing</t>
  </si>
  <si>
    <t>damage</t>
  </si>
  <si>
    <t>helped</t>
  </si>
  <si>
    <t>house</t>
  </si>
  <si>
    <t>jump</t>
  </si>
  <si>
    <t>larger</t>
  </si>
  <si>
    <t>charm</t>
  </si>
  <si>
    <t>closed</t>
  </si>
  <si>
    <t>worldwide</t>
  </si>
  <si>
    <t>animal</t>
  </si>
  <si>
    <t>ronald</t>
  </si>
  <si>
    <t>response</t>
  </si>
  <si>
    <t>decrease</t>
  </si>
  <si>
    <t>senior</t>
  </si>
  <si>
    <t>large</t>
  </si>
  <si>
    <t>conditions</t>
  </si>
  <si>
    <t>reporting</t>
  </si>
  <si>
    <t>salmon</t>
  </si>
  <si>
    <t>demand</t>
  </si>
  <si>
    <t>bleeding</t>
  </si>
  <si>
    <t>teaspoon</t>
  </si>
  <si>
    <t>racism</t>
  </si>
  <si>
    <t>voting</t>
  </si>
  <si>
    <t>refused</t>
  </si>
  <si>
    <t>department</t>
  </si>
  <si>
    <t>removed</t>
  </si>
  <si>
    <t>telephone</t>
  </si>
  <si>
    <t>unisa</t>
  </si>
  <si>
    <t>results</t>
  </si>
  <si>
    <t>blooding</t>
  </si>
  <si>
    <t>amount</t>
  </si>
  <si>
    <t>support</t>
  </si>
  <si>
    <t>surprised</t>
  </si>
  <si>
    <t>butt</t>
  </si>
  <si>
    <t>lives</t>
  </si>
  <si>
    <t>lion</t>
  </si>
  <si>
    <t>risk</t>
  </si>
  <si>
    <t>stupid</t>
  </si>
  <si>
    <t>average</t>
  </si>
  <si>
    <t>ur</t>
  </si>
  <si>
    <t>verbally</t>
  </si>
  <si>
    <t>drain</t>
  </si>
  <si>
    <t>tax</t>
  </si>
  <si>
    <t>sadly</t>
  </si>
  <si>
    <t>majority</t>
  </si>
  <si>
    <t>companies</t>
  </si>
  <si>
    <t>diagnosis</t>
  </si>
  <si>
    <t>false</t>
  </si>
  <si>
    <t>eggs</t>
  </si>
  <si>
    <t>cruel</t>
  </si>
  <si>
    <t>entity</t>
  </si>
  <si>
    <t>employ</t>
  </si>
  <si>
    <t>bum</t>
  </si>
  <si>
    <t>diop</t>
  </si>
  <si>
    <t>migration</t>
  </si>
  <si>
    <t>eu</t>
  </si>
  <si>
    <t>lips</t>
  </si>
  <si>
    <t>finally</t>
  </si>
  <si>
    <t>dysfunctional</t>
  </si>
  <si>
    <t>address</t>
  </si>
  <si>
    <t>facing</t>
  </si>
  <si>
    <t>alive</t>
  </si>
  <si>
    <t>men</t>
  </si>
  <si>
    <t>try</t>
  </si>
  <si>
    <t>basic</t>
  </si>
  <si>
    <t>boundary</t>
  </si>
  <si>
    <t>corporate</t>
  </si>
  <si>
    <t>rich</t>
  </si>
  <si>
    <t>cereal</t>
  </si>
  <si>
    <t>statement</t>
  </si>
  <si>
    <t>relief</t>
  </si>
  <si>
    <t>welfare</t>
  </si>
  <si>
    <t>voted</t>
  </si>
  <si>
    <t>14</t>
  </si>
  <si>
    <t>engineer</t>
  </si>
  <si>
    <t>sharing</t>
  </si>
  <si>
    <t>biggest</t>
  </si>
  <si>
    <t>b4</t>
  </si>
  <si>
    <t>remain</t>
  </si>
  <si>
    <t>wow</t>
  </si>
  <si>
    <t>strict</t>
  </si>
  <si>
    <t>family</t>
  </si>
  <si>
    <t>grades</t>
  </si>
  <si>
    <t>residency</t>
  </si>
  <si>
    <t>caused</t>
  </si>
  <si>
    <t>suffering</t>
  </si>
  <si>
    <t>finishing</t>
  </si>
  <si>
    <t>quote</t>
  </si>
  <si>
    <t>yep</t>
  </si>
  <si>
    <t>source</t>
  </si>
  <si>
    <t>situation</t>
  </si>
  <si>
    <t>stable</t>
  </si>
  <si>
    <t>eyes</t>
  </si>
  <si>
    <t>leads</t>
  </si>
  <si>
    <t>compete</t>
  </si>
  <si>
    <t>brought</t>
  </si>
  <si>
    <t>greatest</t>
  </si>
  <si>
    <t>guidelines</t>
  </si>
  <si>
    <t>eromon</t>
  </si>
  <si>
    <t>itching</t>
  </si>
  <si>
    <t>asia</t>
  </si>
  <si>
    <t>mines</t>
  </si>
  <si>
    <t>congress</t>
  </si>
  <si>
    <t>excess</t>
  </si>
  <si>
    <t>dnc</t>
  </si>
  <si>
    <t>late</t>
  </si>
  <si>
    <t>quick</t>
  </si>
  <si>
    <t>hate</t>
  </si>
  <si>
    <t>rate</t>
  </si>
  <si>
    <t>stressful</t>
  </si>
  <si>
    <t>drug</t>
  </si>
  <si>
    <t>affordable</t>
  </si>
  <si>
    <t>reagan</t>
  </si>
  <si>
    <t>mind</t>
  </si>
  <si>
    <t>universal</t>
  </si>
  <si>
    <t>activities</t>
  </si>
  <si>
    <t>class</t>
  </si>
  <si>
    <t>highly</t>
  </si>
  <si>
    <t>rates</t>
  </si>
  <si>
    <t>native</t>
  </si>
  <si>
    <t>unemployed</t>
  </si>
  <si>
    <t>things</t>
  </si>
  <si>
    <t>heavy</t>
  </si>
  <si>
    <t>memories</t>
  </si>
  <si>
    <t>iron</t>
  </si>
  <si>
    <t>wash</t>
  </si>
  <si>
    <t>licenses</t>
  </si>
  <si>
    <t>zero</t>
  </si>
  <si>
    <t>safety</t>
  </si>
  <si>
    <t>butter</t>
  </si>
  <si>
    <t>feels</t>
  </si>
  <si>
    <t>deep</t>
  </si>
  <si>
    <t>spot</t>
  </si>
  <si>
    <t>promoting</t>
  </si>
  <si>
    <t>providing</t>
  </si>
  <si>
    <t>paying</t>
  </si>
  <si>
    <t>buds</t>
  </si>
  <si>
    <t>fake</t>
  </si>
  <si>
    <t>manage</t>
  </si>
  <si>
    <t>hurts</t>
  </si>
  <si>
    <t>immune</t>
  </si>
  <si>
    <t>worker</t>
  </si>
  <si>
    <t>lentils</t>
  </si>
  <si>
    <t>msa</t>
  </si>
  <si>
    <t>morning</t>
  </si>
  <si>
    <t>usa</t>
  </si>
  <si>
    <t>milk</t>
  </si>
  <si>
    <t>german</t>
  </si>
  <si>
    <t>particle</t>
  </si>
  <si>
    <t>runs</t>
  </si>
  <si>
    <t>veggies</t>
  </si>
  <si>
    <t>killing</t>
  </si>
  <si>
    <t>fine</t>
  </si>
  <si>
    <t>line</t>
  </si>
  <si>
    <t>wine</t>
  </si>
  <si>
    <t>caption</t>
  </si>
  <si>
    <t>benefits</t>
  </si>
  <si>
    <t>cheikh</t>
  </si>
  <si>
    <t>pussy</t>
  </si>
  <si>
    <t>fresh</t>
  </si>
  <si>
    <t>helping</t>
  </si>
  <si>
    <t>examples</t>
  </si>
  <si>
    <t>income</t>
  </si>
  <si>
    <t>siblings</t>
  </si>
  <si>
    <t>md</t>
  </si>
  <si>
    <t>dude</t>
  </si>
  <si>
    <t>months</t>
  </si>
  <si>
    <t>include</t>
  </si>
  <si>
    <t>culture</t>
  </si>
  <si>
    <t>difficult</t>
  </si>
  <si>
    <t>college</t>
  </si>
  <si>
    <t>analysis</t>
  </si>
  <si>
    <t>studies</t>
  </si>
  <si>
    <t>herpes</t>
  </si>
  <si>
    <t>sick</t>
  </si>
  <si>
    <t>attacks</t>
  </si>
  <si>
    <t>bowel</t>
  </si>
  <si>
    <t>bill</t>
  </si>
  <si>
    <t>hill</t>
  </si>
  <si>
    <t>act</t>
  </si>
  <si>
    <t>pill</t>
  </si>
  <si>
    <t>lying</t>
  </si>
  <si>
    <t>started</t>
  </si>
  <si>
    <t>survive</t>
  </si>
  <si>
    <t>services</t>
  </si>
  <si>
    <t>profitable</t>
  </si>
  <si>
    <t>vaccine</t>
  </si>
  <si>
    <t>republicans</t>
  </si>
  <si>
    <t>greed</t>
  </si>
  <si>
    <t>dramatic</t>
  </si>
  <si>
    <t>40</t>
  </si>
  <si>
    <t>80</t>
  </si>
  <si>
    <t>specialists</t>
  </si>
  <si>
    <t>useless</t>
  </si>
  <si>
    <t>florida</t>
  </si>
  <si>
    <t>rubber</t>
  </si>
  <si>
    <t>refuse</t>
  </si>
  <si>
    <t>press</t>
  </si>
  <si>
    <t>berries</t>
  </si>
  <si>
    <t>criteria</t>
  </si>
  <si>
    <t>send</t>
  </si>
  <si>
    <t>effective</t>
  </si>
  <si>
    <t>1st</t>
  </si>
  <si>
    <t>starts</t>
  </si>
  <si>
    <t>racists</t>
  </si>
  <si>
    <t>industry</t>
  </si>
  <si>
    <t>remedies</t>
  </si>
  <si>
    <t>waiting</t>
  </si>
  <si>
    <t>power</t>
  </si>
  <si>
    <t>brand</t>
  </si>
  <si>
    <t>transformed</t>
  </si>
  <si>
    <t>travel</t>
  </si>
  <si>
    <t>failed</t>
  </si>
  <si>
    <t>120</t>
  </si>
  <si>
    <t>ramification</t>
  </si>
  <si>
    <t>action</t>
  </si>
  <si>
    <t>infrastructure</t>
  </si>
  <si>
    <t>jayda</t>
  </si>
  <si>
    <t>rankings</t>
  </si>
  <si>
    <t>solutions</t>
  </si>
  <si>
    <t>adding</t>
  </si>
  <si>
    <t>dog</t>
  </si>
  <si>
    <t>religion</t>
  </si>
  <si>
    <t>laugh</t>
  </si>
  <si>
    <t>fighting</t>
  </si>
  <si>
    <t>karan</t>
  </si>
  <si>
    <t>hemmeroid</t>
  </si>
  <si>
    <t>specialist</t>
  </si>
  <si>
    <t>36</t>
  </si>
  <si>
    <t>corrupt</t>
  </si>
  <si>
    <t>protein</t>
  </si>
  <si>
    <t>month</t>
  </si>
  <si>
    <t>raw</t>
  </si>
  <si>
    <t>reducing</t>
  </si>
  <si>
    <t>loose</t>
  </si>
  <si>
    <t>natural</t>
  </si>
  <si>
    <t>wearing</t>
  </si>
  <si>
    <t>destruction</t>
  </si>
  <si>
    <t>global</t>
  </si>
  <si>
    <t>root</t>
  </si>
  <si>
    <t>homeland</t>
  </si>
  <si>
    <t>exodus</t>
  </si>
  <si>
    <t>amen</t>
  </si>
  <si>
    <t>committee</t>
  </si>
  <si>
    <t>wsu</t>
  </si>
  <si>
    <t>fit</t>
  </si>
  <si>
    <t>garbage</t>
  </si>
  <si>
    <t>hit</t>
  </si>
  <si>
    <t>vaccines</t>
  </si>
  <si>
    <t>earned</t>
  </si>
  <si>
    <t>prevent</t>
  </si>
  <si>
    <t>almonds</t>
  </si>
  <si>
    <t>innovations</t>
  </si>
  <si>
    <t>abuse</t>
  </si>
  <si>
    <t>colleges</t>
  </si>
  <si>
    <t>lifespan</t>
  </si>
  <si>
    <t>obvious</t>
  </si>
  <si>
    <t>developing</t>
  </si>
  <si>
    <t>salary</t>
  </si>
  <si>
    <t>easily</t>
  </si>
  <si>
    <t>future</t>
  </si>
  <si>
    <t>fix</t>
  </si>
  <si>
    <t>economic</t>
  </si>
  <si>
    <t>funny</t>
  </si>
  <si>
    <t>worry</t>
  </si>
  <si>
    <t>vldl</t>
  </si>
  <si>
    <t>technician</t>
  </si>
  <si>
    <t>decades</t>
  </si>
  <si>
    <t>awesome</t>
  </si>
  <si>
    <t>challenges</t>
  </si>
  <si>
    <t>cheese</t>
  </si>
  <si>
    <t>answer</t>
  </si>
  <si>
    <t>49</t>
  </si>
  <si>
    <t>brazil</t>
  </si>
  <si>
    <t>correct</t>
  </si>
  <si>
    <t>short</t>
  </si>
  <si>
    <t>important</t>
  </si>
  <si>
    <t>straight</t>
  </si>
  <si>
    <t>appointment</t>
  </si>
  <si>
    <t>president</t>
  </si>
  <si>
    <t>fucked</t>
  </si>
  <si>
    <t>missing</t>
  </si>
  <si>
    <t>fried</t>
  </si>
  <si>
    <t>fear</t>
  </si>
  <si>
    <t>wear</t>
  </si>
  <si>
    <t>bull</t>
  </si>
  <si>
    <t>voice</t>
  </si>
  <si>
    <t>telling</t>
  </si>
  <si>
    <t>raise</t>
  </si>
  <si>
    <t>core</t>
  </si>
  <si>
    <t>test</t>
  </si>
  <si>
    <t>keto</t>
  </si>
  <si>
    <t>poverty</t>
  </si>
  <si>
    <t>grow</t>
  </si>
  <si>
    <t>otcciyhjxvu</t>
  </si>
  <si>
    <t>social</t>
  </si>
  <si>
    <t>management</t>
  </si>
  <si>
    <t>concern</t>
  </si>
  <si>
    <t>constipation</t>
  </si>
  <si>
    <t>stealing</t>
  </si>
  <si>
    <t>hand</t>
  </si>
  <si>
    <t>facility</t>
  </si>
  <si>
    <t>constantly</t>
  </si>
  <si>
    <t>hydraulic</t>
  </si>
  <si>
    <t>enemies</t>
  </si>
  <si>
    <t>worked</t>
  </si>
  <si>
    <t>2024</t>
  </si>
  <si>
    <t>bs</t>
  </si>
  <si>
    <t>current</t>
  </si>
  <si>
    <t>dollars</t>
  </si>
  <si>
    <t>shot</t>
  </si>
  <si>
    <t>pressure</t>
  </si>
  <si>
    <t>lecture</t>
  </si>
  <si>
    <t>create</t>
  </si>
  <si>
    <t>bet</t>
  </si>
  <si>
    <t>met</t>
  </si>
  <si>
    <t>set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</si>
  <si>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</si>
  <si>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</si>
  <si>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</si>
  <si>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</si>
  <si>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</si>
  <si>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</si>
  <si>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</si>
  <si>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</si>
  <si>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</si>
  <si>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</si>
  <si>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</si>
  <si>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</si>
  <si>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</si>
  <si>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</si>
  <si>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</si>
  <si>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</si>
  <si>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</si>
  <si>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</si>
  <si>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</si>
  <si>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</si>
  <si>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</si>
  <si>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</si>
  <si>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</si>
  <si>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</si>
  <si>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</si>
  <si>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</si>
  <si>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</si>
  <si>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</si>
  <si>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</si>
  <si>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</si>
  <si>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</si>
  <si>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</si>
  <si>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</si>
  <si>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</si>
  <si>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</si>
  <si>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</si>
  <si>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</si>
  <si>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</si>
  <si>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</si>
  <si>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</si>
  <si>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The graph was imported from the GraphML file "C:\Users\g-manu2208.RMITVNNET\Downloads\africa provider 2.graphml".</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</si>
  <si>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</si>
  <si>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</si>
  <si>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</si>
  <si>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</si>
  <si>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</si>
  <si>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</si>
  <si>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</si>
  <si>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</si>
  <si>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</si>
  <si>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</si>
  <si>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https://youtu.be/oTccIyHjxVU</t>
  </si>
  <si>
    <t>https://www.youtube.com/watch?v=QNvu01OGv-Y&amp;amp;t=6m11s</t>
  </si>
  <si>
    <t>http://my.call/</t>
  </si>
  <si>
    <t>http://is.my/</t>
  </si>
  <si>
    <t>http://them.in/</t>
  </si>
  <si>
    <t>https://www.youtube.com/watch?v=Q-YZD2u1mO8&amp;amp;t=49m00s</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</si>
  <si>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</si>
  <si>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</si>
  <si>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</si>
  <si>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</si>
  <si>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</si>
  <si>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</si>
  <si>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</si>
  <si>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</si>
  <si>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</si>
  <si>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</si>
  <si>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</si>
  <si>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</si>
  <si>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</si>
  <si>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</si>
  <si>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</si>
  <si>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</si>
  <si>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</si>
  <si>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</si>
  <si>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</si>
  <si>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</si>
  <si>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</si>
  <si>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</si>
  <si>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</si>
  <si>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my.call</t>
  </si>
  <si>
    <t>is.my</t>
  </si>
  <si>
    <t>them.in</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</si>
  <si>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</si>
  <si>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</si>
  <si>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</si>
  <si>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</si>
  <si>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</si>
  <si>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</si>
  <si>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</si>
  <si>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</si>
  <si>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</si>
  <si>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</si>
  <si>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</si>
  <si>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</si>
  <si>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</si>
  <si>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</si>
  <si>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</si>
  <si>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</si>
  <si>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</si>
  <si>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</si>
  <si>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</si>
  <si>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</si>
  <si>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</si>
  <si>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</si>
  <si>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</si>
  <si>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</si>
  <si>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</si>
  <si>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</si>
  <si>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</si>
  <si>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</si>
  <si>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</si>
  <si>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</si>
  <si>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</si>
  <si>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</si>
  <si>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</si>
  <si>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</si>
  <si>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</si>
  <si>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cholesterol good eat like fiber doctors beans lower hemorrhoids dr</t>
  </si>
  <si>
    <t>africa countries people doctors life good country africans nigeria news</t>
  </si>
  <si>
    <t>people work bernie health covid healthcare senator sanders care medical</t>
  </si>
  <si>
    <t>university medical africa list universities best school west ukzn north</t>
  </si>
  <si>
    <t>anc health doctors care state viva world private work amandla</t>
  </si>
  <si>
    <t/>
  </si>
  <si>
    <t>aid medical plan cover discovery health call scheme jab 35</t>
  </si>
  <si>
    <t>herpes lips penis lol</t>
  </si>
  <si>
    <t>dr lecture</t>
  </si>
  <si>
    <t>Top Word Pairs in Comment in Entire Graph</t>
  </si>
  <si>
    <t>medical,school</t>
  </si>
  <si>
    <t>life,expectancy</t>
  </si>
  <si>
    <t>health,care</t>
  </si>
  <si>
    <t>west,university</t>
  </si>
  <si>
    <t>north,west</t>
  </si>
  <si>
    <t>medical,schools</t>
  </si>
  <si>
    <t>best,medical</t>
  </si>
  <si>
    <t>witch,hazel</t>
  </si>
  <si>
    <t>south,africa</t>
  </si>
  <si>
    <t>Top Word Pairs in Comment in G1</t>
  </si>
  <si>
    <t>dark,chocolate</t>
  </si>
  <si>
    <t>dr,igho</t>
  </si>
  <si>
    <t>god,bless</t>
  </si>
  <si>
    <t>green,leafy</t>
  </si>
  <si>
    <t>reduce,cholesterol</t>
  </si>
  <si>
    <t>psyllium,husk</t>
  </si>
  <si>
    <t>chia,seeds</t>
  </si>
  <si>
    <t>igho,transformed</t>
  </si>
  <si>
    <t>Top Word Pairs in Comment in G2</t>
  </si>
  <si>
    <t>good,news</t>
  </si>
  <si>
    <t>lifespan,passed</t>
  </si>
  <si>
    <t>public,hospitals</t>
  </si>
  <si>
    <t>population,grow</t>
  </si>
  <si>
    <t>practicing,nigeria</t>
  </si>
  <si>
    <t>foreign,doctors</t>
  </si>
  <si>
    <t>security,guards</t>
  </si>
  <si>
    <t>developing,countries</t>
  </si>
  <si>
    <t>jesus,christ</t>
  </si>
  <si>
    <t>Top Word Pairs in Comment in G3</t>
  </si>
  <si>
    <t>healthcare,workers</t>
  </si>
  <si>
    <t>covid,19</t>
  </si>
  <si>
    <t>bernie,sanders</t>
  </si>
  <si>
    <t>closed,caption</t>
  </si>
  <si>
    <t>red,states</t>
  </si>
  <si>
    <t>earned,right</t>
  </si>
  <si>
    <t>ronald,reagan</t>
  </si>
  <si>
    <t>good,idea</t>
  </si>
  <si>
    <t>rand,paul</t>
  </si>
  <si>
    <t>Top Word Pairs in Comment in G4</t>
  </si>
  <si>
    <t>university,medical</t>
  </si>
  <si>
    <t>medical,universities</t>
  </si>
  <si>
    <t>medical,university</t>
  </si>
  <si>
    <t>Top Word Pairs in Comment in G5</t>
  </si>
  <si>
    <t>anc,viva</t>
  </si>
  <si>
    <t>viva,anc</t>
  </si>
  <si>
    <t>darkness,viva</t>
  </si>
  <si>
    <t>qualified,doctors</t>
  </si>
  <si>
    <t>clinics,hospitals</t>
  </si>
  <si>
    <t>power,qualified</t>
  </si>
  <si>
    <t>state,clinics</t>
  </si>
  <si>
    <t>care,service</t>
  </si>
  <si>
    <t>Top Word Pairs in Comment in G6</t>
  </si>
  <si>
    <t>Top Word Pairs in Comment in G7</t>
  </si>
  <si>
    <t>medical,aid</t>
  </si>
  <si>
    <t>aid,scheme</t>
  </si>
  <si>
    <t>Top Word Pairs in Comment in G8</t>
  </si>
  <si>
    <t>Top Word Pairs in Comment in G9</t>
  </si>
  <si>
    <t>Top Word Pairs in Comment in G10</t>
  </si>
  <si>
    <t>lecture,dr</t>
  </si>
  <si>
    <t>Top Word Pairs in Comment</t>
  </si>
  <si>
    <t>lower,cholesterol  witch,hazel  dark,chocolate  dr,igho  god,bless  green,leafy  reduce,cholesterol  psyllium,husk  chia,seeds  igho,transformed</t>
  </si>
  <si>
    <t>life,expectancy  good,news  lifespan,passed  public,hospitals  population,grow  practicing,nigeria  foreign,doctors  security,guards  developing,countries  jesus,christ</t>
  </si>
  <si>
    <t>healthcare,workers  health,care  covid,19  bernie,sanders  closed,caption  red,states  earned,right  ronald,reagan  good,idea  rand,paul</t>
  </si>
  <si>
    <t>medical,school  west,university  north,west  medical,schools  best,medical  university,medical  south,africa  medical,universities  lies,lies  medical,university</t>
  </si>
  <si>
    <t>health,care  anc,viva  viva,anc  darkness,viva  qualified,doctors  clinics,hospitals  power,qualified  state,clinics  south,africa  care,service</t>
  </si>
  <si>
    <t>medical,aid  aid,scheme</t>
  </si>
  <si>
    <t>great work</t>
  </si>
  <si>
    <t>backed psychiatry problems reasons aware senator psychiatric grassley unknow time</t>
  </si>
  <si>
    <t>bernie ty beloved</t>
  </si>
  <si>
    <t>bernie sanders</t>
  </si>
  <si>
    <t>fucked 300k play people impact rigged inflation millennials called game</t>
  </si>
  <si>
    <t>right people earned practice insurance ceo told poorest runs job</t>
  </si>
  <si>
    <t>work drive shit pay dude education tonic yea jobs creating</t>
  </si>
  <si>
    <t>data analysis diagnosis source note real ai anonymized therapies patients</t>
  </si>
  <si>
    <t>covid people ships doctors plaque private travel government order appointment</t>
  </si>
  <si>
    <t>profits healthcare pharma check care fraud health</t>
  </si>
  <si>
    <t>usa medicare right 4all world 3rd</t>
  </si>
  <si>
    <t>places people doctors hospitals medical teaching schools</t>
  </si>
  <si>
    <t>aunt ann love</t>
  </si>
  <si>
    <t>arkansas doctor testimony solutions excellent offered</t>
  </si>
  <si>
    <t>cowards liberals questions basic answer</t>
  </si>
  <si>
    <t>rape seals</t>
  </si>
  <si>
    <t>nirthwest offer ukzn wits dis yr mbchb student medicine 6th</t>
  </si>
  <si>
    <t>snappy great waffling</t>
  </si>
  <si>
    <t>altother fiber trucks hell food bowel oils busses leave slide</t>
  </si>
  <si>
    <t>list canada months surgery 18 waiting shortage orthopedic specialists</t>
  </si>
  <si>
    <t>culture surprising dysfunctional life country</t>
  </si>
  <si>
    <t>leave mass qnvu01ogv immigration europe huge reasons safe 11 profitable</t>
  </si>
  <si>
    <t>security engineer doctors remember stations close police degree qualified business</t>
  </si>
  <si>
    <t>doctors scale large charge public stay force qualify government graduation</t>
  </si>
  <si>
    <t>residency etc canada stuck paints stated doctors works guarantee foreign</t>
  </si>
  <si>
    <t>great,work</t>
  </si>
  <si>
    <t>aware,psychiatry  grassley,aware  senator,grassley  unknow,reasons  psychiatry,psychiatric  time,senator  backed,problems  psychiatric,drugs  reasons,backed  drugs,unknow</t>
  </si>
  <si>
    <t>bernie,beloved  ty,bernie</t>
  </si>
  <si>
    <t>rigged,inflation  game,rigged  generation,people  work,house  fucked,generation  called,millennials  impact,play  millennials,gen  fucked,impact  rents,work</t>
  </si>
  <si>
    <t>insurance,companies  dip,shit  charted,hospital  creating,problem  statement,tonic  jobs,pay  hospital,paid  underserved,drive  dude,work  itching,pay</t>
  </si>
  <si>
    <t>ai,aid  patients,data  crowdsource,analysis  anonymized,health  cures,therapies  analysis,anonymized  data,unadulterated  closer,real  independent,open  aid,analysis</t>
  </si>
  <si>
    <t>ethnicity,religion  covid,plaque  mercy,ships  emergency,filled  order,government  clinics,good  doctor,appointment  shortage,private  ships,doctors  coming,country</t>
  </si>
  <si>
    <t>pharma,profits  fraud,healthcare  profits,health  healthcare,pharma  care,fraud  check,profits  health,care</t>
  </si>
  <si>
    <t>world,medicare  4all,right  medicare,4all  3rd,world  usa,3rd</t>
  </si>
  <si>
    <t>teaching,hospitals  doctors,places  places,medical  medical,schools  schools,teaching  people,doctors</t>
  </si>
  <si>
    <t>ann,love  aunt,ann</t>
  </si>
  <si>
    <t>doctor,arkansas  arkansas,excellent  testimony,solutions  solutions,offered  excellent,testimony</t>
  </si>
  <si>
    <t>basic,questions  liberals,answer  answer,basic  questions,cowards</t>
  </si>
  <si>
    <t>rape,seals</t>
  </si>
  <si>
    <t>curriculum,ukzn  dis,lies  mbchb,curriculum  medicine,student  lies,nirthwest  ukzn,6th  6th,yr  offer,mbchb  nirthwest,offer  student,wits</t>
  </si>
  <si>
    <t>great,snappy  snappy,waffling</t>
  </si>
  <si>
    <t>busses,bowel  food,slide  trucks,busses  altother,food  lot,oils  fiber,altother  oils,fats  hell,trucks  bowel,lot  leave,fiber</t>
  </si>
  <si>
    <t>shortage,specialists  list,18  canada,orthopedic  18,months  specialists,canada  orthopedic,surgery  waiting,list  surgery,waiting</t>
  </si>
  <si>
    <t>culture,life  dysfunctional,country  surprising,dysfunctional  country,culture</t>
  </si>
  <si>
    <t>europe,afica  reasons,mass  africa,reasons  qnvu01ogv,6m11s  immigration,europe  safe,profitable  ability,leave  6m11s,11  leave,leave  11,people</t>
  </si>
  <si>
    <t>remember,police  highly,qualified  security,remember  doctors,highly  engineer,masters  degree,business  leaving,engineer  police,stations  qualified,professional  security,reasons</t>
  </si>
  <si>
    <t>force,stay  charge,government  doctors,large  graduation,qualify  qualified,public  government,force  qualify,doctors  doctors,qualified  universities,charge  large,scale</t>
  </si>
  <si>
    <t>bottlenecks,jump  transition,medicine  foreign,doctors  residency,lotta  easy,paints  research,works  limbo,frustrated  doctors,security  guarantee,accepted  etc,stuck</t>
  </si>
  <si>
    <t>Count of Published At</t>
  </si>
  <si>
    <t>Row Labels</t>
  </si>
  <si>
    <t>Grand Total</t>
  </si>
  <si>
    <t>2022</t>
  </si>
  <si>
    <t>Sep</t>
  </si>
  <si>
    <t>25-Sep</t>
  </si>
  <si>
    <t>26-Sep</t>
  </si>
  <si>
    <t>27-Sep</t>
  </si>
  <si>
    <t>28-Sep</t>
  </si>
  <si>
    <t>29-Sep</t>
  </si>
  <si>
    <t>30-Sep</t>
  </si>
  <si>
    <t>Oct</t>
  </si>
  <si>
    <t>1-Oct</t>
  </si>
  <si>
    <t>2-Oct</t>
  </si>
  <si>
    <t>3-Oct</t>
  </si>
  <si>
    <t>4-Oct</t>
  </si>
  <si>
    <t>6-Oct</t>
  </si>
  <si>
    <t>8-Oct</t>
  </si>
  <si>
    <t>11-Oct</t>
  </si>
  <si>
    <t>12-Oct</t>
  </si>
  <si>
    <t>13-Oct</t>
  </si>
  <si>
    <t>14-Oct</t>
  </si>
  <si>
    <t>15-Oct</t>
  </si>
  <si>
    <t>16-Oct</t>
  </si>
  <si>
    <t>17-Oct</t>
  </si>
  <si>
    <t>18-Oct</t>
  </si>
  <si>
    <t>19-Oct</t>
  </si>
  <si>
    <t>20-Oct</t>
  </si>
  <si>
    <t>21-Oct</t>
  </si>
  <si>
    <t>22-Oct</t>
  </si>
  <si>
    <t>25-Oct</t>
  </si>
  <si>
    <t>26-Oct</t>
  </si>
  <si>
    <t>27-Oct</t>
  </si>
  <si>
    <t>Nov</t>
  </si>
  <si>
    <t>4-Nov</t>
  </si>
  <si>
    <t>Dec</t>
  </si>
  <si>
    <t>6-Dec</t>
  </si>
  <si>
    <t>12-Dec</t>
  </si>
  <si>
    <t>13-Dec</t>
  </si>
  <si>
    <t>2023</t>
  </si>
  <si>
    <t>Jan</t>
  </si>
  <si>
    <t>9-Jan</t>
  </si>
  <si>
    <t>10-Jan</t>
  </si>
  <si>
    <t>13-Jan</t>
  </si>
  <si>
    <t>18-Jan</t>
  </si>
  <si>
    <t>19-Jan</t>
  </si>
  <si>
    <t>21-Jan</t>
  </si>
  <si>
    <t>22-Jan</t>
  </si>
  <si>
    <t>23-Jan</t>
  </si>
  <si>
    <t>25-Jan</t>
  </si>
  <si>
    <t>Feb</t>
  </si>
  <si>
    <t>4-Feb</t>
  </si>
  <si>
    <t>6-Feb</t>
  </si>
  <si>
    <t>8-Feb</t>
  </si>
  <si>
    <t>11-Feb</t>
  </si>
  <si>
    <t>12-Feb</t>
  </si>
  <si>
    <t>17-Feb</t>
  </si>
  <si>
    <t>18-Feb</t>
  </si>
  <si>
    <t>20-Feb</t>
  </si>
  <si>
    <t>21-Feb</t>
  </si>
  <si>
    <t>22-Feb</t>
  </si>
  <si>
    <t>23-Feb</t>
  </si>
  <si>
    <t>24-Feb</t>
  </si>
  <si>
    <t>25-Feb</t>
  </si>
  <si>
    <t>26-Feb</t>
  </si>
  <si>
    <t>27-Feb</t>
  </si>
  <si>
    <t>Mar</t>
  </si>
  <si>
    <t>1-Mar</t>
  </si>
  <si>
    <t>2-Mar</t>
  </si>
  <si>
    <t>3-Mar</t>
  </si>
  <si>
    <t>9-Mar</t>
  </si>
  <si>
    <t>10-Mar</t>
  </si>
  <si>
    <t>11-Mar</t>
  </si>
  <si>
    <t>12-Mar</t>
  </si>
  <si>
    <t>13-Mar</t>
  </si>
  <si>
    <t>14-Mar</t>
  </si>
  <si>
    <t>15-Mar</t>
  </si>
  <si>
    <t>17-Mar</t>
  </si>
  <si>
    <t>19-Mar</t>
  </si>
  <si>
    <t>21-Mar</t>
  </si>
  <si>
    <t>22-Mar</t>
  </si>
  <si>
    <t>23-Mar</t>
  </si>
  <si>
    <t>24-Mar</t>
  </si>
  <si>
    <t>25-Mar</t>
  </si>
  <si>
    <t>26-Mar</t>
  </si>
  <si>
    <t>28-Mar</t>
  </si>
  <si>
    <t>29-Mar</t>
  </si>
  <si>
    <t>Apr</t>
  </si>
  <si>
    <t>3-Apr</t>
  </si>
  <si>
    <t>4-Apr</t>
  </si>
  <si>
    <t>6-Apr</t>
  </si>
  <si>
    <t>7-Apr</t>
  </si>
  <si>
    <t>12-Apr</t>
  </si>
  <si>
    <t>17-Apr</t>
  </si>
  <si>
    <t>18-Apr</t>
  </si>
  <si>
    <t>19-Apr</t>
  </si>
  <si>
    <t>20-Apr</t>
  </si>
  <si>
    <t>22-Apr</t>
  </si>
  <si>
    <t>27-Apr</t>
  </si>
  <si>
    <t>29-Apr</t>
  </si>
  <si>
    <t>May</t>
  </si>
  <si>
    <t>3-May</t>
  </si>
  <si>
    <t>5-May</t>
  </si>
  <si>
    <t>11-May</t>
  </si>
  <si>
    <t>12-May</t>
  </si>
  <si>
    <t>13-May</t>
  </si>
  <si>
    <t>16-May</t>
  </si>
  <si>
    <t>18-May</t>
  </si>
  <si>
    <t>19-May</t>
  </si>
  <si>
    <t>20-May</t>
  </si>
  <si>
    <t>21-May</t>
  </si>
  <si>
    <t>22-May</t>
  </si>
  <si>
    <t>23-May</t>
  </si>
  <si>
    <t>24-May</t>
  </si>
  <si>
    <t>25-May</t>
  </si>
  <si>
    <t>26-May</t>
  </si>
  <si>
    <t>27-May</t>
  </si>
  <si>
    <t>28-May</t>
  </si>
  <si>
    <t>Jun</t>
  </si>
  <si>
    <t>1-Jun</t>
  </si>
  <si>
    <t>3-Jun</t>
  </si>
  <si>
    <t>5-Jun</t>
  </si>
  <si>
    <t>8-Jun</t>
  </si>
  <si>
    <t>10-Jun</t>
  </si>
  <si>
    <t>12-Jun</t>
  </si>
  <si>
    <t>14-Jun</t>
  </si>
  <si>
    <t>16-Jun</t>
  </si>
  <si>
    <t>19-Jun</t>
  </si>
  <si>
    <t>20-Jun</t>
  </si>
  <si>
    <t>22-Jun</t>
  </si>
  <si>
    <t>24-Jun</t>
  </si>
  <si>
    <t>28-Jun</t>
  </si>
  <si>
    <t>29-Jun</t>
  </si>
  <si>
    <t>30-Jun</t>
  </si>
  <si>
    <t>Jul</t>
  </si>
  <si>
    <t>1-Jul</t>
  </si>
  <si>
    <t>4-Jul</t>
  </si>
  <si>
    <t>10-Jul</t>
  </si>
  <si>
    <t>23-Jul</t>
  </si>
  <si>
    <t>26-Jul</t>
  </si>
  <si>
    <t>27-Jul</t>
  </si>
  <si>
    <t>28-Jul</t>
  </si>
  <si>
    <t>29-Jul</t>
  </si>
  <si>
    <t>31-Jul</t>
  </si>
  <si>
    <t>Aug</t>
  </si>
  <si>
    <t>1-Aug</t>
  </si>
  <si>
    <t>2-Aug</t>
  </si>
  <si>
    <t>3-Aug</t>
  </si>
  <si>
    <t>4-Aug</t>
  </si>
  <si>
    <t>5-Aug</t>
  </si>
  <si>
    <t>6-Aug</t>
  </si>
  <si>
    <t>7-Aug</t>
  </si>
  <si>
    <t>8-Aug</t>
  </si>
  <si>
    <t>9-Aug</t>
  </si>
  <si>
    <t>10-Aug</t>
  </si>
  <si>
    <t>11-Aug</t>
  </si>
  <si>
    <t>12-Aug</t>
  </si>
  <si>
    <t>13-Aug</t>
  </si>
  <si>
    <t>14-Aug</t>
  </si>
  <si>
    <t>15-Aug</t>
  </si>
  <si>
    <t>16-Aug</t>
  </si>
  <si>
    <t>17-Aug</t>
  </si>
  <si>
    <t>18-Aug</t>
  </si>
  <si>
    <t>19-Aug</t>
  </si>
  <si>
    <t>20-Aug</t>
  </si>
  <si>
    <t>21-Aug</t>
  </si>
  <si>
    <t>22-Aug</t>
  </si>
  <si>
    <t>23-Aug</t>
  </si>
  <si>
    <t>24-Aug</t>
  </si>
  <si>
    <t>25-Aug</t>
  </si>
  <si>
    <t>26-Aug</t>
  </si>
  <si>
    <t>27-Aug</t>
  </si>
  <si>
    <t>28-Aug</t>
  </si>
  <si>
    <t>29-Aug</t>
  </si>
  <si>
    <t>30-Aug</t>
  </si>
  <si>
    <t>31-Aug</t>
  </si>
  <si>
    <t>1-Sep</t>
  </si>
  <si>
    <t>2-Sep</t>
  </si>
  <si>
    <t>3-Sep</t>
  </si>
  <si>
    <t>4-Sep</t>
  </si>
  <si>
    <t>5-Sep</t>
  </si>
  <si>
    <t>7-Sep</t>
  </si>
  <si>
    <t>8-Sep</t>
  </si>
  <si>
    <t>9-Sep</t>
  </si>
  <si>
    <t>10-Sep</t>
  </si>
  <si>
    <t>11-Sep</t>
  </si>
  <si>
    <t>12-Sep</t>
  </si>
  <si>
    <t>13-Sep</t>
  </si>
  <si>
    <t>14-Sep</t>
  </si>
  <si>
    <t>15-Sep</t>
  </si>
  <si>
    <t>16-Sep</t>
  </si>
  <si>
    <t>18-Sep</t>
  </si>
  <si>
    <t>131, 125, 125</t>
  </si>
  <si>
    <t>138, 118, 118</t>
  </si>
  <si>
    <t>190, 66, 66</t>
  </si>
  <si>
    <t>148, 108, 108</t>
  </si>
  <si>
    <t>209, 46, 46</t>
  </si>
  <si>
    <t>158, 98, 98</t>
  </si>
  <si>
    <t>G1: cholesterol good eat like fiber doctors beans lower hemorrhoids dr</t>
  </si>
  <si>
    <t>G2: africa countries people doctors life good country africans nigeria news</t>
  </si>
  <si>
    <t>G3: people work bernie health covid healthcare senator sanders care medical</t>
  </si>
  <si>
    <t>G4: university medical africa list universities best school west ukzn north</t>
  </si>
  <si>
    <t>G5: anc health doctors care state viva world private work amandla</t>
  </si>
  <si>
    <t>G7: aid medical plan cover discovery health call scheme jab 35</t>
  </si>
  <si>
    <t>G8: herpes lips penis lol</t>
  </si>
  <si>
    <t>G9: gods</t>
  </si>
  <si>
    <t>G10: dr lecture</t>
  </si>
  <si>
    <t>G11: great</t>
  </si>
  <si>
    <t>Edge Weight▓1▓100▓0▓True▓Gray▓Red▓▓Edge Weight▓1▓4▓0▓3▓10▓False▓Edge Weight▓1▓4▓0▓40▓15▓False▓▓0▓0▓0▓True▓Black▓Black▓▓Betweenness Centrality▓0▓506▓3▓150▓1000▓False▓▓0▓0▓0▓0▓0▓False▓▓0▓0▓0▓0▓0▓False▓▓0▓0▓0▓0▓0▓False</t>
  </si>
  <si>
    <t>ImportDescription░The graph was imported from the GraphML file "C:\Users\g-manu2208.RMITVNNET\Downloads\africa provider 2.graphml".▓GroupingDescription░The graph's vertices were grouped by cluster using the Clauset-Newman-Moore cluster algorithm.▓LayoutAlgorithm░The graph was laid out using the Harel-Koren Fast Multiscale layout algorithm.▓GraphDirectedness░The graph is directed.</t>
  </si>
  <si>
    <t xml:space="preserv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t>
  </si>
  <si>
    <t>you've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t>
  </si>
  <si>
    <t xml:space="preserve">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t>
  </si>
  <si>
    <t>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t>
  </si>
  <si>
    <t>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t>
  </si>
  <si>
    <t>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t>
  </si>
  <si>
    <t>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t>
  </si>
  <si>
    <t>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t>
  </si>
  <si>
    <t>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
  </si>
  <si>
    <t>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t>
  </si>
  <si>
    <t>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t>
  </si>
  <si>
    <t>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t>
  </si>
  <si>
    <t>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t>
  </si>
  <si>
    <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t>
  </si>
  <si>
    <t xml:space="preserve">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t>
  </si>
  <si>
    <t xml:space="preserve">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</si>
  <si>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was laid out using the Harel-Koren Fast Multiscale layout algorithm.</t>
  </si>
  <si>
    <t>https://nodexlgraphgallery.org/Pages/Graph.aspx?graphID=292556</t>
  </si>
  <si>
    <t>https://nodexlgraphgallery.org/Images/Image.ashx?graphID=292556&amp;type=f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</si>
</sst>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3"/>
      <tableStyleElement type="headerRow" dxfId="332"/>
    </tableStyle>
    <tableStyle name="NodeXL Table" pivot="0" count="1">
      <tableStyleElement type="headerRow" dxfId="3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880726"/>
        <c:axId val="40599943"/>
      </c:barChart>
      <c:catAx>
        <c:axId val="268807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599943"/>
        <c:crosses val="autoZero"/>
        <c:auto val="1"/>
        <c:lblOffset val="100"/>
        <c:noMultiLvlLbl val="0"/>
      </c:catAx>
      <c:valAx>
        <c:axId val="40599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80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75"/>
                <c:pt idx="0">
                  <c:v>25-Sep
Sep
2022</c:v>
                </c:pt>
                <c:pt idx="1">
                  <c:v>26-Sep</c:v>
                </c:pt>
                <c:pt idx="2">
                  <c:v>27-Sep</c:v>
                </c:pt>
                <c:pt idx="3">
                  <c:v>28-Sep</c:v>
                </c:pt>
                <c:pt idx="4">
                  <c:v>29-Sep</c:v>
                </c:pt>
                <c:pt idx="5">
                  <c:v>30-Sep</c:v>
                </c:pt>
                <c:pt idx="6">
                  <c:v>1-Oct
Oct</c:v>
                </c:pt>
                <c:pt idx="7">
                  <c:v>2-Oct</c:v>
                </c:pt>
                <c:pt idx="8">
                  <c:v>3-Oct</c:v>
                </c:pt>
                <c:pt idx="9">
                  <c:v>4-Oct</c:v>
                </c:pt>
                <c:pt idx="10">
                  <c:v>6-Oct</c:v>
                </c:pt>
                <c:pt idx="11">
                  <c:v>8-Oct</c:v>
                </c:pt>
                <c:pt idx="12">
                  <c:v>11-Oct</c:v>
                </c:pt>
                <c:pt idx="13">
                  <c:v>12-Oct</c:v>
                </c:pt>
                <c:pt idx="14">
                  <c:v>13-Oct</c:v>
                </c:pt>
                <c:pt idx="15">
                  <c:v>14-Oct</c:v>
                </c:pt>
                <c:pt idx="16">
                  <c:v>15-Oct</c:v>
                </c:pt>
                <c:pt idx="17">
                  <c:v>16-Oct</c:v>
                </c:pt>
                <c:pt idx="18">
                  <c:v>17-Oct</c:v>
                </c:pt>
                <c:pt idx="19">
                  <c:v>18-Oct</c:v>
                </c:pt>
                <c:pt idx="20">
                  <c:v>19-Oct</c:v>
                </c:pt>
                <c:pt idx="21">
                  <c:v>20-Oct</c:v>
                </c:pt>
                <c:pt idx="22">
                  <c:v>21-Oct</c:v>
                </c:pt>
                <c:pt idx="23">
                  <c:v>22-Oct</c:v>
                </c:pt>
                <c:pt idx="24">
                  <c:v>25-Oct</c:v>
                </c:pt>
                <c:pt idx="25">
                  <c:v>26-Oct</c:v>
                </c:pt>
                <c:pt idx="26">
                  <c:v>27-Oct</c:v>
                </c:pt>
                <c:pt idx="27">
                  <c:v>4-Nov
Nov</c:v>
                </c:pt>
                <c:pt idx="28">
                  <c:v>6-Dec
Dec</c:v>
                </c:pt>
                <c:pt idx="29">
                  <c:v>12-Dec</c:v>
                </c:pt>
                <c:pt idx="30">
                  <c:v>13-Dec</c:v>
                </c:pt>
                <c:pt idx="31">
                  <c:v>9-Jan
Jan
2023</c:v>
                </c:pt>
                <c:pt idx="32">
                  <c:v>10-Jan</c:v>
                </c:pt>
                <c:pt idx="33">
                  <c:v>13-Jan</c:v>
                </c:pt>
                <c:pt idx="34">
                  <c:v>18-Jan</c:v>
                </c:pt>
                <c:pt idx="35">
                  <c:v>19-Jan</c:v>
                </c:pt>
                <c:pt idx="36">
                  <c:v>21-Jan</c:v>
                </c:pt>
                <c:pt idx="37">
                  <c:v>22-Jan</c:v>
                </c:pt>
                <c:pt idx="38">
                  <c:v>23-Jan</c:v>
                </c:pt>
                <c:pt idx="39">
                  <c:v>25-Jan</c:v>
                </c:pt>
                <c:pt idx="40">
                  <c:v>4-Feb
Feb</c:v>
                </c:pt>
                <c:pt idx="41">
                  <c:v>6-Feb</c:v>
                </c:pt>
                <c:pt idx="42">
                  <c:v>8-Feb</c:v>
                </c:pt>
                <c:pt idx="43">
                  <c:v>11-Feb</c:v>
                </c:pt>
                <c:pt idx="44">
                  <c:v>12-Feb</c:v>
                </c:pt>
                <c:pt idx="45">
                  <c:v>17-Feb</c:v>
                </c:pt>
                <c:pt idx="46">
                  <c:v>18-Feb</c:v>
                </c:pt>
                <c:pt idx="47">
                  <c:v>20-Feb</c:v>
                </c:pt>
                <c:pt idx="48">
                  <c:v>21-Feb</c:v>
                </c:pt>
                <c:pt idx="49">
                  <c:v>22-Feb</c:v>
                </c:pt>
                <c:pt idx="50">
                  <c:v>23-Feb</c:v>
                </c:pt>
                <c:pt idx="51">
                  <c:v>24-Feb</c:v>
                </c:pt>
                <c:pt idx="52">
                  <c:v>25-Feb</c:v>
                </c:pt>
                <c:pt idx="53">
                  <c:v>26-Feb</c:v>
                </c:pt>
                <c:pt idx="54">
                  <c:v>27-Feb</c:v>
                </c:pt>
                <c:pt idx="55">
                  <c:v>1-Mar
Mar</c:v>
                </c:pt>
                <c:pt idx="56">
                  <c:v>2-Mar</c:v>
                </c:pt>
                <c:pt idx="57">
                  <c:v>3-Mar</c:v>
                </c:pt>
                <c:pt idx="58">
                  <c:v>9-Mar</c:v>
                </c:pt>
                <c:pt idx="59">
                  <c:v>10-Mar</c:v>
                </c:pt>
                <c:pt idx="60">
                  <c:v>11-Mar</c:v>
                </c:pt>
                <c:pt idx="61">
                  <c:v>12-Mar</c:v>
                </c:pt>
                <c:pt idx="62">
                  <c:v>13-Mar</c:v>
                </c:pt>
                <c:pt idx="63">
                  <c:v>14-Mar</c:v>
                </c:pt>
                <c:pt idx="64">
                  <c:v>15-Mar</c:v>
                </c:pt>
                <c:pt idx="65">
                  <c:v>17-Mar</c:v>
                </c:pt>
                <c:pt idx="66">
                  <c:v>19-Mar</c:v>
                </c:pt>
                <c:pt idx="67">
                  <c:v>21-Mar</c:v>
                </c:pt>
                <c:pt idx="68">
                  <c:v>22-Mar</c:v>
                </c:pt>
                <c:pt idx="69">
                  <c:v>23-Mar</c:v>
                </c:pt>
                <c:pt idx="70">
                  <c:v>24-Mar</c:v>
                </c:pt>
                <c:pt idx="71">
                  <c:v>25-Mar</c:v>
                </c:pt>
                <c:pt idx="72">
                  <c:v>26-Mar</c:v>
                </c:pt>
                <c:pt idx="73">
                  <c:v>28-Mar</c:v>
                </c:pt>
                <c:pt idx="74">
                  <c:v>29-Mar</c:v>
                </c:pt>
                <c:pt idx="75">
                  <c:v>3-Apr
Apr</c:v>
                </c:pt>
                <c:pt idx="76">
                  <c:v>4-Apr</c:v>
                </c:pt>
                <c:pt idx="77">
                  <c:v>6-Apr</c:v>
                </c:pt>
                <c:pt idx="78">
                  <c:v>7-Apr</c:v>
                </c:pt>
                <c:pt idx="79">
                  <c:v>12-Apr</c:v>
                </c:pt>
                <c:pt idx="80">
                  <c:v>17-Apr</c:v>
                </c:pt>
                <c:pt idx="81">
                  <c:v>18-Apr</c:v>
                </c:pt>
                <c:pt idx="82">
                  <c:v>19-Apr</c:v>
                </c:pt>
                <c:pt idx="83">
                  <c:v>20-Apr</c:v>
                </c:pt>
                <c:pt idx="84">
                  <c:v>22-Apr</c:v>
                </c:pt>
                <c:pt idx="85">
                  <c:v>27-Apr</c:v>
                </c:pt>
                <c:pt idx="86">
                  <c:v>29-Apr</c:v>
                </c:pt>
                <c:pt idx="87">
                  <c:v>3-May
May</c:v>
                </c:pt>
                <c:pt idx="88">
                  <c:v>5-May</c:v>
                </c:pt>
                <c:pt idx="89">
                  <c:v>11-May</c:v>
                </c:pt>
                <c:pt idx="90">
                  <c:v>12-May</c:v>
                </c:pt>
                <c:pt idx="91">
                  <c:v>13-May</c:v>
                </c:pt>
                <c:pt idx="92">
                  <c:v>16-May</c:v>
                </c:pt>
                <c:pt idx="93">
                  <c:v>18-May</c:v>
                </c:pt>
                <c:pt idx="94">
                  <c:v>19-May</c:v>
                </c:pt>
                <c:pt idx="95">
                  <c:v>20-May</c:v>
                </c:pt>
                <c:pt idx="96">
                  <c:v>21-May</c:v>
                </c:pt>
                <c:pt idx="97">
                  <c:v>22-May</c:v>
                </c:pt>
                <c:pt idx="98">
                  <c:v>23-May</c:v>
                </c:pt>
                <c:pt idx="99">
                  <c:v>24-May</c:v>
                </c:pt>
                <c:pt idx="100">
                  <c:v>25-May</c:v>
                </c:pt>
                <c:pt idx="101">
                  <c:v>26-May</c:v>
                </c:pt>
                <c:pt idx="102">
                  <c:v>27-May</c:v>
                </c:pt>
                <c:pt idx="103">
                  <c:v>28-May</c:v>
                </c:pt>
                <c:pt idx="104">
                  <c:v>1-Jun
Jun</c:v>
                </c:pt>
                <c:pt idx="105">
                  <c:v>3-Jun</c:v>
                </c:pt>
                <c:pt idx="106">
                  <c:v>5-Jun</c:v>
                </c:pt>
                <c:pt idx="107">
                  <c:v>8-Jun</c:v>
                </c:pt>
                <c:pt idx="108">
                  <c:v>10-Jun</c:v>
                </c:pt>
                <c:pt idx="109">
                  <c:v>12-Jun</c:v>
                </c:pt>
                <c:pt idx="110">
                  <c:v>14-Jun</c:v>
                </c:pt>
                <c:pt idx="111">
                  <c:v>16-Jun</c:v>
                </c:pt>
                <c:pt idx="112">
                  <c:v>19-Jun</c:v>
                </c:pt>
                <c:pt idx="113">
                  <c:v>20-Jun</c:v>
                </c:pt>
                <c:pt idx="114">
                  <c:v>22-Jun</c:v>
                </c:pt>
                <c:pt idx="115">
                  <c:v>24-Jun</c:v>
                </c:pt>
                <c:pt idx="116">
                  <c:v>28-Jun</c:v>
                </c:pt>
                <c:pt idx="117">
                  <c:v>29-Jun</c:v>
                </c:pt>
                <c:pt idx="118">
                  <c:v>30-Jun</c:v>
                </c:pt>
                <c:pt idx="119">
                  <c:v>1-Jul
Jul</c:v>
                </c:pt>
                <c:pt idx="120">
                  <c:v>4-Jul</c:v>
                </c:pt>
                <c:pt idx="121">
                  <c:v>10-Jul</c:v>
                </c:pt>
                <c:pt idx="122">
                  <c:v>23-Jul</c:v>
                </c:pt>
                <c:pt idx="123">
                  <c:v>26-Jul</c:v>
                </c:pt>
                <c:pt idx="124">
                  <c:v>27-Jul</c:v>
                </c:pt>
                <c:pt idx="125">
                  <c:v>28-Jul</c:v>
                </c:pt>
                <c:pt idx="126">
                  <c:v>29-Jul</c:v>
                </c:pt>
                <c:pt idx="127">
                  <c:v>31-Jul</c:v>
                </c:pt>
                <c:pt idx="128">
                  <c:v>1-Aug
Aug</c:v>
                </c:pt>
                <c:pt idx="129">
                  <c:v>2-Aug</c:v>
                </c:pt>
                <c:pt idx="130">
                  <c:v>3-Aug</c:v>
                </c:pt>
                <c:pt idx="131">
                  <c:v>4-Aug</c:v>
                </c:pt>
                <c:pt idx="132">
                  <c:v>5-Aug</c:v>
                </c:pt>
                <c:pt idx="133">
                  <c:v>6-Aug</c:v>
                </c:pt>
                <c:pt idx="134">
                  <c:v>7-Aug</c:v>
                </c:pt>
                <c:pt idx="135">
                  <c:v>8-Aug</c:v>
                </c:pt>
                <c:pt idx="136">
                  <c:v>9-Aug</c:v>
                </c:pt>
                <c:pt idx="137">
                  <c:v>10-Aug</c:v>
                </c:pt>
                <c:pt idx="138">
                  <c:v>11-Aug</c:v>
                </c:pt>
                <c:pt idx="139">
                  <c:v>12-Aug</c:v>
                </c:pt>
                <c:pt idx="140">
                  <c:v>13-Aug</c:v>
                </c:pt>
                <c:pt idx="141">
                  <c:v>14-Aug</c:v>
                </c:pt>
                <c:pt idx="142">
                  <c:v>15-Aug</c:v>
                </c:pt>
                <c:pt idx="143">
                  <c:v>16-Aug</c:v>
                </c:pt>
                <c:pt idx="144">
                  <c:v>17-Aug</c:v>
                </c:pt>
                <c:pt idx="145">
                  <c:v>18-Aug</c:v>
                </c:pt>
                <c:pt idx="146">
                  <c:v>19-Aug</c:v>
                </c:pt>
                <c:pt idx="147">
                  <c:v>20-Aug</c:v>
                </c:pt>
                <c:pt idx="148">
                  <c:v>21-Aug</c:v>
                </c:pt>
                <c:pt idx="149">
                  <c:v>22-Aug</c:v>
                </c:pt>
                <c:pt idx="150">
                  <c:v>23-Aug</c:v>
                </c:pt>
                <c:pt idx="151">
                  <c:v>24-Aug</c:v>
                </c:pt>
                <c:pt idx="152">
                  <c:v>25-Aug</c:v>
                </c:pt>
                <c:pt idx="153">
                  <c:v>26-Aug</c:v>
                </c:pt>
                <c:pt idx="154">
                  <c:v>27-Aug</c:v>
                </c:pt>
                <c:pt idx="155">
                  <c:v>28-Aug</c:v>
                </c:pt>
                <c:pt idx="156">
                  <c:v>29-Aug</c:v>
                </c:pt>
                <c:pt idx="157">
                  <c:v>30-Aug</c:v>
                </c:pt>
                <c:pt idx="158">
                  <c:v>31-Aug</c:v>
                </c:pt>
                <c:pt idx="159">
                  <c:v>1-Sep
Sep</c:v>
                </c:pt>
                <c:pt idx="160">
                  <c:v>2-Sep</c:v>
                </c:pt>
                <c:pt idx="161">
                  <c:v>3-Sep</c:v>
                </c:pt>
                <c:pt idx="162">
                  <c:v>4-Sep</c:v>
                </c:pt>
                <c:pt idx="163">
                  <c:v>5-Sep</c:v>
                </c:pt>
                <c:pt idx="164">
                  <c:v>7-Sep</c:v>
                </c:pt>
                <c:pt idx="165">
                  <c:v>8-Sep</c:v>
                </c:pt>
                <c:pt idx="166">
                  <c:v>9-Sep</c:v>
                </c:pt>
                <c:pt idx="167">
                  <c:v>10-Sep</c:v>
                </c:pt>
                <c:pt idx="168">
                  <c:v>11-Sep</c:v>
                </c:pt>
                <c:pt idx="169">
                  <c:v>12-Sep</c:v>
                </c:pt>
                <c:pt idx="170">
                  <c:v>13-Sep</c:v>
                </c:pt>
                <c:pt idx="171">
                  <c:v>14-Sep</c:v>
                </c:pt>
                <c:pt idx="172">
                  <c:v>15-Sep</c:v>
                </c:pt>
                <c:pt idx="173">
                  <c:v>16-Sep</c:v>
                </c:pt>
                <c:pt idx="174">
                  <c:v>18-Sep</c:v>
                </c:pt>
              </c:strCache>
            </c:strRef>
          </c:cat>
          <c:val>
            <c:numRef>
              <c:f>'Time Series'!$B$26:$B$216</c:f>
              <c:numCache>
                <c:formatCode>General</c:formatCode>
                <c:ptCount val="175"/>
                <c:pt idx="0">
                  <c:v>56</c:v>
                </c:pt>
                <c:pt idx="1">
                  <c:v>20</c:v>
                </c:pt>
                <c:pt idx="2">
                  <c:v>10</c:v>
                </c:pt>
                <c:pt idx="3">
                  <c:v>2</c:v>
                </c:pt>
                <c:pt idx="4">
                  <c:v>2</c:v>
                </c:pt>
                <c:pt idx="5">
                  <c:v>2</c:v>
                </c:pt>
                <c:pt idx="6">
                  <c:v>6</c:v>
                </c:pt>
                <c:pt idx="7">
                  <c:v>3</c:v>
                </c:pt>
                <c:pt idx="8">
                  <c:v>1</c:v>
                </c:pt>
                <c:pt idx="9">
                  <c:v>2</c:v>
                </c:pt>
                <c:pt idx="10">
                  <c:v>1</c:v>
                </c:pt>
                <c:pt idx="11">
                  <c:v>2</c:v>
                </c:pt>
                <c:pt idx="12">
                  <c:v>3</c:v>
                </c:pt>
                <c:pt idx="13">
                  <c:v>4</c:v>
                </c:pt>
                <c:pt idx="14">
                  <c:v>5</c:v>
                </c:pt>
                <c:pt idx="15">
                  <c:v>2</c:v>
                </c:pt>
                <c:pt idx="16">
                  <c:v>2</c:v>
                </c:pt>
                <c:pt idx="17">
                  <c:v>2</c:v>
                </c:pt>
                <c:pt idx="18">
                  <c:v>2</c:v>
                </c:pt>
                <c:pt idx="19">
                  <c:v>2</c:v>
                </c:pt>
                <c:pt idx="20">
                  <c:v>1</c:v>
                </c:pt>
                <c:pt idx="21">
                  <c:v>3</c:v>
                </c:pt>
                <c:pt idx="22">
                  <c:v>1</c:v>
                </c:pt>
                <c:pt idx="23">
                  <c:v>1</c:v>
                </c:pt>
                <c:pt idx="24">
                  <c:v>1</c:v>
                </c:pt>
                <c:pt idx="25">
                  <c:v>2</c:v>
                </c:pt>
                <c:pt idx="26">
                  <c:v>1</c:v>
                </c:pt>
                <c:pt idx="27">
                  <c:v>1</c:v>
                </c:pt>
                <c:pt idx="28">
                  <c:v>1</c:v>
                </c:pt>
                <c:pt idx="29">
                  <c:v>1</c:v>
                </c:pt>
                <c:pt idx="30">
                  <c:v>1</c:v>
                </c:pt>
                <c:pt idx="31">
                  <c:v>2</c:v>
                </c:pt>
                <c:pt idx="32">
                  <c:v>2</c:v>
                </c:pt>
                <c:pt idx="33">
                  <c:v>1</c:v>
                </c:pt>
                <c:pt idx="34">
                  <c:v>3</c:v>
                </c:pt>
                <c:pt idx="35">
                  <c:v>2</c:v>
                </c:pt>
                <c:pt idx="36">
                  <c:v>1</c:v>
                </c:pt>
                <c:pt idx="37">
                  <c:v>1</c:v>
                </c:pt>
                <c:pt idx="38">
                  <c:v>1</c:v>
                </c:pt>
                <c:pt idx="39">
                  <c:v>2</c:v>
                </c:pt>
                <c:pt idx="40">
                  <c:v>1</c:v>
                </c:pt>
                <c:pt idx="41">
                  <c:v>1</c:v>
                </c:pt>
                <c:pt idx="42">
                  <c:v>1</c:v>
                </c:pt>
                <c:pt idx="43">
                  <c:v>1</c:v>
                </c:pt>
                <c:pt idx="44">
                  <c:v>1</c:v>
                </c:pt>
                <c:pt idx="45">
                  <c:v>2</c:v>
                </c:pt>
                <c:pt idx="46">
                  <c:v>2</c:v>
                </c:pt>
                <c:pt idx="47">
                  <c:v>2</c:v>
                </c:pt>
                <c:pt idx="48">
                  <c:v>2</c:v>
                </c:pt>
                <c:pt idx="49">
                  <c:v>7</c:v>
                </c:pt>
                <c:pt idx="50">
                  <c:v>2</c:v>
                </c:pt>
                <c:pt idx="51">
                  <c:v>4</c:v>
                </c:pt>
                <c:pt idx="52">
                  <c:v>6</c:v>
                </c:pt>
                <c:pt idx="53">
                  <c:v>1</c:v>
                </c:pt>
                <c:pt idx="54">
                  <c:v>1</c:v>
                </c:pt>
                <c:pt idx="55">
                  <c:v>2</c:v>
                </c:pt>
                <c:pt idx="56">
                  <c:v>3</c:v>
                </c:pt>
                <c:pt idx="57">
                  <c:v>1</c:v>
                </c:pt>
                <c:pt idx="58">
                  <c:v>2</c:v>
                </c:pt>
                <c:pt idx="59">
                  <c:v>6</c:v>
                </c:pt>
                <c:pt idx="60">
                  <c:v>2</c:v>
                </c:pt>
                <c:pt idx="61">
                  <c:v>4</c:v>
                </c:pt>
                <c:pt idx="62">
                  <c:v>5</c:v>
                </c:pt>
                <c:pt idx="63">
                  <c:v>7</c:v>
                </c:pt>
                <c:pt idx="64">
                  <c:v>6</c:v>
                </c:pt>
                <c:pt idx="65">
                  <c:v>1</c:v>
                </c:pt>
                <c:pt idx="66">
                  <c:v>1</c:v>
                </c:pt>
                <c:pt idx="67">
                  <c:v>1</c:v>
                </c:pt>
                <c:pt idx="68">
                  <c:v>1</c:v>
                </c:pt>
                <c:pt idx="69">
                  <c:v>2</c:v>
                </c:pt>
                <c:pt idx="70">
                  <c:v>2</c:v>
                </c:pt>
                <c:pt idx="71">
                  <c:v>2</c:v>
                </c:pt>
                <c:pt idx="72">
                  <c:v>2</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2</c:v>
                </c:pt>
                <c:pt idx="88">
                  <c:v>1</c:v>
                </c:pt>
                <c:pt idx="89">
                  <c:v>1</c:v>
                </c:pt>
                <c:pt idx="90">
                  <c:v>1</c:v>
                </c:pt>
                <c:pt idx="91">
                  <c:v>2</c:v>
                </c:pt>
                <c:pt idx="92">
                  <c:v>1</c:v>
                </c:pt>
                <c:pt idx="93">
                  <c:v>1</c:v>
                </c:pt>
                <c:pt idx="94">
                  <c:v>2</c:v>
                </c:pt>
                <c:pt idx="95">
                  <c:v>1</c:v>
                </c:pt>
                <c:pt idx="96">
                  <c:v>2</c:v>
                </c:pt>
                <c:pt idx="97">
                  <c:v>1</c:v>
                </c:pt>
                <c:pt idx="98">
                  <c:v>1</c:v>
                </c:pt>
                <c:pt idx="99">
                  <c:v>1</c:v>
                </c:pt>
                <c:pt idx="100">
                  <c:v>1</c:v>
                </c:pt>
                <c:pt idx="101">
                  <c:v>1</c:v>
                </c:pt>
                <c:pt idx="102">
                  <c:v>1</c:v>
                </c:pt>
                <c:pt idx="103">
                  <c:v>1</c:v>
                </c:pt>
                <c:pt idx="104">
                  <c:v>2</c:v>
                </c:pt>
                <c:pt idx="105">
                  <c:v>2</c:v>
                </c:pt>
                <c:pt idx="106">
                  <c:v>1</c:v>
                </c:pt>
                <c:pt idx="107">
                  <c:v>3</c:v>
                </c:pt>
                <c:pt idx="108">
                  <c:v>2</c:v>
                </c:pt>
                <c:pt idx="109">
                  <c:v>1</c:v>
                </c:pt>
                <c:pt idx="110">
                  <c:v>1</c:v>
                </c:pt>
                <c:pt idx="111">
                  <c:v>1</c:v>
                </c:pt>
                <c:pt idx="112">
                  <c:v>5</c:v>
                </c:pt>
                <c:pt idx="113">
                  <c:v>2</c:v>
                </c:pt>
                <c:pt idx="114">
                  <c:v>1</c:v>
                </c:pt>
                <c:pt idx="115">
                  <c:v>2</c:v>
                </c:pt>
                <c:pt idx="116">
                  <c:v>3</c:v>
                </c:pt>
                <c:pt idx="117">
                  <c:v>1</c:v>
                </c:pt>
                <c:pt idx="118">
                  <c:v>1</c:v>
                </c:pt>
                <c:pt idx="119">
                  <c:v>1</c:v>
                </c:pt>
                <c:pt idx="120">
                  <c:v>2</c:v>
                </c:pt>
                <c:pt idx="121">
                  <c:v>1</c:v>
                </c:pt>
                <c:pt idx="122">
                  <c:v>1</c:v>
                </c:pt>
                <c:pt idx="123">
                  <c:v>2</c:v>
                </c:pt>
                <c:pt idx="124">
                  <c:v>1</c:v>
                </c:pt>
                <c:pt idx="125">
                  <c:v>1</c:v>
                </c:pt>
                <c:pt idx="126">
                  <c:v>3</c:v>
                </c:pt>
                <c:pt idx="127">
                  <c:v>1</c:v>
                </c:pt>
                <c:pt idx="128">
                  <c:v>4</c:v>
                </c:pt>
                <c:pt idx="129">
                  <c:v>8</c:v>
                </c:pt>
                <c:pt idx="130">
                  <c:v>7</c:v>
                </c:pt>
                <c:pt idx="131">
                  <c:v>9</c:v>
                </c:pt>
                <c:pt idx="132">
                  <c:v>8</c:v>
                </c:pt>
                <c:pt idx="133">
                  <c:v>11</c:v>
                </c:pt>
                <c:pt idx="134">
                  <c:v>8</c:v>
                </c:pt>
                <c:pt idx="135">
                  <c:v>6</c:v>
                </c:pt>
                <c:pt idx="136">
                  <c:v>9</c:v>
                </c:pt>
                <c:pt idx="137">
                  <c:v>2</c:v>
                </c:pt>
                <c:pt idx="138">
                  <c:v>2</c:v>
                </c:pt>
                <c:pt idx="139">
                  <c:v>4</c:v>
                </c:pt>
                <c:pt idx="140">
                  <c:v>5</c:v>
                </c:pt>
                <c:pt idx="141">
                  <c:v>4</c:v>
                </c:pt>
                <c:pt idx="142">
                  <c:v>4</c:v>
                </c:pt>
                <c:pt idx="143">
                  <c:v>3</c:v>
                </c:pt>
                <c:pt idx="144">
                  <c:v>3</c:v>
                </c:pt>
                <c:pt idx="145">
                  <c:v>3</c:v>
                </c:pt>
                <c:pt idx="146">
                  <c:v>2</c:v>
                </c:pt>
                <c:pt idx="147">
                  <c:v>48</c:v>
                </c:pt>
                <c:pt idx="148">
                  <c:v>20</c:v>
                </c:pt>
                <c:pt idx="149">
                  <c:v>5</c:v>
                </c:pt>
                <c:pt idx="150">
                  <c:v>2</c:v>
                </c:pt>
                <c:pt idx="151">
                  <c:v>2</c:v>
                </c:pt>
                <c:pt idx="152">
                  <c:v>5</c:v>
                </c:pt>
                <c:pt idx="153">
                  <c:v>2</c:v>
                </c:pt>
                <c:pt idx="154">
                  <c:v>2</c:v>
                </c:pt>
                <c:pt idx="155">
                  <c:v>2</c:v>
                </c:pt>
                <c:pt idx="156">
                  <c:v>1</c:v>
                </c:pt>
                <c:pt idx="157">
                  <c:v>1</c:v>
                </c:pt>
                <c:pt idx="158">
                  <c:v>2</c:v>
                </c:pt>
                <c:pt idx="159">
                  <c:v>1</c:v>
                </c:pt>
                <c:pt idx="160">
                  <c:v>2</c:v>
                </c:pt>
                <c:pt idx="161">
                  <c:v>1</c:v>
                </c:pt>
                <c:pt idx="162">
                  <c:v>1</c:v>
                </c:pt>
                <c:pt idx="163">
                  <c:v>1</c:v>
                </c:pt>
                <c:pt idx="164">
                  <c:v>2</c:v>
                </c:pt>
                <c:pt idx="165">
                  <c:v>2</c:v>
                </c:pt>
                <c:pt idx="166">
                  <c:v>13</c:v>
                </c:pt>
                <c:pt idx="167">
                  <c:v>3</c:v>
                </c:pt>
                <c:pt idx="168">
                  <c:v>2</c:v>
                </c:pt>
                <c:pt idx="169">
                  <c:v>2</c:v>
                </c:pt>
                <c:pt idx="170">
                  <c:v>2</c:v>
                </c:pt>
                <c:pt idx="171">
                  <c:v>2</c:v>
                </c:pt>
                <c:pt idx="172">
                  <c:v>1</c:v>
                </c:pt>
                <c:pt idx="173">
                  <c:v>1</c:v>
                </c:pt>
                <c:pt idx="174">
                  <c:v>3</c:v>
                </c:pt>
              </c:numCache>
            </c:numRef>
          </c:val>
        </c:ser>
        <c:axId val="44479888"/>
        <c:axId val="64774673"/>
      </c:barChart>
      <c:catAx>
        <c:axId val="44479888"/>
        <c:scaling>
          <c:orientation val="minMax"/>
        </c:scaling>
        <c:axPos val="b"/>
        <c:delete val="0"/>
        <c:numFmt formatCode="General" sourceLinked="1"/>
        <c:majorTickMark val="out"/>
        <c:minorTickMark val="none"/>
        <c:tickLblPos val="nextTo"/>
        <c:crossAx val="64774673"/>
        <c:crosses val="autoZero"/>
        <c:auto val="1"/>
        <c:lblOffset val="100"/>
        <c:noMultiLvlLbl val="0"/>
      </c:catAx>
      <c:valAx>
        <c:axId val="64774673"/>
        <c:scaling>
          <c:orientation val="minMax"/>
        </c:scaling>
        <c:axPos val="l"/>
        <c:majorGridlines/>
        <c:delete val="0"/>
        <c:numFmt formatCode="General" sourceLinked="1"/>
        <c:majorTickMark val="out"/>
        <c:minorTickMark val="none"/>
        <c:tickLblPos val="nextTo"/>
        <c:crossAx val="444798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855168"/>
        <c:axId val="261057"/>
      </c:barChart>
      <c:catAx>
        <c:axId val="298551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1057"/>
        <c:crosses val="autoZero"/>
        <c:auto val="1"/>
        <c:lblOffset val="100"/>
        <c:noMultiLvlLbl val="0"/>
      </c:catAx>
      <c:valAx>
        <c:axId val="261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5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49514"/>
        <c:axId val="21145627"/>
      </c:barChart>
      <c:catAx>
        <c:axId val="23495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145627"/>
        <c:crosses val="autoZero"/>
        <c:auto val="1"/>
        <c:lblOffset val="100"/>
        <c:noMultiLvlLbl val="0"/>
      </c:catAx>
      <c:valAx>
        <c:axId val="21145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092916"/>
        <c:axId val="35074197"/>
      </c:barChart>
      <c:catAx>
        <c:axId val="560929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074197"/>
        <c:crosses val="autoZero"/>
        <c:auto val="1"/>
        <c:lblOffset val="100"/>
        <c:noMultiLvlLbl val="0"/>
      </c:catAx>
      <c:valAx>
        <c:axId val="35074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9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232318"/>
        <c:axId val="22437679"/>
      </c:barChart>
      <c:catAx>
        <c:axId val="472323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437679"/>
        <c:crosses val="autoZero"/>
        <c:auto val="1"/>
        <c:lblOffset val="100"/>
        <c:noMultiLvlLbl val="0"/>
      </c:catAx>
      <c:valAx>
        <c:axId val="22437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32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2520"/>
        <c:axId val="5512681"/>
      </c:barChart>
      <c:catAx>
        <c:axId val="6125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2681"/>
        <c:crosses val="autoZero"/>
        <c:auto val="1"/>
        <c:lblOffset val="100"/>
        <c:noMultiLvlLbl val="0"/>
      </c:catAx>
      <c:valAx>
        <c:axId val="5512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614130"/>
        <c:axId val="43873987"/>
      </c:barChart>
      <c:catAx>
        <c:axId val="496141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873987"/>
        <c:crosses val="autoZero"/>
        <c:auto val="1"/>
        <c:lblOffset val="100"/>
        <c:noMultiLvlLbl val="0"/>
      </c:catAx>
      <c:valAx>
        <c:axId val="43873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14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321564"/>
        <c:axId val="64132029"/>
      </c:barChart>
      <c:catAx>
        <c:axId val="593215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132029"/>
        <c:crosses val="autoZero"/>
        <c:auto val="1"/>
        <c:lblOffset val="100"/>
        <c:noMultiLvlLbl val="0"/>
      </c:catAx>
      <c:valAx>
        <c:axId val="64132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1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317350"/>
        <c:axId val="27311831"/>
      </c:barChart>
      <c:catAx>
        <c:axId val="40317350"/>
        <c:scaling>
          <c:orientation val="minMax"/>
        </c:scaling>
        <c:axPos val="b"/>
        <c:delete val="1"/>
        <c:majorTickMark val="out"/>
        <c:minorTickMark val="none"/>
        <c:tickLblPos val="none"/>
        <c:crossAx val="27311831"/>
        <c:crosses val="autoZero"/>
        <c:auto val="1"/>
        <c:lblOffset val="100"/>
        <c:noMultiLvlLbl val="0"/>
      </c:catAx>
      <c:valAx>
        <c:axId val="27311831"/>
        <c:scaling>
          <c:orientation val="minMax"/>
        </c:scaling>
        <c:axPos val="l"/>
        <c:delete val="1"/>
        <c:majorTickMark val="out"/>
        <c:minorTickMark val="none"/>
        <c:tickLblPos val="none"/>
        <c:crossAx val="403173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1" refreshedBy="g-manu2208" refreshedVersion="6">
  <cacheSource type="worksheet">
    <worksheetSource ref="A2:AP553"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2">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String="0" containsBlank="1" containsMixedTypes="1"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551">
        <d v="2023-04-20T21:11:17.000"/>
        <d v="2023-06-10T17:59:24.000"/>
        <d v="2023-04-07T01:42:49.000"/>
        <d v="2023-03-29T21:51:00.000"/>
        <d v="2023-04-19T18:00:10.000"/>
        <d v="2023-06-30T23:38:53.000"/>
        <d v="2023-02-21T17:33:00.000"/>
        <d v="2023-02-21T20:28:49.000"/>
        <d v="2023-02-22T00:03:39.000"/>
        <d v="2023-02-22T01:03:35.000"/>
        <d v="2023-02-22T08:39:46.000"/>
        <d v="2023-02-22T17:13:40.000"/>
        <d v="2023-02-22T19:43:29.000"/>
        <d v="2023-02-22T22:38:39.000"/>
        <d v="2023-02-23T13:17:45.000"/>
        <d v="2023-02-23T22:24:35.000"/>
        <d v="2023-02-24T01:51:51.000"/>
        <d v="2023-02-24T06:45:25.000"/>
        <d v="2023-02-24T15:13:13.000"/>
        <d v="2023-02-24T21:43:12.000"/>
        <d v="2023-02-25T00:05:19.000"/>
        <d v="2023-02-25T11:21:05.000"/>
        <d v="2023-02-25T15:26:31.000"/>
        <d v="2023-02-25T16:27:27.000"/>
        <d v="2023-02-25T18:17:54.000"/>
        <d v="2023-02-25T22:13:43.000"/>
        <d v="2023-02-26T12:01:48.000"/>
        <d v="2023-03-01T17:43:57.000"/>
        <d v="2023-03-01T18:01:48.000"/>
        <d v="2023-03-02T05:30:18.000"/>
        <d v="2023-03-02T05:44:00.000"/>
        <d v="2023-03-02T16:35:41.000"/>
        <d v="2023-03-09T12:32:57.000"/>
        <d v="2023-03-10T05:51:40.000"/>
        <d v="2023-03-10T09:10:08.000"/>
        <d v="2023-03-10T15:39:11.000"/>
        <d v="2023-03-10T21:14:50.000"/>
        <d v="2023-03-10T22:16:00.000"/>
        <d v="2023-03-11T19:57:14.000"/>
        <d v="2023-03-12T01:13:10.000"/>
        <d v="2023-03-12T04:12:50.000"/>
        <d v="2023-03-12T15:43:08.000"/>
        <d v="2023-03-12T18:32:34.000"/>
        <d v="2023-03-13T01:23:56.000"/>
        <d v="2023-03-13T05:16:53.000"/>
        <d v="2023-03-13T15:19:34.000"/>
        <d v="2023-03-13T17:12:04.000"/>
        <d v="2023-03-13T17:21:44.000"/>
        <d v="2023-03-11T03:21:14.000"/>
        <d v="2023-03-14T01:47:03.000"/>
        <d v="2023-03-14T02:47:49.000"/>
        <d v="2023-03-14T07:27:39.000"/>
        <d v="2023-03-14T11:34:01.000"/>
        <d v="2023-03-14T12:49:07.000"/>
        <d v="2023-03-14T18:38:16.000"/>
        <d v="2023-03-14T23:14:19.000"/>
        <d v="2023-03-15T03:55:55.000"/>
        <d v="2023-03-15T11:09:20.000"/>
        <d v="2023-03-15T16:41:27.000"/>
        <d v="2023-03-15T23:05:08.000"/>
        <d v="2023-03-15T23:22:19.000"/>
        <d v="2023-03-15T23:29:18.000"/>
        <d v="2023-03-17T07:04:19.000"/>
        <d v="2023-03-19T00:12:14.000"/>
        <d v="2023-03-21T15:33:41.000"/>
        <d v="2023-03-22T10:30:28.000"/>
        <d v="2023-03-25T22:23:52.000"/>
        <d v="2023-03-26T18:44:38.000"/>
        <d v="2023-04-12T04:07:49.000"/>
        <d v="2023-07-04T08:12:54.000"/>
        <d v="2023-02-17T02:41:14.000"/>
        <d v="2023-08-02T10:18:31.000"/>
        <d v="2022-09-27T18:20:41.000"/>
        <d v="2022-09-27T18:39:17.000"/>
        <d v="2022-09-27T18:44:59.000"/>
        <d v="2022-09-27T18:48:44.000"/>
        <d v="2022-09-27T20:39:38.000"/>
        <d v="2022-09-27T20:42:28.000"/>
        <d v="2022-09-27T21:09:24.000"/>
        <d v="2022-09-27T21:52:31.000"/>
        <d v="2022-09-28T02:10:32.000"/>
        <d v="2022-09-28T05:24:36.000"/>
        <d v="2022-09-29T04:57:07.000"/>
        <d v="2022-09-29T05:20:49.000"/>
        <d v="2022-09-30T01:36:42.000"/>
        <d v="2022-09-30T18:36:05.000"/>
        <d v="2022-10-01T00:46:37.000"/>
        <d v="2022-10-01T02:07:37.000"/>
        <d v="2022-10-01T05:18:56.000"/>
        <d v="2022-10-01T13:43:07.000"/>
        <d v="2022-10-01T13:49:40.000"/>
        <d v="2022-10-01T16:11:31.000"/>
        <d v="2022-10-02T04:28:05.000"/>
        <d v="2022-10-02T04:34:57.000"/>
        <d v="2022-10-02T18:10:29.000"/>
        <d v="2022-10-03T15:17:18.000"/>
        <d v="2022-10-04T04:17:13.000"/>
        <d v="2022-10-04T22:02:43.000"/>
        <d v="2022-10-06T05:34:15.000"/>
        <d v="2022-10-08T07:35:50.000"/>
        <d v="2022-10-08T18:49:28.000"/>
        <d v="2022-10-11T15:59:10.000"/>
        <d v="2022-10-11T19:04:25.000"/>
        <d v="2022-10-11T22:28:46.000"/>
        <d v="2022-10-12T00:09:11.000"/>
        <d v="2022-10-12T05:28:41.000"/>
        <d v="2022-10-12T06:31:15.000"/>
        <d v="2022-10-12T21:25:43.000"/>
        <d v="2022-10-13T05:42:57.000"/>
        <d v="2022-10-13T11:03:15.000"/>
        <d v="2022-10-13T11:49:24.000"/>
        <d v="2022-10-13T19:24:10.000"/>
        <d v="2022-10-13T23:16:17.000"/>
        <d v="2022-10-14T13:48:11.000"/>
        <d v="2022-10-14T23:41:42.000"/>
        <d v="2022-10-15T19:10:13.000"/>
        <d v="2022-10-15T23:25:14.000"/>
        <d v="2022-10-16T02:45:30.000"/>
        <d v="2022-10-16T16:53:00.000"/>
        <d v="2022-10-17T17:27:16.000"/>
        <d v="2022-10-17T22:37:43.000"/>
        <d v="2022-10-18T06:51:50.000"/>
        <d v="2022-10-18T17:19:28.000"/>
        <d v="2022-10-19T10:30:22.000"/>
        <d v="2022-10-20T21:23:36.000"/>
        <d v="2022-10-20T22:11:24.000"/>
        <d v="2022-10-20T22:58:16.000"/>
        <d v="2022-10-21T08:02:37.000"/>
        <d v="2022-10-22T10:57:58.000"/>
        <d v="2022-10-25T17:12:53.000"/>
        <d v="2022-10-26T07:10:57.000"/>
        <d v="2022-10-26T15:17:55.000"/>
        <d v="2022-10-27T13:23:28.000"/>
        <d v="2022-09-27T18:00:26.000"/>
        <d v="2023-06-01T06:55:38.000"/>
        <d v="2023-08-01T05:44:56.000"/>
        <d v="2023-08-01T06:39:58.000"/>
        <d v="2023-08-01T08:53:25.000"/>
        <d v="2023-08-01T22:29:15.000"/>
        <d v="2023-08-02T06:50:23.000"/>
        <d v="2023-08-02T07:09:20.000"/>
        <d v="2023-08-02T14:01:46.000"/>
        <d v="2023-08-02T16:41:18.000"/>
        <d v="2023-08-02T19:47:53.000"/>
        <d v="2023-08-02T19:57:10.000"/>
        <d v="2023-08-02T21:20:25.000"/>
        <d v="2023-08-03T07:18:14.000"/>
        <d v="2023-08-03T09:26:38.000"/>
        <d v="2023-08-03T10:14:22.000"/>
        <d v="2023-08-03T11:11:09.000"/>
        <d v="2023-08-03T16:28:27.000"/>
        <d v="2023-08-03T17:54:10.000"/>
        <d v="2023-08-04T00:17:01.000"/>
        <d v="2023-08-04T01:10:26.000"/>
        <d v="2023-08-04T02:49:34.000"/>
        <d v="2023-08-04T04:59:25.000"/>
        <d v="2023-08-04T05:58:08.000"/>
        <d v="2023-08-04T06:21:46.000"/>
        <d v="2023-08-04T10:51:28.000"/>
        <d v="2023-08-04T14:45:47.000"/>
        <d v="2023-08-05T02:04:57.000"/>
        <d v="2023-08-05T02:58:52.000"/>
        <d v="2023-08-05T03:10:38.000"/>
        <d v="2023-08-05T07:59:42.000"/>
        <d v="2023-08-05T16:15:13.000"/>
        <d v="2023-08-05T22:38:32.000"/>
        <d v="2023-08-05T23:53:55.000"/>
        <d v="2023-08-06T00:26:59.000"/>
        <d v="2023-08-06T02:10:52.000"/>
        <d v="2023-08-06T04:18:19.000"/>
        <d v="2023-08-06T05:03:14.000"/>
        <d v="2023-08-06T08:38:34.000"/>
        <d v="2023-08-06T16:46:15.000"/>
        <d v="2023-08-06T18:30:06.000"/>
        <d v="2023-08-06T19:19:58.000"/>
        <d v="2023-08-06T22:56:34.000"/>
        <d v="2023-08-07T01:49:12.000"/>
        <d v="2023-08-07T01:49:16.000"/>
        <d v="2023-08-07T09:16:58.000"/>
        <d v="2023-08-07T10:01:04.000"/>
        <d v="2023-08-07T21:32:14.000"/>
        <d v="2023-08-07T22:02:11.000"/>
        <d v="2023-08-07T22:55:09.000"/>
        <d v="2023-08-08T00:03:05.000"/>
        <d v="2023-08-08T12:45:14.000"/>
        <d v="2023-08-08T13:41:09.000"/>
        <d v="2023-08-08T15:10:30.000"/>
        <d v="2023-08-08T20:04:20.000"/>
        <d v="2023-08-09T06:13:36.000"/>
        <d v="2023-08-09T08:00:09.000"/>
        <d v="2023-08-09T12:25:23.000"/>
        <d v="2023-08-09T23:30:41.000"/>
        <d v="2023-08-10T03:58:47.000"/>
        <d v="2023-08-10T06:20:24.000"/>
        <d v="2023-08-11T03:00:34.000"/>
        <d v="2023-08-11T06:58:58.000"/>
        <d v="2023-08-12T00:06:43.000"/>
        <d v="2023-08-12T05:49:17.000"/>
        <d v="2023-08-13T03:27:38.000"/>
        <d v="2023-08-13T06:33:00.000"/>
        <d v="2023-08-13T09:35:38.000"/>
        <d v="2023-08-13T14:26:04.000"/>
        <d v="2023-08-13T14:56:29.000"/>
        <d v="2023-08-15T14:20:58.000"/>
        <d v="2023-08-15T23:11:08.000"/>
        <d v="2023-08-16T05:35:20.000"/>
        <d v="2023-08-16T14:07:12.000"/>
        <d v="2023-08-17T00:23:33.000"/>
        <d v="2023-08-17T02:14:09.000"/>
        <d v="2023-08-17T18:43:40.000"/>
        <d v="2023-08-18T15:16:02.000"/>
        <d v="2023-08-18T20:46:59.000"/>
        <d v="2023-08-20T13:59:28.000"/>
        <d v="2023-08-22T01:36:41.000"/>
        <d v="2023-08-22T22:27:47.000"/>
        <d v="2023-08-25T09:21:23.000"/>
        <d v="2023-08-26T20:49:04.000"/>
        <d v="2023-08-27T02:36:23.000"/>
        <d v="2023-08-27T14:31:53.000"/>
        <d v="2023-08-28T01:50:55.000"/>
        <d v="2023-09-02T18:20:18.000"/>
        <d v="2023-09-04T19:33:41.000"/>
        <d v="2023-09-05T13:01:41.000"/>
        <d v="2023-09-07T18:18:10.000"/>
        <d v="2023-09-08T20:51:00.000"/>
        <d v="2023-09-10T00:16:43.000"/>
        <d v="2023-09-10T11:29:32.000"/>
        <d v="2023-09-12T14:35:04.000"/>
        <d v="2023-09-13T23:54:12.000"/>
        <d v="2023-09-14T07:48:31.000"/>
        <d v="2023-09-15T00:39:18.000"/>
        <d v="2023-09-16T17:41:14.000"/>
        <d v="2023-09-18T03:54:24.000"/>
        <d v="2023-02-18T23:21:29.000"/>
        <d v="2023-02-27T02:03:11.000"/>
        <d v="2023-08-06T04:08:38.000"/>
        <d v="2023-08-09T23:23:22.000"/>
        <d v="2023-08-14T13:15:58.000"/>
        <d v="2023-08-15T10:44:16.000"/>
        <d v="2023-08-25T21:24:14.000"/>
        <d v="2023-02-18T13:00:15.000"/>
        <d v="2023-08-31T22:16:41.000"/>
        <d v="2022-09-25T19:03:10.000"/>
        <d v="2022-09-25T19:04:11.000"/>
        <d v="2022-09-25T19:06:00.000"/>
        <d v="2022-09-25T19:06:03.000"/>
        <d v="2022-09-25T19:07:13.000"/>
        <d v="2022-09-25T19:07:32.000"/>
        <d v="2022-09-25T19:08:56.000"/>
        <d v="2022-09-25T19:11:31.000"/>
        <d v="2022-09-25T19:12:06.000"/>
        <d v="2022-09-25T19:12:20.000"/>
        <d v="2022-09-25T19:13:34.000"/>
        <d v="2022-09-25T19:14:56.000"/>
        <d v="2022-09-25T19:16:21.000"/>
        <d v="2022-09-25T19:18:07.000"/>
        <d v="2022-09-25T19:25:45.000"/>
        <d v="2022-09-25T19:26:54.000"/>
        <d v="2022-09-25T19:29:10.000"/>
        <d v="2022-09-25T19:29:19.000"/>
        <d v="2022-09-25T19:31:58.000"/>
        <d v="2022-09-25T19:32:29.000"/>
        <d v="2022-09-25T19:36:56.000"/>
        <d v="2022-09-25T19:38:42.000"/>
        <d v="2022-09-25T19:40:42.000"/>
        <d v="2022-09-25T19:42:15.000"/>
        <d v="2022-09-25T19:46:04.000"/>
        <d v="2022-09-25T19:52:25.000"/>
        <d v="2022-09-25T19:52:42.000"/>
        <d v="2022-09-25T19:54:32.000"/>
        <d v="2022-09-25T19:54:47.000"/>
        <d v="2022-09-25T19:58:44.000"/>
        <d v="2022-09-25T20:03:14.000"/>
        <d v="2022-09-25T20:06:46.000"/>
        <d v="2022-09-25T20:08:03.000"/>
        <d v="2022-09-25T20:08:17.000"/>
        <d v="2022-09-25T20:11:37.000"/>
        <d v="2022-09-25T20:29:48.000"/>
        <d v="2022-09-25T20:38:05.000"/>
        <d v="2022-09-25T20:46:23.000"/>
        <d v="2022-09-25T20:49:44.000"/>
        <d v="2022-09-25T20:54:39.000"/>
        <d v="2022-09-25T20:55:49.000"/>
        <d v="2022-09-25T21:01:46.000"/>
        <d v="2022-09-25T21:13:39.000"/>
        <d v="2022-09-25T21:16:16.000"/>
        <d v="2022-09-25T21:38:48.000"/>
        <d v="2022-09-25T21:41:11.000"/>
        <d v="2022-09-25T22:32:55.000"/>
        <d v="2022-09-25T22:33:55.000"/>
        <d v="2022-09-25T22:49:05.000"/>
        <d v="2022-09-25T22:49:43.000"/>
        <d v="2022-09-25T23:05:12.000"/>
        <d v="2022-09-25T23:05:17.000"/>
        <d v="2022-09-25T23:46:11.000"/>
        <d v="2022-09-25T23:51:53.000"/>
        <d v="2022-09-25T23:57:56.000"/>
        <d v="2022-09-26T00:13:26.000"/>
        <d v="2022-09-26T00:51:24.000"/>
        <d v="2022-09-26T01:24:24.000"/>
        <d v="2022-09-26T01:26:30.000"/>
        <d v="2022-09-26T02:28:24.000"/>
        <d v="2022-09-26T03:17:03.000"/>
        <d v="2022-09-26T03:35:56.000"/>
        <d v="2022-09-26T04:00:19.000"/>
        <d v="2022-09-26T04:02:33.000"/>
        <d v="2022-09-26T04:03:31.000"/>
        <d v="2022-09-26T04:51:12.000"/>
        <d v="2022-09-26T06:31:04.000"/>
        <d v="2022-09-26T08:20:00.000"/>
        <d v="2022-09-26T08:22:33.000"/>
        <d v="2022-09-26T08:39:03.000"/>
        <d v="2022-09-26T11:24:51.000"/>
        <d v="2022-09-26T12:53:16.000"/>
        <d v="2022-09-26T14:21:21.000"/>
        <d v="2022-09-26T17:12:07.000"/>
        <d v="2022-09-26T19:06:26.000"/>
        <d v="2022-09-27T07:58:00.000"/>
        <d v="2023-01-10T23:38:30.000"/>
        <d v="2023-01-18T23:01:08.000"/>
        <d v="2023-01-19T08:46:43.000"/>
        <d v="2023-01-23T23:28:35.000"/>
        <d v="2023-01-25T08:02:20.000"/>
        <d v="2023-01-25T09:14:28.000"/>
        <d v="2023-02-04T22:06:47.000"/>
        <d v="2023-02-08T06:56:15.000"/>
        <d v="2023-02-11T21:07:38.000"/>
        <d v="2023-02-12T02:50:05.000"/>
        <d v="2023-02-20T10:04:56.000"/>
        <d v="2023-02-20T22:14:58.000"/>
        <d v="2023-03-09T21:05:05.000"/>
        <d v="2023-03-10T04:45:39.000"/>
        <d v="2023-03-23T07:21:46.000"/>
        <d v="2023-03-23T15:47:48.000"/>
        <d v="2023-03-24T09:17:47.000"/>
        <d v="2023-03-24T20:15:21.000"/>
        <d v="2023-03-25T14:16:42.000"/>
        <d v="2023-03-26T05:23:17.000"/>
        <d v="2023-03-28T01:44:09.000"/>
        <d v="2023-04-03T06:53:27.000"/>
        <d v="2023-04-22T09:27:08.000"/>
        <d v="2023-04-27T16:31:41.000"/>
        <d v="2023-04-29T06:53:02.000"/>
        <d v="2023-05-03T12:14:55.000"/>
        <d v="2023-05-05T22:51:40.000"/>
        <d v="2023-05-11T19:07:02.000"/>
        <d v="2023-05-13T13:32:04.000"/>
        <d v="2023-05-13T19:40:07.000"/>
        <d v="2023-05-16T17:36:38.000"/>
        <d v="2023-05-18T03:48:53.000"/>
        <d v="2023-05-19T11:13:56.000"/>
        <d v="2023-05-19T13:42:02.000"/>
        <d v="2023-05-20T08:30:31.000"/>
        <d v="2023-05-21T04:34:28.000"/>
        <d v="2023-05-21T10:45:39.000"/>
        <d v="2023-05-22T20:10:46.000"/>
        <d v="2023-05-23T01:08:13.000"/>
        <d v="2023-05-24T01:40:14.000"/>
        <d v="2023-05-25T00:54:12.000"/>
        <d v="2023-05-26T03:13:24.000"/>
        <d v="2023-05-27T14:48:14.000"/>
        <d v="2023-05-28T19:11:41.000"/>
        <d v="2023-06-03T08:50:33.000"/>
        <d v="2023-06-03T22:55:46.000"/>
        <d v="2023-06-08T05:58:50.000"/>
        <d v="2023-06-12T21:57:38.000"/>
        <d v="2023-06-14T16:45:07.000"/>
        <d v="2023-06-20T01:59:19.000"/>
        <d v="2023-06-22T00:20:25.000"/>
        <d v="2023-06-24T00:28:46.000"/>
        <d v="2023-06-28T03:02:20.000"/>
        <d v="2023-06-28T08:14:40.000"/>
        <d v="2023-06-28T21:15:48.000"/>
        <d v="2023-06-29T01:31:10.000"/>
        <d v="2023-07-01T00:49:01.000"/>
        <d v="2023-07-04T11:16:25.000"/>
        <d v="2023-07-10T17:23:07.000"/>
        <d v="2023-07-26T06:47:55.000"/>
        <d v="2023-07-26T14:12:03.000"/>
        <d v="2023-07-27T06:00:24.000"/>
        <d v="2023-07-28T08:33:38.000"/>
        <d v="2023-07-29T02:41:08.000"/>
        <d v="2023-07-29T11:05:05.000"/>
        <d v="2023-07-29T20:51:30.000"/>
        <d v="2023-07-31T19:43:03.000"/>
        <d v="2023-08-03T17:03:53.000"/>
        <d v="2023-08-04T12:10:09.000"/>
        <d v="2023-08-05T02:51:45.000"/>
        <d v="2023-08-06T15:21:29.000"/>
        <d v="2023-08-07T19:32:21.000"/>
        <d v="2023-08-08T09:46:22.000"/>
        <d v="2023-08-09T01:24:51.000"/>
        <d v="2023-08-09T02:24:15.000"/>
        <d v="2023-08-09T08:07:38.000"/>
        <d v="2023-08-09T12:22:08.000"/>
        <d v="2023-08-14T11:48:14.000"/>
        <d v="2023-08-14T22:55:57.000"/>
        <d v="2023-08-15T21:41:08.000"/>
        <d v="2023-08-16T11:27:45.000"/>
        <d v="2023-08-18T01:52:34.000"/>
        <d v="2023-08-19T13:11:33.000"/>
        <d v="2023-08-20T11:39:41.000"/>
        <d v="2023-08-20T15:56:57.000"/>
        <d v="2023-08-22T07:11:11.000"/>
        <d v="2023-08-25T09:46:21.000"/>
        <d v="2023-08-26T03:53:48.000"/>
        <d v="2023-08-28T09:53:10.000"/>
        <d v="2023-08-29T23:47:21.000"/>
        <d v="2023-09-03T15:23:56.000"/>
        <d v="2023-09-07T23:23:33.000"/>
        <d v="2023-09-08T02:21:31.000"/>
        <d v="2023-09-13T03:05:50.000"/>
        <d v="2023-09-14T19:42:18.000"/>
        <d v="2023-09-18T04:20:32.000"/>
        <d v="2023-01-19T05:03:35.000"/>
        <d v="2023-09-18T13:57:20.000"/>
        <d v="2023-01-09T14:50:30.000"/>
        <d v="2023-01-10T17:46:44.000"/>
        <d v="2023-01-09T03:03:26.000"/>
        <d v="2023-01-13T18:54:16.000"/>
        <d v="2023-09-09T04:21:22.000"/>
        <d v="2023-09-09T04:39:18.000"/>
        <d v="2023-09-09T05:41:57.000"/>
        <d v="2023-09-09T06:03:43.000"/>
        <d v="2023-09-09T06:25:10.000"/>
        <d v="2023-09-09T11:17:36.000"/>
        <d v="2023-09-09T11:24:27.000"/>
        <d v="2023-09-09T14:01:09.000"/>
        <d v="2023-09-09T16:15:13.000"/>
        <d v="2023-09-09T19:03:35.000"/>
        <d v="2023-09-09T19:03:47.000"/>
        <d v="2023-09-09T19:54:05.000"/>
        <d v="2023-09-10T20:45:29.000"/>
        <d v="2023-09-11T01:09:36.000"/>
        <d v="2023-09-11T22:21:24.000"/>
        <d v="2023-09-12T12:25:41.000"/>
        <d v="2023-08-12T01:03:13.000"/>
        <d v="2023-08-12T02:25:34.000"/>
        <d v="2023-08-14T11:00:23.000"/>
        <d v="2023-08-19T21:09:20.000"/>
        <d v="2023-06-19T19:59:35.000"/>
        <d v="2023-06-19T20:02:02.000"/>
        <d v="2023-06-19T20:08:11.000"/>
        <d v="2023-06-19T20:37:04.000"/>
        <d v="2023-06-19T22:58:14.000"/>
        <d v="2023-06-20T14:32:42.000"/>
        <d v="2023-09-09T03:48:32.000"/>
        <d v="2023-06-24T12:46:48.000"/>
        <d v="2022-12-06T00:45:42.000"/>
        <d v="2022-12-13T10:46:21.000"/>
        <d v="2023-01-21T14:06:12.000"/>
        <d v="2023-01-22T01:56:25.000"/>
        <d v="2023-02-22T15:32:40.000"/>
        <d v="2023-04-04T03:24:31.000"/>
        <d v="2023-04-17T14:40:25.000"/>
        <d v="2023-04-18T22:03:45.000"/>
        <d v="2023-05-03T00:56:59.000"/>
        <d v="2023-06-08T08:02:52.000"/>
        <d v="2022-11-04T21:10:15.000"/>
        <d v="2023-06-10T17:08:19.000"/>
        <d v="2023-01-18T20:08:57.000"/>
        <d v="2023-01-18T18:01:30.000"/>
        <d v="2023-08-24T22:34:02.000"/>
        <d v="2023-08-24T16:11:59.000"/>
        <d v="2023-08-20T18:05:27.000"/>
        <d v="2023-08-20T18:20:10.000"/>
        <d v="2023-08-20T18:21:59.000"/>
        <d v="2023-08-20T18:24:56.000"/>
        <d v="2023-08-20T18:26:11.000"/>
        <d v="2023-08-20T18:32:42.000"/>
        <d v="2023-08-20T18:35:30.000"/>
        <d v="2023-08-20T18:44:26.000"/>
        <d v="2023-08-20T18:56:14.000"/>
        <d v="2023-08-20T18:56:38.000"/>
        <d v="2023-08-20T19:01:22.000"/>
        <d v="2023-08-20T19:05:32.000"/>
        <d v="2023-08-20T19:17:38.000"/>
        <d v="2023-08-20T19:23:52.000"/>
        <d v="2023-08-20T19:25:59.000"/>
        <d v="2023-08-20T19:30:57.000"/>
        <d v="2023-08-20T19:37:55.000"/>
        <d v="2023-08-20T19:38:57.000"/>
        <d v="2023-08-20T19:45:36.000"/>
        <d v="2023-08-20T19:46:57.000"/>
        <d v="2023-08-20T20:20:48.000"/>
        <d v="2023-08-20T20:24:14.000"/>
        <d v="2023-08-20T20:39:40.000"/>
        <d v="2023-08-20T20:42:28.000"/>
        <d v="2023-08-20T20:46:53.000"/>
        <d v="2023-08-20T20:53:36.000"/>
        <d v="2023-08-20T20:48:37.000"/>
        <d v="2023-08-20T20:57:51.000"/>
        <d v="2023-08-20T20:58:43.000"/>
        <d v="2023-08-20T21:18:51.000"/>
        <d v="2023-08-20T21:27:05.000"/>
        <d v="2023-08-20T21:27:19.000"/>
        <d v="2023-08-20T21:41:44.000"/>
        <d v="2023-08-20T21:48:34.000"/>
        <d v="2023-08-20T21:58:52.000"/>
        <d v="2023-08-20T22:01:26.000"/>
        <d v="2023-08-20T22:07:35.000"/>
        <d v="2023-08-20T22:10:30.000"/>
        <d v="2023-08-20T22:15:30.000"/>
        <d v="2023-08-20T22:16:34.000"/>
        <d v="2023-08-20T22:31:13.000"/>
        <d v="2023-08-20T22:44:34.000"/>
        <d v="2023-08-20T23:34:13.000"/>
        <d v="2023-08-20T23:51:41.000"/>
        <d v="2023-08-20T23:59:43.000"/>
        <d v="2023-08-21T00:33:00.000"/>
        <d v="2023-08-21T00:47:45.000"/>
        <d v="2023-08-21T01:01:13.000"/>
        <d v="2023-08-21T01:01:37.000"/>
        <d v="2023-08-21T02:09:16.000"/>
        <d v="2023-08-21T02:44:52.000"/>
        <d v="2023-08-21T02:58:43.000"/>
        <d v="2023-08-21T04:05:13.000"/>
        <d v="2023-08-21T04:08:41.000"/>
        <d v="2023-08-21T04:29:15.000"/>
        <d v="2023-08-21T05:05:06.000"/>
        <d v="2023-08-21T06:44:07.000"/>
        <d v="2023-08-21T06:58:27.000"/>
        <d v="2023-08-21T07:03:22.000"/>
        <d v="2023-08-21T10:48:31.000"/>
        <d v="2023-08-21T11:59:05.000"/>
        <d v="2023-08-21T14:23:38.000"/>
        <d v="2023-08-21T15:59:46.000"/>
        <d v="2023-08-21T17:40:25.000"/>
        <d v="2023-08-21T19:41:23.000"/>
        <d v="2023-08-22T00:51:35.000"/>
        <d v="2023-08-22T01:01:49.000"/>
        <d v="2023-08-23T02:44:07.000"/>
        <d v="2023-08-23T22:08:18.000"/>
        <d v="2023-08-25T04:50:16.000"/>
        <d v="2023-08-25T08:10:46.000"/>
        <d v="2023-08-30T22:23:04.000"/>
        <d v="2022-09-25T19:00:36.000"/>
        <d v="2023-09-01T14:01:23.000"/>
        <d v="2023-09-02T23:15:22.000"/>
        <d v="2023-02-06T20:33:38.000"/>
        <d v="2023-06-08T13:46:06.000"/>
        <d v="2023-06-05T22:37:41.000"/>
        <d v="2023-03-03T04:00:00.000"/>
        <d v="2022-12-12T21:55:06.000"/>
        <d v="2023-04-06T18:02:00.000"/>
        <d v="2023-06-01T16:50:19.000"/>
        <d v="2023-06-16T17:15:36.000"/>
        <d v="2023-07-23T18:28:23.000"/>
        <d v="2023-02-17T14:05:28.000"/>
        <d v="2023-05-12T23:12:56.000"/>
        <d v="2023-08-31T21:44:07.000"/>
      </sharedItems>
      <fieldGroup par="43" base="25">
        <rangePr groupBy="days" autoEnd="1" autoStart="1" startDate="2022-09-25T19:00:36.000" endDate="2023-09-18T13:57:20.000"/>
        <groupItems count="368">
          <s v="&lt;9/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3"/>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22-09-25T19:00:36.000" endDate="2023-09-18T13:57:20.000"/>
        <groupItems count="14">
          <s v="&lt;9/25/2022"/>
          <s v="Jan"/>
          <s v="Feb"/>
          <s v="Mar"/>
          <s v="Apr"/>
          <s v="May"/>
          <s v="Jun"/>
          <s v="Jul"/>
          <s v="Aug"/>
          <s v="Sep"/>
          <s v="Oct"/>
          <s v="Nov"/>
          <s v="Dec"/>
          <s v="&gt;9/18/2023"/>
        </groupItems>
      </fieldGroup>
    </cacheField>
    <cacheField name="Years" databaseField="0">
      <sharedItems containsMixedTypes="0" count="0"/>
      <fieldGroup base="25">
        <rangePr groupBy="years" autoEnd="1" autoStart="1" startDate="2022-09-25T19:00:36.000" endDate="2023-09-18T13:57:20.000"/>
        <groupItems count="4">
          <s v="&lt;9/25/2022"/>
          <s v="2022"/>
          <s v="2023"/>
          <s v="&gt;9/18/2023"/>
        </groupItems>
      </fieldGroup>
    </cacheField>
  </cacheFields>
  <extLst>
    <ext xmlns:x14="http://schemas.microsoft.com/office/spreadsheetml/2009/9/main" uri="{725AE2AE-9491-48be-B2B4-4EB974FC3084}">
      <x14:pivotCacheDefinition pivotCacheId="1733305960"/>
    </ext>
  </extLst>
</pivotCacheDefinition>
</file>

<file path=xl/pivotCache/pivotCacheRecords1.xml><?xml version="1.0" encoding="utf-8"?>
<pivotCacheRecords xmlns="http://schemas.openxmlformats.org/spreadsheetml/2006/main" xmlns:r="http://schemas.openxmlformats.org/officeDocument/2006/relationships" count="551">
  <r>
    <s v="UCWg-RBRh6C1HCJHhkiaKj5Q"/>
    <s v="UCotnwz_joL3ZDyICya0q_Bw"/>
    <s v="141, 115, 115"/>
    <n v="6.5"/>
    <m/>
    <n v="27.5"/>
    <m/>
    <m/>
    <m/>
    <m/>
    <s v="No"/>
    <n v="3"/>
    <m/>
    <m/>
    <s v="Commented Video"/>
    <x v="0"/>
    <s v="Great work."/>
    <s v="UCWg-RBRh6C1HCJHhkiaKj5Q"/>
    <s v="Nsamba Joy"/>
    <s v="http://www.youtube.com/channel/UCWg-RBRh6C1HCJHhkiaKj5Q"/>
    <m/>
    <s v="AAHlA_p6yRw"/>
    <s v="https://www.youtube.com/watch?v=AAHlA_p6yRw"/>
    <s v="none"/>
    <n v="0"/>
    <x v="0"/>
    <d v="2023-04-20T21:11:17.000"/>
    <m/>
    <m/>
    <m/>
    <n v="4"/>
    <s v="11"/>
    <s v="11"/>
    <n v="2"/>
    <n v="100"/>
    <n v="0"/>
    <n v="0"/>
    <n v="0"/>
    <n v="0"/>
    <n v="0"/>
    <n v="0"/>
    <n v="2"/>
  </r>
  <r>
    <s v="UC_fih_n7WX_Ah5Lpycyoxaw"/>
    <s v="UCotnwz_joL3ZDyICya0q_Bw"/>
    <s v="128, 128, 128"/>
    <n v="3"/>
    <m/>
    <n v="40"/>
    <m/>
    <m/>
    <m/>
    <m/>
    <s v="No"/>
    <n v="4"/>
    <m/>
    <m/>
    <s v="Commented Video"/>
    <x v="0"/>
    <s v="NCDs are of Public Health concern"/>
    <s v="UC_fih_n7WX_Ah5Lpycyoxaw"/>
    <s v="Youth Grid Foundation ug"/>
    <s v="http://www.youtube.com/channel/UC_fih_n7WX_Ah5Lpycyoxaw"/>
    <m/>
    <s v="LUVezT5lbvw"/>
    <s v="https://www.youtube.com/watch?v=LUVezT5lbvw"/>
    <s v="none"/>
    <n v="1"/>
    <x v="1"/>
    <d v="2023-06-10T17:59:24.000"/>
    <m/>
    <m/>
    <m/>
    <n v="1"/>
    <n v="11"/>
    <n v="11"/>
    <n v="0"/>
    <n v="0"/>
    <n v="1"/>
    <n v="16.666666666666668"/>
    <n v="0"/>
    <n v="0"/>
    <n v="3"/>
    <n v="50"/>
    <n v="6"/>
  </r>
  <r>
    <s v="UCl-rkPJ4jt9fjP-htmVnYPA"/>
    <s v="UCFmSHlTH1i1EwkbmSN4ZCGg"/>
    <s v="128, 128, 128"/>
    <n v="3"/>
    <m/>
    <n v="40"/>
    <m/>
    <m/>
    <m/>
    <m/>
    <s v="No"/>
    <n v="5"/>
    <m/>
    <m/>
    <s v="Commented Video"/>
    <x v="0"/>
    <s v="Good information"/>
    <s v="UCl-rkPJ4jt9fjP-htmVnYPA"/>
    <s v="Hussein Jabiri"/>
    <s v="http://www.youtube.com/channel/UCl-rkPJ4jt9fjP-htmVnYPA"/>
    <m/>
    <s v="axY4NWH7hCE"/>
    <s v="https://www.youtube.com/watch?v=axY4NWH7hCE"/>
    <s v="none"/>
    <n v="0"/>
    <x v="2"/>
    <d v="2023-04-07T01:42:49.000"/>
    <m/>
    <m/>
    <m/>
    <n v="1"/>
    <n v="14"/>
    <n v="14"/>
    <n v="1"/>
    <n v="50"/>
    <n v="0"/>
    <n v="0"/>
    <n v="0"/>
    <n v="0"/>
    <n v="1"/>
    <n v="50"/>
    <n v="2"/>
  </r>
  <r>
    <s v="UCFmSHlTH1i1EwkbmSN4ZCGg"/>
    <s v="UCFmSHlTH1i1EwkbmSN4ZCGg"/>
    <s v="128, 128, 128"/>
    <n v="3"/>
    <m/>
    <n v="40"/>
    <m/>
    <m/>
    <m/>
    <m/>
    <s v="No"/>
    <n v="6"/>
    <m/>
    <m/>
    <s v="Posted Video"/>
    <x v="1"/>
    <m/>
    <m/>
    <m/>
    <m/>
    <m/>
    <s v="axY4NWH7hCE"/>
    <s v="https://www.youtube.com/watch?v=axY4NWH7hCE"/>
    <m/>
    <m/>
    <x v="3"/>
    <m/>
    <m/>
    <m/>
    <m/>
    <n v="1"/>
    <n v="14"/>
    <n v="14"/>
    <m/>
    <m/>
    <m/>
    <m/>
    <m/>
    <m/>
    <m/>
    <m/>
    <m/>
  </r>
  <r>
    <s v="UCotnwz_joL3ZDyICya0q_Bw"/>
    <s v="UCotnwz_joL3ZDyICya0q_Bw"/>
    <s v="154, 102, 102"/>
    <n v="10"/>
    <m/>
    <n v="15"/>
    <m/>
    <m/>
    <m/>
    <m/>
    <s v="No"/>
    <n v="7"/>
    <m/>
    <m/>
    <s v="Posted Video"/>
    <x v="1"/>
    <m/>
    <m/>
    <m/>
    <m/>
    <m/>
    <s v="AAHlA_p6yRw"/>
    <s v="https://www.youtube.com/watch?v=AAHlA_p6yRw"/>
    <m/>
    <m/>
    <x v="4"/>
    <m/>
    <m/>
    <m/>
    <m/>
    <n v="9"/>
    <n v="11"/>
    <n v="11"/>
    <m/>
    <m/>
    <m/>
    <m/>
    <m/>
    <m/>
    <m/>
    <m/>
    <m/>
  </r>
  <r>
    <s v="UCQZXu94X5lUU8Kq8XY8ic2w"/>
    <s v="UCotnwz_joL3ZDyICya0q_Bw"/>
    <s v="128, 128, 128"/>
    <n v="3"/>
    <m/>
    <n v="40"/>
    <m/>
    <m/>
    <m/>
    <m/>
    <s v="No"/>
    <n v="8"/>
    <m/>
    <m/>
    <s v="Commented Video"/>
    <x v="0"/>
    <s v="Great content.  It&amp;#39;s very educative"/>
    <s v="UCQZXu94X5lUU8Kq8XY8ic2w"/>
    <s v="Health News"/>
    <s v="http://www.youtube.com/channel/UCQZXu94X5lUU8Kq8XY8ic2w"/>
    <m/>
    <s v="_0cqMag_ZII"/>
    <s v="https://www.youtube.com/watch?v=_0cqMag_ZII"/>
    <s v="none"/>
    <n v="0"/>
    <x v="5"/>
    <d v="2023-06-30T23:38:53.000"/>
    <m/>
    <m/>
    <m/>
    <n v="1"/>
    <n v="11"/>
    <n v="11"/>
    <n v="1"/>
    <n v="14.285714285714286"/>
    <n v="0"/>
    <n v="0"/>
    <n v="0"/>
    <n v="0"/>
    <n v="2"/>
    <n v="28.571428571428573"/>
    <n v="7"/>
  </r>
  <r>
    <s v="UCofm4FS2wgiO5LqblEGzvFA"/>
    <s v="UCD_DaKNac0Ta-2PeHuoQ1uA"/>
    <s v="128, 128, 128"/>
    <n v="3"/>
    <m/>
    <n v="40"/>
    <m/>
    <m/>
    <m/>
    <m/>
    <s v="No"/>
    <n v="9"/>
    <m/>
    <m/>
    <s v="Commented Video"/>
    <x v="0"/>
    <s v="Mitt…the reason healthcare costs are so high is NOT because the government is involved. It’s because the insurance industry and big pharmacy have purchased nearly all of our politicians, who refuse to crack down on the corporate greed in our for-profit healthcare system. Just sayin. 🙄 Medicare for all will start managing the cost of healthcare in our country."/>
    <s v="UCofm4FS2wgiO5LqblEGzvFA"/>
    <s v="Jenny Phillips"/>
    <s v="http://www.youtube.com/channel/UCofm4FS2wgiO5LqblEGzvFA"/>
    <m/>
    <s v="Q-YZD2u1mO8"/>
    <s v="https://www.youtube.com/watch?v=Q-YZD2u1mO8"/>
    <s v="none"/>
    <n v="0"/>
    <x v="6"/>
    <d v="2023-02-21T17:33:00.000"/>
    <m/>
    <m/>
    <m/>
    <n v="1"/>
    <n v="3"/>
    <n v="3"/>
    <n v="0"/>
    <n v="0"/>
    <n v="3"/>
    <n v="4.918032786885246"/>
    <n v="0"/>
    <n v="0"/>
    <n v="25"/>
    <n v="40.98360655737705"/>
    <n v="61"/>
  </r>
  <r>
    <s v="UCsJOnWW5NyNRL8yxDHv3CeA"/>
    <s v="UCD_DaKNac0Ta-2PeHuoQ1uA"/>
    <s v="128, 128, 128"/>
    <n v="3"/>
    <m/>
    <n v="40"/>
    <m/>
    <m/>
    <m/>
    <m/>
    <s v="No"/>
    <n v="10"/>
    <m/>
    <m/>
    <s v="Commented Video"/>
    <x v="0"/>
    <s v="I’m glad this was put up, and thank you again Sen Sanders. Now I can see how completely idiotic and bought some of the other senators are."/>
    <s v="UCsJOnWW5NyNRL8yxDHv3CeA"/>
    <s v="MrTristan499"/>
    <s v="http://www.youtube.com/channel/UCsJOnWW5NyNRL8yxDHv3CeA"/>
    <m/>
    <s v="Q-YZD2u1mO8"/>
    <s v="https://www.youtube.com/watch?v=Q-YZD2u1mO8"/>
    <s v="none"/>
    <n v="3"/>
    <x v="7"/>
    <d v="2023-02-21T20:28:49.000"/>
    <m/>
    <m/>
    <m/>
    <n v="1"/>
    <n v="3"/>
    <n v="3"/>
    <n v="1"/>
    <n v="3.5714285714285716"/>
    <n v="1"/>
    <n v="3.5714285714285716"/>
    <n v="0"/>
    <n v="0"/>
    <n v="5"/>
    <n v="17.857142857142858"/>
    <n v="28"/>
  </r>
  <r>
    <s v="UCSHSmXn83dGWiPwSXO3KZTg"/>
    <s v="UCD_DaKNac0Ta-2PeHuoQ1uA"/>
    <s v="128, 128, 128"/>
    <n v="3"/>
    <m/>
    <n v="40"/>
    <m/>
    <m/>
    <m/>
    <m/>
    <s v="No"/>
    <n v="11"/>
    <m/>
    <m/>
    <s v="Commented Video"/>
    <x v="0"/>
    <s v="You should have been President twice. If you run in next election, I will do my best to help you!"/>
    <s v="UCSHSmXn83dGWiPwSXO3KZTg"/>
    <s v="jane merritt mckenna"/>
    <s v="http://www.youtube.com/channel/UCSHSmXn83dGWiPwSXO3KZTg"/>
    <m/>
    <s v="Q-YZD2u1mO8"/>
    <s v="https://www.youtube.com/watch?v=Q-YZD2u1mO8"/>
    <s v="none"/>
    <n v="0"/>
    <x v="8"/>
    <d v="2023-02-22T00:03:39.000"/>
    <m/>
    <m/>
    <m/>
    <n v="1"/>
    <n v="3"/>
    <n v="3"/>
    <n v="1"/>
    <n v="5"/>
    <n v="0"/>
    <n v="0"/>
    <n v="0"/>
    <n v="0"/>
    <n v="3"/>
    <n v="15"/>
    <n v="20"/>
  </r>
  <r>
    <s v="UCuQMJlKO_QFzEPpxbMnMgTQ"/>
    <s v="UCD_DaKNac0Ta-2PeHuoQ1uA"/>
    <s v="128, 128, 128"/>
    <n v="3"/>
    <m/>
    <n v="40"/>
    <m/>
    <m/>
    <m/>
    <m/>
    <s v="No"/>
    <n v="12"/>
    <m/>
    <m/>
    <s v="Commented Video"/>
    <x v="0"/>
    <s v="@49&lt;br&gt;@&lt;a href=&quot;https://www.youtube.com/watch?v=Q-YZD2u1mO8&amp;amp;t=49m00s&quot;&gt;49:00&lt;/a&gt; ff, it is concerning to me from a systems engineering and educational consultant’s perspective that after  three years of COVID-19  PANDEMIC politicization of a public  health crisis, for the politicians to demand rapid changes seems cruel."/>
    <s v="UCuQMJlKO_QFzEPpxbMnMgTQ"/>
    <s v="Vernon Nickerson"/>
    <s v="http://www.youtube.com/channel/UCuQMJlKO_QFzEPpxbMnMgTQ"/>
    <m/>
    <s v="Q-YZD2u1mO8"/>
    <s v="https://www.youtube.com/watch?v=Q-YZD2u1mO8"/>
    <s v="none"/>
    <n v="0"/>
    <x v="9"/>
    <d v="2023-02-22T01:03:35.000"/>
    <s v="https://www.youtube.com/watch?v=Q-YZD2u1mO8&amp;amp;t=49m00s"/>
    <s v="youtube.com"/>
    <m/>
    <n v="1"/>
    <n v="3"/>
    <n v="3"/>
    <n v="1"/>
    <n v="1.7857142857142858"/>
    <n v="2"/>
    <n v="3.5714285714285716"/>
    <n v="0"/>
    <n v="0"/>
    <n v="20"/>
    <n v="35.714285714285715"/>
    <n v="56"/>
  </r>
  <r>
    <s v="UCwITU6pvKzazXrub5ZdjCCA"/>
    <s v="UCD_DaKNac0Ta-2PeHuoQ1uA"/>
    <s v="128, 128, 128"/>
    <n v="3"/>
    <m/>
    <n v="40"/>
    <m/>
    <m/>
    <m/>
    <m/>
    <s v="No"/>
    <n v="13"/>
    <m/>
    <m/>
    <s v="Commented Video"/>
    <x v="0"/>
    <s v="We don&amp;#39;t have enough because they are UNDERPAID! It&amp;#39;s not rocket science. Keep talking Bernie and getting nothing done!"/>
    <s v="UCwITU6pvKzazXrub5ZdjCCA"/>
    <s v="RoTiSeRiE JoNeS"/>
    <s v="http://www.youtube.com/channel/UCwITU6pvKzazXrub5ZdjCCA"/>
    <m/>
    <s v="Q-YZD2u1mO8"/>
    <s v="https://www.youtube.com/watch?v=Q-YZD2u1mO8"/>
    <s v="none"/>
    <n v="0"/>
    <x v="10"/>
    <d v="2023-02-22T08:41:03.000"/>
    <m/>
    <m/>
    <m/>
    <n v="1"/>
    <n v="3"/>
    <n v="3"/>
    <n v="0"/>
    <n v="0"/>
    <n v="1"/>
    <n v="4.3478260869565215"/>
    <n v="0"/>
    <n v="0"/>
    <n v="5"/>
    <n v="21.73913043478261"/>
    <n v="23"/>
  </r>
  <r>
    <s v="UCiCWDWq680ukV-Uehr_tKjg"/>
    <s v="UCD_DaKNac0Ta-2PeHuoQ1uA"/>
    <s v="128, 128, 128"/>
    <n v="3"/>
    <m/>
    <n v="40"/>
    <m/>
    <m/>
    <m/>
    <m/>
    <s v="No"/>
    <n v="14"/>
    <m/>
    <m/>
    <s v="Commented Video"/>
    <x v="0"/>
    <s v="They should STOP firing people who refused the vax, that might help."/>
    <s v="UCiCWDWq680ukV-Uehr_tKjg"/>
    <s v="Ruth Novena"/>
    <s v="http://www.youtube.com/channel/UCiCWDWq680ukV-Uehr_tKjg"/>
    <m/>
    <s v="Q-YZD2u1mO8"/>
    <s v="https://www.youtube.com/watch?v=Q-YZD2u1mO8"/>
    <s v="none"/>
    <n v="1"/>
    <x v="11"/>
    <d v="2023-02-22T17:13:40.000"/>
    <m/>
    <m/>
    <m/>
    <n v="1"/>
    <n v="3"/>
    <n v="3"/>
    <n v="0"/>
    <n v="0"/>
    <n v="1"/>
    <n v="8.333333333333334"/>
    <n v="0"/>
    <n v="0"/>
    <n v="5"/>
    <n v="41.666666666666664"/>
    <n v="12"/>
  </r>
  <r>
    <s v="UCL9DzZ00vJegnZue-sTdLYQ"/>
    <s v="UCD_DaKNac0Ta-2PeHuoQ1uA"/>
    <s v="128, 128, 128"/>
    <n v="3"/>
    <m/>
    <n v="40"/>
    <m/>
    <m/>
    <m/>
    <m/>
    <s v="No"/>
    <n v="15"/>
    <m/>
    <m/>
    <s v="Commented Video"/>
    <x v="0"/>
    <s v="To Democrats it is a simple and obvious fact is that a healthy and well-educated population is the best way for a country to compete, succeed and excel. The republican party relies on the opposite."/>
    <s v="UCL9DzZ00vJegnZue-sTdLYQ"/>
    <s v="RhondaH"/>
    <s v="http://www.youtube.com/channel/UCL9DzZ00vJegnZue-sTdLYQ"/>
    <m/>
    <s v="Q-YZD2u1mO8"/>
    <s v="https://www.youtube.com/watch?v=Q-YZD2u1mO8"/>
    <s v="none"/>
    <n v="1"/>
    <x v="12"/>
    <d v="2023-02-22T19:43:29.000"/>
    <m/>
    <m/>
    <m/>
    <n v="1"/>
    <n v="3"/>
    <n v="3"/>
    <n v="6"/>
    <n v="16.666666666666668"/>
    <n v="0"/>
    <n v="0"/>
    <n v="0"/>
    <n v="0"/>
    <n v="11"/>
    <n v="30.555555555555557"/>
    <n v="36"/>
  </r>
  <r>
    <s v="UCktXZ0D5zb1AKG4IEeCh6oA"/>
    <s v="UCD_DaKNac0Ta-2PeHuoQ1uA"/>
    <s v="128, 128, 128"/>
    <n v="3"/>
    <m/>
    <n v="40"/>
    <m/>
    <m/>
    <m/>
    <m/>
    <s v="No"/>
    <n v="16"/>
    <m/>
    <m/>
    <s v="Commented Video"/>
    <x v="0"/>
    <s v="Has this liar Cassidy ever met a nursing student in his entire life? These people are constantly in education. Lying snake."/>
    <s v="UCktXZ0D5zb1AKG4IEeCh6oA"/>
    <s v="Mimashrimp"/>
    <s v="http://www.youtube.com/channel/UCktXZ0D5zb1AKG4IEeCh6oA"/>
    <m/>
    <s v="Q-YZD2u1mO8"/>
    <s v="https://www.youtube.com/watch?v=Q-YZD2u1mO8"/>
    <s v="none"/>
    <n v="0"/>
    <x v="13"/>
    <d v="2023-02-22T22:38:39.000"/>
    <m/>
    <m/>
    <m/>
    <n v="1"/>
    <n v="3"/>
    <n v="3"/>
    <n v="0"/>
    <n v="0"/>
    <n v="2"/>
    <n v="9.523809523809524"/>
    <n v="0"/>
    <n v="0"/>
    <n v="10"/>
    <n v="47.61904761904762"/>
    <n v="21"/>
  </r>
  <r>
    <s v="UCek14wf03-ae60a7tBVSq1w"/>
    <s v="UCD_DaKNac0Ta-2PeHuoQ1uA"/>
    <s v="128, 128, 128"/>
    <n v="3"/>
    <m/>
    <n v="40"/>
    <m/>
    <m/>
    <m/>
    <m/>
    <s v="No"/>
    <n v="17"/>
    <m/>
    <m/>
    <s v="Commented Video"/>
    <x v="0"/>
    <s v="I&amp;#39;d love to vote for Bernie in 2024 but if Biden runs, the DNC won&amp;#39;t allow him."/>
    <s v="UCek14wf03-ae60a7tBVSq1w"/>
    <s v="Batgirl P"/>
    <s v="http://www.youtube.com/channel/UCek14wf03-ae60a7tBVSq1w"/>
    <m/>
    <s v="Q-YZD2u1mO8"/>
    <s v="https://www.youtube.com/watch?v=Q-YZD2u1mO8"/>
    <s v="none"/>
    <n v="1"/>
    <x v="14"/>
    <d v="2023-02-23T13:17:45.000"/>
    <m/>
    <m/>
    <m/>
    <n v="1"/>
    <n v="3"/>
    <n v="3"/>
    <n v="2"/>
    <n v="9.523809523809524"/>
    <n v="0"/>
    <n v="0"/>
    <n v="0"/>
    <n v="0"/>
    <n v="6"/>
    <n v="28.571428571428573"/>
    <n v="21"/>
  </r>
  <r>
    <s v="UCEiZM4t4CszDR4hv-Idy3ww"/>
    <s v="UCD_DaKNac0Ta-2PeHuoQ1uA"/>
    <s v="128, 128, 128"/>
    <n v="3"/>
    <m/>
    <n v="40"/>
    <m/>
    <m/>
    <m/>
    <m/>
    <s v="No"/>
    <n v="18"/>
    <m/>
    <m/>
    <s v="Commented Video"/>
    <x v="0"/>
    <s v="He just keeps doing the good WORK, he plows into a body that doesn&amp;#39;t agree with him and does his absolute best every time, what an amazing human being!"/>
    <s v="UCEiZM4t4CszDR4hv-Idy3ww"/>
    <s v="Feuerbach1"/>
    <s v="http://www.youtube.com/channel/UCEiZM4t4CszDR4hv-Idy3ww"/>
    <m/>
    <s v="Q-YZD2u1mO8"/>
    <s v="https://www.youtube.com/watch?v=Q-YZD2u1mO8"/>
    <s v="none"/>
    <n v="2"/>
    <x v="15"/>
    <d v="2023-02-23T22:24:35.000"/>
    <m/>
    <m/>
    <m/>
    <n v="1"/>
    <n v="3"/>
    <n v="3"/>
    <n v="4"/>
    <n v="12.903225806451612"/>
    <n v="0"/>
    <n v="0"/>
    <n v="0"/>
    <n v="0"/>
    <n v="8"/>
    <n v="25.806451612903224"/>
    <n v="31"/>
  </r>
  <r>
    <s v="UCnohTVtCuvNtolRm-tRiGZQ"/>
    <s v="UCD_DaKNac0Ta-2PeHuoQ1uA"/>
    <s v="128, 128, 128"/>
    <n v="3"/>
    <m/>
    <n v="40"/>
    <m/>
    <m/>
    <m/>
    <m/>
    <s v="No"/>
    <n v="19"/>
    <m/>
    <m/>
    <s v="Commented Video"/>
    <x v="0"/>
    <s v="People want to goto school but cannot get aid because of their past."/>
    <s v="UCnohTVtCuvNtolRm-tRiGZQ"/>
    <s v="Corey Anderson"/>
    <s v="http://www.youtube.com/channel/UCnohTVtCuvNtolRm-tRiGZQ"/>
    <m/>
    <s v="Q-YZD2u1mO8"/>
    <s v="https://www.youtube.com/watch?v=Q-YZD2u1mO8"/>
    <s v="none"/>
    <n v="1"/>
    <x v="16"/>
    <d v="2023-02-24T01:51:51.000"/>
    <m/>
    <m/>
    <m/>
    <n v="1"/>
    <n v="3"/>
    <n v="3"/>
    <n v="0"/>
    <n v="0"/>
    <n v="0"/>
    <n v="0"/>
    <n v="0"/>
    <n v="0"/>
    <n v="5"/>
    <n v="38.46153846153846"/>
    <n v="13"/>
  </r>
  <r>
    <s v="UC34S06MNe11xkigcLLQ8s1Q"/>
    <s v="UCD_DaKNac0Ta-2PeHuoQ1uA"/>
    <s v="128, 128, 128"/>
    <n v="3"/>
    <m/>
    <n v="40"/>
    <m/>
    <m/>
    <m/>
    <m/>
    <s v="No"/>
    <n v="20"/>
    <m/>
    <m/>
    <s v="Commented Video"/>
    <x v="0"/>
    <s v="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
    <s v="UC34S06MNe11xkigcLLQ8s1Q"/>
    <s v="Lucha Libre Films"/>
    <s v="http://www.youtube.com/channel/UC34S06MNe11xkigcLLQ8s1Q"/>
    <m/>
    <s v="Q-YZD2u1mO8"/>
    <s v="https://www.youtube.com/watch?v=Q-YZD2u1mO8"/>
    <s v="none"/>
    <n v="1"/>
    <x v="17"/>
    <d v="2023-02-24T06:45:25.000"/>
    <m/>
    <m/>
    <m/>
    <n v="1"/>
    <n v="3"/>
    <n v="3"/>
    <n v="1"/>
    <n v="1.5625"/>
    <n v="3"/>
    <n v="4.6875"/>
    <n v="0"/>
    <n v="0"/>
    <n v="16"/>
    <n v="25"/>
    <n v="64"/>
  </r>
  <r>
    <s v="UC8Ay5N1DiQwnfOJ2tpH1VEw"/>
    <s v="UCD_DaKNac0Ta-2PeHuoQ1uA"/>
    <s v="128, 128, 128"/>
    <n v="3"/>
    <m/>
    <n v="40"/>
    <m/>
    <m/>
    <m/>
    <m/>
    <s v="No"/>
    <n v="21"/>
    <m/>
    <m/>
    <s v="Commented Video"/>
    <x v="0"/>
    <s v="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
    <s v="UC8Ay5N1DiQwnfOJ2tpH1VEw"/>
    <s v="Hoops Macabre"/>
    <s v="http://www.youtube.com/channel/UC8Ay5N1DiQwnfOJ2tpH1VEw"/>
    <m/>
    <s v="Q-YZD2u1mO8"/>
    <s v="https://www.youtube.com/watch?v=Q-YZD2u1mO8"/>
    <s v="none"/>
    <n v="0"/>
    <x v="18"/>
    <d v="2023-02-24T15:13:13.000"/>
    <m/>
    <m/>
    <m/>
    <n v="1"/>
    <n v="3"/>
    <n v="3"/>
    <n v="8"/>
    <n v="12.903225806451612"/>
    <n v="3"/>
    <n v="4.838709677419355"/>
    <n v="0"/>
    <n v="0"/>
    <n v="12"/>
    <n v="19.35483870967742"/>
    <n v="62"/>
  </r>
  <r>
    <s v="UClacwSl8Q-4gHqnADwqIV9A"/>
    <s v="UCD_DaKNac0Ta-2PeHuoQ1uA"/>
    <s v="154, 102, 102"/>
    <n v="10"/>
    <m/>
    <n v="15"/>
    <m/>
    <m/>
    <m/>
    <m/>
    <s v="No"/>
    <n v="22"/>
    <m/>
    <m/>
    <s v="Commented Video"/>
    <x v="0"/>
    <s v="At one time Senator Grassley was aware of what is really going on with psychiatry and psychiatric drugs for some unknow reasons he backed off. He could have done something about the problems."/>
    <s v="UClacwSl8Q-4gHqnADwqIV9A"/>
    <s v="Emilia Abeyta"/>
    <s v="http://www.youtube.com/channel/UClacwSl8Q-4gHqnADwqIV9A"/>
    <m/>
    <s v="Q-YZD2u1mO8"/>
    <s v="https://www.youtube.com/watch?v=Q-YZD2u1mO8"/>
    <s v="none"/>
    <n v="1"/>
    <x v="19"/>
    <d v="2023-02-24T21:43:12.000"/>
    <m/>
    <m/>
    <m/>
    <n v="9"/>
    <n v="3"/>
    <n v="3"/>
    <n v="0"/>
    <n v="0"/>
    <n v="1"/>
    <n v="3.0303030303030303"/>
    <n v="0"/>
    <n v="0"/>
    <n v="10"/>
    <n v="30.303030303030305"/>
    <n v="33"/>
  </r>
  <r>
    <s v="UCutq5-FUVuOX9wMn6rNr_Nw"/>
    <s v="UCD_DaKNac0Ta-2PeHuoQ1uA"/>
    <s v="128, 128, 128"/>
    <n v="3"/>
    <m/>
    <n v="40"/>
    <m/>
    <m/>
    <m/>
    <m/>
    <s v="No"/>
    <n v="23"/>
    <m/>
    <m/>
    <s v="Commented Video"/>
    <x v="0"/>
    <s v="Paul is a waste of brain cells"/>
    <s v="UCutq5-FUVuOX9wMn6rNr_Nw"/>
    <s v="Sylvia Harris"/>
    <s v="http://www.youtube.com/channel/UCutq5-FUVuOX9wMn6rNr_Nw"/>
    <m/>
    <s v="Q-YZD2u1mO8"/>
    <s v="https://www.youtube.com/watch?v=Q-YZD2u1mO8"/>
    <s v="none"/>
    <n v="0"/>
    <x v="20"/>
    <d v="2023-02-25T00:05:19.000"/>
    <m/>
    <m/>
    <m/>
    <n v="1"/>
    <n v="3"/>
    <n v="3"/>
    <n v="0"/>
    <n v="0"/>
    <n v="1"/>
    <n v="14.285714285714286"/>
    <n v="0"/>
    <n v="0"/>
    <n v="3"/>
    <n v="42.857142857142854"/>
    <n v="7"/>
  </r>
  <r>
    <s v="UCqbuCOjnLEgaspaTyUz1l_w"/>
    <s v="UCD_DaKNac0Ta-2PeHuoQ1uA"/>
    <s v="141, 115, 115"/>
    <n v="6.5"/>
    <m/>
    <n v="27.5"/>
    <m/>
    <m/>
    <m/>
    <m/>
    <s v="No"/>
    <n v="24"/>
    <m/>
    <m/>
    <s v="Commented Video"/>
    <x v="0"/>
    <s v="Ty Bernie you are beloved to many just know it 👏🏻"/>
    <s v="UCqbuCOjnLEgaspaTyUz1l_w"/>
    <s v="uptick 888"/>
    <s v="http://www.youtube.com/channel/UCqbuCOjnLEgaspaTyUz1l_w"/>
    <m/>
    <s v="Q-YZD2u1mO8"/>
    <s v="https://www.youtube.com/watch?v=Q-YZD2u1mO8"/>
    <s v="none"/>
    <n v="4"/>
    <x v="21"/>
    <d v="2023-02-25T11:21:05.000"/>
    <m/>
    <m/>
    <m/>
    <n v="4"/>
    <n v="3"/>
    <n v="3"/>
    <n v="1"/>
    <n v="10"/>
    <n v="0"/>
    <n v="0"/>
    <n v="0"/>
    <n v="0"/>
    <n v="2"/>
    <n v="20"/>
    <n v="10"/>
  </r>
  <r>
    <s v="UCSer173vKrwqw0TUSdEPE8g"/>
    <s v="UCD_DaKNac0Ta-2PeHuoQ1uA"/>
    <s v="128, 128, 128"/>
    <n v="3"/>
    <m/>
    <n v="40"/>
    <m/>
    <m/>
    <m/>
    <m/>
    <s v="No"/>
    <n v="25"/>
    <m/>
    <m/>
    <s v="Commented Video"/>
    <x v="0"/>
    <s v="Bill Cassidy is a joke."/>
    <s v="UCSer173vKrwqw0TUSdEPE8g"/>
    <s v="Madronaxyz"/>
    <s v="http://www.youtube.com/channel/UCSer173vKrwqw0TUSdEPE8g"/>
    <m/>
    <s v="Q-YZD2u1mO8"/>
    <s v="https://www.youtube.com/watch?v=Q-YZD2u1mO8"/>
    <s v="none"/>
    <n v="0"/>
    <x v="22"/>
    <d v="2023-02-25T15:26:31.000"/>
    <m/>
    <m/>
    <m/>
    <n v="1"/>
    <n v="3"/>
    <n v="3"/>
    <n v="0"/>
    <n v="0"/>
    <n v="1"/>
    <n v="20"/>
    <n v="0"/>
    <n v="0"/>
    <n v="2"/>
    <n v="40"/>
    <n v="5"/>
  </r>
  <r>
    <s v="UCtzLGcrO-wjBW9bgmvRImUA"/>
    <s v="UCD_DaKNac0Ta-2PeHuoQ1uA"/>
    <s v="128, 128, 128"/>
    <n v="3"/>
    <m/>
    <n v="40"/>
    <m/>
    <m/>
    <m/>
    <m/>
    <s v="No"/>
    <n v="26"/>
    <m/>
    <m/>
    <s v="Commented Video"/>
    <x v="0"/>
    <s v="The man is doing Gods work looking out for the poor, working poor &amp;amp; the middle class."/>
    <s v="UCtzLGcrO-wjBW9bgmvRImUA"/>
    <s v="Rafael Valencia"/>
    <s v="http://www.youtube.com/channel/UCtzLGcrO-wjBW9bgmvRImUA"/>
    <m/>
    <s v="Q-YZD2u1mO8"/>
    <s v="https://www.youtube.com/watch?v=Q-YZD2u1mO8"/>
    <s v="none"/>
    <n v="1"/>
    <x v="23"/>
    <d v="2023-02-25T16:27:27.000"/>
    <m/>
    <m/>
    <m/>
    <n v="1"/>
    <n v="3"/>
    <n v="3"/>
    <n v="1"/>
    <n v="5.882352941176471"/>
    <n v="2"/>
    <n v="11.764705882352942"/>
    <n v="0"/>
    <n v="0"/>
    <n v="5"/>
    <n v="29.41176470588235"/>
    <n v="17"/>
  </r>
  <r>
    <s v="UCI4enAGic-cc5V8eW5JbDTw"/>
    <s v="UCD_DaKNac0Ta-2PeHuoQ1uA"/>
    <s v="128, 128, 128"/>
    <n v="3"/>
    <m/>
    <n v="40"/>
    <m/>
    <m/>
    <m/>
    <m/>
    <s v="No"/>
    <n v="27"/>
    <m/>
    <m/>
    <s v="Commented Video"/>
    <x v="0"/>
    <s v="You go Sander! make it known how dysfunctional to our health system and lack of health care and crisis we facing shortage health professional nurse and doctor in America.From Dr Hebert will said!"/>
    <s v="UCI4enAGic-cc5V8eW5JbDTw"/>
    <s v="Magdelene Domut"/>
    <s v="http://www.youtube.com/channel/UCI4enAGic-cc5V8eW5JbDTw"/>
    <m/>
    <s v="Q-YZD2u1mO8"/>
    <s v="https://www.youtube.com/watch?v=Q-YZD2u1mO8"/>
    <s v="none"/>
    <n v="4"/>
    <x v="24"/>
    <d v="2023-03-02T16:12:34.000"/>
    <m/>
    <m/>
    <m/>
    <n v="1"/>
    <n v="3"/>
    <n v="3"/>
    <n v="0"/>
    <n v="0"/>
    <n v="3"/>
    <n v="8.823529411764707"/>
    <n v="0"/>
    <n v="0"/>
    <n v="14"/>
    <n v="41.1764705882353"/>
    <n v="34"/>
  </r>
  <r>
    <s v="UCSYFDGlCp7PRo2Rus8GgB9A"/>
    <s v="UCD_DaKNac0Ta-2PeHuoQ1uA"/>
    <s v="128, 128, 128"/>
    <n v="3"/>
    <m/>
    <n v="40"/>
    <m/>
    <m/>
    <m/>
    <m/>
    <s v="No"/>
    <n v="28"/>
    <m/>
    <m/>
    <s v="Commented Video"/>
    <x v="0"/>
    <s v="&amp;quot;Get vaxxed or lose your job.&amp;quot; Probably not a good idea."/>
    <s v="UCSYFDGlCp7PRo2Rus8GgB9A"/>
    <s v="99.8% Survivor"/>
    <s v="http://www.youtube.com/channel/UCSYFDGlCp7PRo2Rus8GgB9A"/>
    <m/>
    <s v="Q-YZD2u1mO8"/>
    <s v="https://www.youtube.com/watch?v=Q-YZD2u1mO8"/>
    <s v="none"/>
    <n v="0"/>
    <x v="25"/>
    <d v="2023-02-25T22:13:43.000"/>
    <m/>
    <m/>
    <m/>
    <n v="1"/>
    <n v="3"/>
    <n v="3"/>
    <n v="1"/>
    <n v="7.6923076923076925"/>
    <n v="1"/>
    <n v="7.6923076923076925"/>
    <n v="0"/>
    <n v="0"/>
    <n v="3"/>
    <n v="23.076923076923077"/>
    <n v="13"/>
  </r>
  <r>
    <s v="UCcJoWrE7i5vtupMbTZ7KFSw"/>
    <s v="UCD_DaKNac0Ta-2PeHuoQ1uA"/>
    <s v="128, 128, 128"/>
    <n v="3"/>
    <m/>
    <n v="40"/>
    <m/>
    <m/>
    <m/>
    <m/>
    <s v="No"/>
    <n v="29"/>
    <m/>
    <m/>
    <s v="Commented Video"/>
    <x v="0"/>
    <s v="Thank you Bernie ❤️❤️"/>
    <s v="UCcJoWrE7i5vtupMbTZ7KFSw"/>
    <s v="Liz Liz"/>
    <s v="http://www.youtube.com/channel/UCcJoWrE7i5vtupMbTZ7KFSw"/>
    <m/>
    <s v="Q-YZD2u1mO8"/>
    <s v="https://www.youtube.com/watch?v=Q-YZD2u1mO8"/>
    <s v="none"/>
    <n v="1"/>
    <x v="26"/>
    <d v="2023-02-26T12:01:48.000"/>
    <m/>
    <m/>
    <m/>
    <n v="1"/>
    <n v="3"/>
    <n v="3"/>
    <n v="0"/>
    <n v="0"/>
    <n v="0"/>
    <n v="0"/>
    <n v="0"/>
    <n v="0"/>
    <n v="1"/>
    <n v="33.333333333333336"/>
    <n v="3"/>
  </r>
  <r>
    <s v="UCueRQvl3kUXIQlDatz0bTlA"/>
    <s v="UCD_DaKNac0Ta-2PeHuoQ1uA"/>
    <s v="128, 128, 128"/>
    <n v="3"/>
    <m/>
    <n v="40"/>
    <m/>
    <m/>
    <m/>
    <m/>
    <s v="No"/>
    <n v="30"/>
    <m/>
    <m/>
    <s v="Commented Video"/>
    <x v="0"/>
    <s v="Thanks bernie!"/>
    <s v="UCueRQvl3kUXIQlDatz0bTlA"/>
    <s v="Pablo Trobo"/>
    <s v="http://www.youtube.com/channel/UCueRQvl3kUXIQlDatz0bTlA"/>
    <m/>
    <s v="Q-YZD2u1mO8"/>
    <s v="https://www.youtube.com/watch?v=Q-YZD2u1mO8"/>
    <s v="none"/>
    <n v="0"/>
    <x v="27"/>
    <d v="2023-03-01T17:43:57.000"/>
    <m/>
    <m/>
    <m/>
    <n v="1"/>
    <n v="3"/>
    <n v="3"/>
    <n v="0"/>
    <n v="0"/>
    <n v="0"/>
    <n v="0"/>
    <n v="0"/>
    <n v="0"/>
    <n v="1"/>
    <n v="50"/>
    <n v="2"/>
  </r>
  <r>
    <s v="UCKSOfRPNVFNNnwZQ8yy26Ww"/>
    <s v="UCD_DaKNac0Ta-2PeHuoQ1uA"/>
    <s v="128, 128, 128"/>
    <n v="3"/>
    <m/>
    <n v="40"/>
    <m/>
    <m/>
    <m/>
    <m/>
    <s v="No"/>
    <n v="31"/>
    <m/>
    <m/>
    <s v="Commented Video"/>
    <x v="0"/>
    <s v="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
    <s v="UCKSOfRPNVFNNnwZQ8yy26Ww"/>
    <s v="Lorraine Herman"/>
    <s v="http://www.youtube.com/channel/UCKSOfRPNVFNNnwZQ8yy26Ww"/>
    <m/>
    <s v="Q-YZD2u1mO8"/>
    <s v="https://www.youtube.com/watch?v=Q-YZD2u1mO8"/>
    <s v="none"/>
    <n v="2"/>
    <x v="28"/>
    <d v="2023-03-01T18:01:48.000"/>
    <m/>
    <m/>
    <m/>
    <n v="1"/>
    <n v="3"/>
    <n v="3"/>
    <n v="1"/>
    <n v="0.704225352112676"/>
    <n v="2"/>
    <n v="1.408450704225352"/>
    <n v="0"/>
    <n v="0"/>
    <n v="64"/>
    <n v="45.070422535211264"/>
    <n v="142"/>
  </r>
  <r>
    <s v="UCM3K5dhNZVewZSMkOIM-Obw"/>
    <s v="UCD_DaKNac0Ta-2PeHuoQ1uA"/>
    <s v="141, 115, 115"/>
    <n v="6.5"/>
    <m/>
    <n v="27.5"/>
    <m/>
    <m/>
    <m/>
    <m/>
    <s v="No"/>
    <n v="32"/>
    <m/>
    <m/>
    <s v="Commented Video"/>
    <x v="0"/>
    <s v="Thank You.Mr.Bernie Sanders.Thank You ❤️❤️❤️❤️❤️❤️❤️❤️❤️❤️❤️❤️❤️❤️❤️❤️❤️❤️"/>
    <s v="UCM3K5dhNZVewZSMkOIM-Obw"/>
    <s v="crystal pope"/>
    <s v="http://www.youtube.com/channel/UCM3K5dhNZVewZSMkOIM-Obw"/>
    <m/>
    <s v="Q-YZD2u1mO8"/>
    <s v="https://www.youtube.com/watch?v=Q-YZD2u1mO8"/>
    <s v="none"/>
    <n v="0"/>
    <x v="29"/>
    <d v="2023-03-02T05:30:18.000"/>
    <m/>
    <m/>
    <m/>
    <n v="4"/>
    <n v="3"/>
    <n v="3"/>
    <n v="0"/>
    <n v="0"/>
    <n v="0"/>
    <n v="0"/>
    <n v="0"/>
    <n v="0"/>
    <n v="2"/>
    <n v="28.571428571428573"/>
    <n v="7"/>
  </r>
  <r>
    <s v="UCDVI8Mu_DP44C1H7oNNGByQ"/>
    <s v="UCD_DaKNac0Ta-2PeHuoQ1uA"/>
    <s v="128, 128, 128"/>
    <n v="3"/>
    <m/>
    <n v="40"/>
    <m/>
    <m/>
    <m/>
    <m/>
    <s v="No"/>
    <n v="33"/>
    <m/>
    <m/>
    <s v="Commented Video"/>
    <x v="0"/>
    <s v="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
    <s v="UCDVI8Mu_DP44C1H7oNNGByQ"/>
    <s v="Green-Eyed Child"/>
    <s v="http://www.youtube.com/channel/UCDVI8Mu_DP44C1H7oNNGByQ"/>
    <m/>
    <s v="Q-YZD2u1mO8"/>
    <s v="https://www.youtube.com/watch?v=Q-YZD2u1mO8"/>
    <s v="none"/>
    <n v="0"/>
    <x v="30"/>
    <d v="2023-03-02T05:51:44.000"/>
    <m/>
    <m/>
    <m/>
    <n v="1"/>
    <n v="3"/>
    <n v="3"/>
    <n v="3"/>
    <n v="1.3274336283185841"/>
    <n v="7"/>
    <n v="3.0973451327433628"/>
    <n v="0"/>
    <n v="0"/>
    <n v="68"/>
    <n v="30.088495575221238"/>
    <n v="226"/>
  </r>
  <r>
    <s v="UCYQzjLqyfdbgl-f86cDs55A"/>
    <s v="UCD_DaKNac0Ta-2PeHuoQ1uA"/>
    <s v="141, 115, 115"/>
    <n v="6.5"/>
    <m/>
    <n v="27.5"/>
    <m/>
    <m/>
    <m/>
    <m/>
    <s v="No"/>
    <n v="34"/>
    <m/>
    <m/>
    <s v="Commented Video"/>
    <x v="0"/>
    <s v="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
    <s v="UCYQzjLqyfdbgl-f86cDs55A"/>
    <s v="supaipaii"/>
    <s v="http://www.youtube.com/channel/UCYQzjLqyfdbgl-f86cDs55A"/>
    <m/>
    <s v="Q-YZD2u1mO8"/>
    <s v="https://www.youtube.com/watch?v=Q-YZD2u1mO8"/>
    <s v="none"/>
    <n v="0"/>
    <x v="31"/>
    <d v="2023-03-02T16:35:41.000"/>
    <m/>
    <m/>
    <m/>
    <n v="4"/>
    <n v="3"/>
    <n v="3"/>
    <n v="1"/>
    <n v="1.7241379310344827"/>
    <n v="0"/>
    <n v="0"/>
    <n v="0"/>
    <n v="0"/>
    <n v="16"/>
    <n v="27.586206896551722"/>
    <n v="58"/>
  </r>
  <r>
    <s v="UCVYh_gqHZVfmKQajmZUBoEA"/>
    <s v="UCD_DaKNac0Ta-2PeHuoQ1uA"/>
    <s v="141, 115, 115"/>
    <n v="6.5"/>
    <m/>
    <n v="27.5"/>
    <m/>
    <m/>
    <m/>
    <m/>
    <s v="No"/>
    <n v="35"/>
    <m/>
    <m/>
    <s v="Commented Video"/>
    <x v="0"/>
    <s v="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
    <s v="UCVYh_gqHZVfmKQajmZUBoEA"/>
    <s v="Sharon Olson"/>
    <s v="http://www.youtube.com/channel/UCVYh_gqHZVfmKQajmZUBoEA"/>
    <m/>
    <s v="Q-YZD2u1mO8"/>
    <s v="https://www.youtube.com/watch?v=Q-YZD2u1mO8"/>
    <s v="none"/>
    <n v="2"/>
    <x v="32"/>
    <d v="2023-03-09T12:32:57.000"/>
    <m/>
    <m/>
    <m/>
    <n v="4"/>
    <n v="3"/>
    <n v="3"/>
    <n v="3"/>
    <n v="3.3707865168539324"/>
    <n v="4"/>
    <n v="4.49438202247191"/>
    <n v="0"/>
    <n v="0"/>
    <n v="24"/>
    <n v="26.96629213483146"/>
    <n v="89"/>
  </r>
  <r>
    <s v="UCf5h3N-zwGa833s_n8W4p8Q"/>
    <s v="UCD_DaKNac0Ta-2PeHuoQ1uA"/>
    <s v="212, 43, 43"/>
    <n v="10"/>
    <m/>
    <n v="15"/>
    <m/>
    <m/>
    <m/>
    <m/>
    <s v="No"/>
    <n v="36"/>
    <m/>
    <m/>
    <s v="Commented Video"/>
    <x v="0"/>
    <s v="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
    <s v="UCf5h3N-zwGa833s_n8W4p8Q"/>
    <s v="STK"/>
    <s v="http://www.youtube.com/channel/UCf5h3N-zwGa833s_n8W4p8Q"/>
    <m/>
    <s v="Q-YZD2u1mO8"/>
    <s v="https://www.youtube.com/watch?v=Q-YZD2u1mO8"/>
    <s v="none"/>
    <n v="0"/>
    <x v="33"/>
    <d v="2023-03-10T05:51:40.000"/>
    <m/>
    <m/>
    <m/>
    <n v="49"/>
    <n v="3"/>
    <n v="3"/>
    <n v="3"/>
    <n v="2.6548672566371683"/>
    <n v="6"/>
    <n v="5.3097345132743365"/>
    <n v="0"/>
    <n v="0"/>
    <n v="33"/>
    <n v="29.20353982300885"/>
    <n v="113"/>
  </r>
  <r>
    <s v="UCmyFx09lsrSah2z_EkyEZMw"/>
    <s v="UCD_DaKNac0Ta-2PeHuoQ1uA"/>
    <s v="128, 128, 128"/>
    <n v="3"/>
    <m/>
    <n v="40"/>
    <m/>
    <m/>
    <m/>
    <m/>
    <s v="No"/>
    <n v="37"/>
    <m/>
    <m/>
    <s v="Commented Video"/>
    <x v="0"/>
    <s v="Bernie is obsolete - retire."/>
    <s v="UCmyFx09lsrSah2z_EkyEZMw"/>
    <s v="David"/>
    <s v="http://www.youtube.com/channel/UCmyFx09lsrSah2z_EkyEZMw"/>
    <m/>
    <s v="Q-YZD2u1mO8"/>
    <s v="https://www.youtube.com/watch?v=Q-YZD2u1mO8"/>
    <s v="none"/>
    <n v="0"/>
    <x v="34"/>
    <d v="2023-03-10T09:10:08.000"/>
    <m/>
    <m/>
    <m/>
    <n v="1"/>
    <n v="3"/>
    <n v="3"/>
    <n v="0"/>
    <n v="0"/>
    <n v="1"/>
    <n v="25"/>
    <n v="0"/>
    <n v="0"/>
    <n v="2"/>
    <n v="50"/>
    <n v="4"/>
  </r>
  <r>
    <s v="UCZdbdQpslVEy0Uzibu-pNDQ"/>
    <s v="UCD_DaKNac0Ta-2PeHuoQ1uA"/>
    <s v="128, 128, 128"/>
    <n v="3"/>
    <m/>
    <n v="40"/>
    <m/>
    <m/>
    <m/>
    <m/>
    <s v="No"/>
    <n v="38"/>
    <m/>
    <m/>
    <s v="Commented Video"/>
    <x v="0"/>
    <s v="What a bunch of psychopaths. They want to focus on D.I.E. in an emergency shortage and bring in more special interests. This let&amp;#39;s everyone know this is not a serious group of people addressing an emergency."/>
    <s v="UCZdbdQpslVEy0Uzibu-pNDQ"/>
    <s v="Dustin H"/>
    <s v="http://www.youtube.com/channel/UCZdbdQpslVEy0Uzibu-pNDQ"/>
    <m/>
    <s v="Q-YZD2u1mO8"/>
    <s v="https://www.youtube.com/watch?v=Q-YZD2u1mO8"/>
    <s v="none"/>
    <n v="0"/>
    <x v="35"/>
    <d v="2023-03-10T15:39:11.000"/>
    <m/>
    <m/>
    <m/>
    <n v="1"/>
    <n v="3"/>
    <n v="3"/>
    <n v="1"/>
    <n v="2.5"/>
    <n v="3"/>
    <n v="7.5"/>
    <n v="0"/>
    <n v="0"/>
    <n v="8"/>
    <n v="20"/>
    <n v="40"/>
  </r>
  <r>
    <s v="UC1bikyZsfnqh-YJGhxelxfg"/>
    <s v="UCD_DaKNac0Ta-2PeHuoQ1uA"/>
    <s v="128, 128, 128"/>
    <n v="3"/>
    <m/>
    <n v="40"/>
    <m/>
    <m/>
    <m/>
    <m/>
    <s v="No"/>
    <n v="39"/>
    <m/>
    <m/>
    <s v="Commented Video"/>
    <x v="0"/>
    <s v="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
    <s v="UC1bikyZsfnqh-YJGhxelxfg"/>
    <s v="Dee Mustafa"/>
    <s v="http://www.youtube.com/channel/UC1bikyZsfnqh-YJGhxelxfg"/>
    <m/>
    <s v="Q-YZD2u1mO8"/>
    <s v="https://www.youtube.com/watch?v=Q-YZD2u1mO8"/>
    <s v="none"/>
    <n v="0"/>
    <x v="36"/>
    <d v="2023-03-10T21:14:50.000"/>
    <m/>
    <m/>
    <m/>
    <n v="1"/>
    <n v="3"/>
    <n v="3"/>
    <n v="3"/>
    <n v="3.7037037037037037"/>
    <n v="5"/>
    <n v="6.172839506172839"/>
    <n v="0"/>
    <n v="0"/>
    <n v="27"/>
    <n v="33.333333333333336"/>
    <n v="81"/>
  </r>
  <r>
    <s v="UCbjPfNmN2iP2cFaj2cnL3MQ"/>
    <s v="UCD_DaKNac0Ta-2PeHuoQ1uA"/>
    <s v="128, 128, 128"/>
    <n v="3"/>
    <m/>
    <n v="40"/>
    <m/>
    <m/>
    <m/>
    <m/>
    <s v="No"/>
    <n v="40"/>
    <m/>
    <m/>
    <s v="Commented Video"/>
    <x v="0"/>
    <s v="And older adults issue"/>
    <s v="UCbjPfNmN2iP2cFaj2cnL3MQ"/>
    <s v="Linda Hauk"/>
    <s v="http://www.youtube.com/channel/UCbjPfNmN2iP2cFaj2cnL3MQ"/>
    <m/>
    <s v="Q-YZD2u1mO8"/>
    <s v="https://www.youtube.com/watch?v=Q-YZD2u1mO8"/>
    <s v="none"/>
    <n v="0"/>
    <x v="37"/>
    <d v="2023-03-10T22:16:00.000"/>
    <m/>
    <m/>
    <m/>
    <n v="1"/>
    <n v="3"/>
    <n v="3"/>
    <n v="0"/>
    <n v="0"/>
    <n v="1"/>
    <n v="25"/>
    <n v="0"/>
    <n v="0"/>
    <n v="1"/>
    <n v="25"/>
    <n v="4"/>
  </r>
  <r>
    <s v="UCKQy6753tWI7LAigt5xt4HA"/>
    <s v="UCD_DaKNac0Ta-2PeHuoQ1uA"/>
    <s v="171, 85, 85"/>
    <n v="10"/>
    <m/>
    <n v="15"/>
    <m/>
    <m/>
    <m/>
    <m/>
    <s v="No"/>
    <n v="41"/>
    <m/>
    <m/>
    <s v="Commented Video"/>
    <x v="0"/>
    <s v="By the way crowdsource the analysis of anonymized health data. Use unadulterated and independent open source AI to aid analysis, diagnosis, note taking/sharing to patients more data which will get us closer to real cures and therapies."/>
    <s v="UCKQy6753tWI7LAigt5xt4HA"/>
    <s v="Jack O'Brien"/>
    <s v="http://www.youtube.com/channel/UCKQy6753tWI7LAigt5xt4HA"/>
    <m/>
    <s v="Q-YZD2u1mO8"/>
    <s v="https://www.youtube.com/watch?v=Q-YZD2u1mO8"/>
    <s v="none"/>
    <n v="0"/>
    <x v="38"/>
    <d v="2023-03-11T19:57:14.000"/>
    <m/>
    <m/>
    <m/>
    <n v="16"/>
    <n v="3"/>
    <n v="3"/>
    <n v="0"/>
    <n v="0"/>
    <n v="0"/>
    <n v="0"/>
    <n v="0"/>
    <n v="0"/>
    <n v="21"/>
    <n v="55.26315789473684"/>
    <n v="38"/>
  </r>
  <r>
    <s v="UCpioEt1X_ZKOfTGhcexjZTA"/>
    <s v="UCD_DaKNac0Ta-2PeHuoQ1uA"/>
    <s v="128, 128, 128"/>
    <n v="3"/>
    <m/>
    <n v="40"/>
    <m/>
    <m/>
    <m/>
    <m/>
    <s v="No"/>
    <n v="42"/>
    <m/>
    <m/>
    <s v="Commented Video"/>
    <x v="0"/>
    <s v="How do you think this country might&amp;#39;ve benefitted if Senator Sanders - not actually subverted twice by the DNC - had been the President in place of both DJT and JRB?"/>
    <s v="UCpioEt1X_ZKOfTGhcexjZTA"/>
    <s v="Method Raw"/>
    <s v="http://www.youtube.com/channel/UCpioEt1X_ZKOfTGhcexjZTA"/>
    <m/>
    <s v="Q-YZD2u1mO8"/>
    <s v="https://www.youtube.com/watch?v=Q-YZD2u1mO8"/>
    <s v="none"/>
    <n v="0"/>
    <x v="39"/>
    <d v="2023-03-12T01:13:10.000"/>
    <m/>
    <m/>
    <m/>
    <n v="1"/>
    <n v="3"/>
    <n v="3"/>
    <n v="0"/>
    <n v="0"/>
    <n v="0"/>
    <n v="0"/>
    <n v="0"/>
    <n v="0"/>
    <n v="12"/>
    <n v="38.70967741935484"/>
    <n v="31"/>
  </r>
  <r>
    <s v="UCTMmj0ljprXNyUDcm4D2IKA"/>
    <s v="UCD_DaKNac0Ta-2PeHuoQ1uA"/>
    <s v="128, 128, 128"/>
    <n v="3"/>
    <m/>
    <n v="40"/>
    <m/>
    <m/>
    <m/>
    <m/>
    <s v="No"/>
    <n v="43"/>
    <m/>
    <m/>
    <s v="Commented Video"/>
    <x v="0"/>
    <s v="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
    <s v="UCTMmj0ljprXNyUDcm4D2IKA"/>
    <s v="Libby Holt"/>
    <s v="http://www.youtube.com/channel/UCTMmj0ljprXNyUDcm4D2IKA"/>
    <m/>
    <s v="Q-YZD2u1mO8"/>
    <s v="https://www.youtube.com/watch?v=Q-YZD2u1mO8"/>
    <s v="none"/>
    <n v="0"/>
    <x v="40"/>
    <d v="2023-03-12T04:12:50.000"/>
    <m/>
    <m/>
    <m/>
    <n v="1"/>
    <n v="3"/>
    <n v="3"/>
    <n v="8"/>
    <n v="4.060913705583756"/>
    <n v="5"/>
    <n v="2.5380710659898478"/>
    <n v="0"/>
    <n v="0"/>
    <n v="68"/>
    <n v="34.51776649746193"/>
    <n v="197"/>
  </r>
  <r>
    <s v="UCZ7HPa_lqEDxBrc4-Mgtq8w"/>
    <s v="UCD_DaKNac0Ta-2PeHuoQ1uA"/>
    <s v="229, 26, 26"/>
    <n v="10"/>
    <m/>
    <n v="15"/>
    <m/>
    <m/>
    <m/>
    <m/>
    <s v="No"/>
    <n v="44"/>
    <m/>
    <m/>
    <s v="Commented Video"/>
    <x v="0"/>
    <s v="🤲🙏Yes this COVID more people need too order the government test and also no that COVID do not have any color ethnicity religion culture way of lifestyles. COVID is A plaque we need to monitor I never thought 💭🤔🤓🧠🍎 I would say but with so many coming into the country. We need too make sure people have their traveling shot&amp;#39;s and for our mercy ships and doctors among border&amp;#39;s they travel all around the world 🌎🌍. This is why we have A shortage most of them are private doctor&amp;#39;s by appointment only they are not clinics those are good for emergency and the er are too filled."/>
    <s v="UCZ7HPa_lqEDxBrc4-Mgtq8w"/>
    <s v="Demisia Lockett"/>
    <s v="http://www.youtube.com/channel/UCZ7HPa_lqEDxBrc4-Mgtq8w"/>
    <m/>
    <s v="Q-YZD2u1mO8"/>
    <s v="https://www.youtube.com/watch?v=Q-YZD2u1mO8"/>
    <s v="none"/>
    <n v="0"/>
    <x v="41"/>
    <d v="2023-03-12T15:43:08.000"/>
    <m/>
    <m/>
    <m/>
    <n v="64"/>
    <n v="3"/>
    <n v="3"/>
    <n v="2"/>
    <n v="1.8018018018018018"/>
    <n v="2"/>
    <n v="1.8018018018018018"/>
    <n v="0"/>
    <n v="0"/>
    <n v="29"/>
    <n v="26.126126126126128"/>
    <n v="111"/>
  </r>
  <r>
    <s v="UCGEt10_xOuvn17EXdYzD3VA"/>
    <s v="UCD_DaKNac0Ta-2PeHuoQ1uA"/>
    <s v="141, 115, 115"/>
    <n v="6.5"/>
    <m/>
    <n v="27.5"/>
    <m/>
    <m/>
    <m/>
    <m/>
    <s v="No"/>
    <n v="45"/>
    <m/>
    <m/>
    <s v="Commented Video"/>
    <x v="0"/>
    <s v="Check the profits in health care.  The fraud in healthcare.  Pharma profits."/>
    <s v="UCGEt10_xOuvn17EXdYzD3VA"/>
    <s v="jmdec20"/>
    <s v="http://www.youtube.com/channel/UCGEt10_xOuvn17EXdYzD3VA"/>
    <m/>
    <s v="Q-YZD2u1mO8"/>
    <s v="https://www.youtube.com/watch?v=Q-YZD2u1mO8"/>
    <s v="none"/>
    <n v="0"/>
    <x v="42"/>
    <d v="2023-03-12T18:32:34.000"/>
    <m/>
    <m/>
    <m/>
    <n v="4"/>
    <n v="3"/>
    <n v="3"/>
    <n v="0"/>
    <n v="0"/>
    <n v="1"/>
    <n v="8.333333333333334"/>
    <n v="0"/>
    <n v="0"/>
    <n v="7"/>
    <n v="58.333333333333336"/>
    <n v="12"/>
  </r>
  <r>
    <s v="UCOYrsFO8yTAYzqTx8kjwMLg"/>
    <s v="UCD_DaKNac0Ta-2PeHuoQ1uA"/>
    <s v="128, 128, 128"/>
    <n v="3"/>
    <m/>
    <n v="40"/>
    <m/>
    <m/>
    <m/>
    <m/>
    <s v="No"/>
    <n v="46"/>
    <m/>
    <m/>
    <s v="Commented Video"/>
    <x v="0"/>
    <s v="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
    <s v="UCOYrsFO8yTAYzqTx8kjwMLg"/>
    <s v="My Eye"/>
    <s v="http://www.youtube.com/channel/UCOYrsFO8yTAYzqTx8kjwMLg"/>
    <m/>
    <s v="Q-YZD2u1mO8"/>
    <s v="https://www.youtube.com/watch?v=Q-YZD2u1mO8"/>
    <s v="none"/>
    <n v="0"/>
    <x v="43"/>
    <d v="2023-03-13T01:23:56.000"/>
    <m/>
    <m/>
    <m/>
    <n v="1"/>
    <n v="3"/>
    <n v="3"/>
    <n v="2"/>
    <n v="4"/>
    <n v="1"/>
    <n v="2"/>
    <n v="0"/>
    <n v="0"/>
    <n v="21"/>
    <n v="42"/>
    <n v="50"/>
  </r>
  <r>
    <s v="UCR5cSOytpbVX77dps5opAVQ"/>
    <s v="UCD_DaKNac0Ta-2PeHuoQ1uA"/>
    <s v="128, 128, 128"/>
    <n v="3"/>
    <m/>
    <n v="40"/>
    <m/>
    <m/>
    <m/>
    <m/>
    <s v="No"/>
    <n v="47"/>
    <m/>
    <m/>
    <s v="Commented Video"/>
    <x v="0"/>
    <s v="Bernie ♥️ GOAT x"/>
    <s v="UCR5cSOytpbVX77dps5opAVQ"/>
    <s v="Heidithesausage"/>
    <s v="http://www.youtube.com/channel/UCR5cSOytpbVX77dps5opAVQ"/>
    <m/>
    <s v="Q-YZD2u1mO8"/>
    <s v="https://www.youtube.com/watch?v=Q-YZD2u1mO8"/>
    <s v="none"/>
    <n v="0"/>
    <x v="44"/>
    <d v="2023-03-13T05:16:53.000"/>
    <m/>
    <m/>
    <m/>
    <n v="1"/>
    <n v="3"/>
    <n v="3"/>
    <n v="0"/>
    <n v="0"/>
    <n v="0"/>
    <n v="0"/>
    <n v="0"/>
    <n v="0"/>
    <n v="2"/>
    <n v="66.66666666666667"/>
    <n v="3"/>
  </r>
  <r>
    <s v="UCj0xj7vufSC4d2qdDPt8RFQ"/>
    <s v="UCD_DaKNac0Ta-2PeHuoQ1uA"/>
    <s v="128, 128, 128"/>
    <n v="3"/>
    <m/>
    <n v="40"/>
    <m/>
    <m/>
    <m/>
    <m/>
    <s v="No"/>
    <n v="48"/>
    <m/>
    <m/>
    <s v="Commented Video"/>
    <x v="0"/>
    <s v="Most nurses I&amp;#39;ve met have been aholes."/>
    <s v="UCj0xj7vufSC4d2qdDPt8RFQ"/>
    <s v="Cheeto Bandido"/>
    <s v="http://www.youtube.com/channel/UCj0xj7vufSC4d2qdDPt8RFQ"/>
    <m/>
    <s v="Q-YZD2u1mO8"/>
    <s v="https://www.youtube.com/watch?v=Q-YZD2u1mO8"/>
    <s v="none"/>
    <n v="2"/>
    <x v="45"/>
    <d v="2023-03-13T15:19:34.000"/>
    <m/>
    <m/>
    <m/>
    <n v="1"/>
    <n v="3"/>
    <n v="3"/>
    <n v="0"/>
    <n v="0"/>
    <n v="0"/>
    <n v="0"/>
    <n v="0"/>
    <n v="0"/>
    <n v="4"/>
    <n v="44.44444444444444"/>
    <n v="9"/>
  </r>
  <r>
    <s v="UCfFhBUE44pALXjKfTee7hLQ"/>
    <s v="UCD_DaKNac0Ta-2PeHuoQ1uA"/>
    <s v="128, 128, 128"/>
    <n v="3"/>
    <m/>
    <n v="40"/>
    <m/>
    <m/>
    <m/>
    <m/>
    <s v="No"/>
    <n v="49"/>
    <m/>
    <m/>
    <s v="Commented Video"/>
    <x v="0"/>
    <s v="Thank Bernie!  You’re the real hero the Americans need.  Thank you for maintaining the battle for all justices and equality since you were a kid, almost your entire life!  Thank you for your burning.  You’re the live if the working people."/>
    <s v="UCfFhBUE44pALXjKfTee7hLQ"/>
    <s v="Gloria Arevalo"/>
    <s v="http://www.youtube.com/channel/UCfFhBUE44pALXjKfTee7hLQ"/>
    <m/>
    <s v="Q-YZD2u1mO8"/>
    <s v="https://www.youtube.com/watch?v=Q-YZD2u1mO8"/>
    <s v="none"/>
    <n v="0"/>
    <x v="46"/>
    <d v="2023-03-13T17:12:04.000"/>
    <m/>
    <m/>
    <m/>
    <n v="1"/>
    <n v="3"/>
    <n v="3"/>
    <n v="1"/>
    <n v="2.3255813953488373"/>
    <n v="1"/>
    <n v="2.3255813953488373"/>
    <n v="0"/>
    <n v="0"/>
    <n v="13"/>
    <n v="30.232558139534884"/>
    <n v="43"/>
  </r>
  <r>
    <s v="UCUoMJrpGe38iR6lAtceq0uw"/>
    <s v="UCD_DaKNac0Ta-2PeHuoQ1uA"/>
    <s v="128, 128, 128"/>
    <n v="3"/>
    <m/>
    <n v="40"/>
    <m/>
    <m/>
    <m/>
    <m/>
    <s v="No"/>
    <n v="50"/>
    <m/>
    <m/>
    <s v="Commented Video"/>
    <x v="0"/>
    <s v="I voted for him. Instead we got Brandon. So sad how we went down and will continue. Ppl wanted $15 an hour which lead to all this inflation. Greed led to inflation"/>
    <s v="UCUoMJrpGe38iR6lAtceq0uw"/>
    <s v="Rajaa Sobh"/>
    <s v="http://www.youtube.com/channel/UCUoMJrpGe38iR6lAtceq0uw"/>
    <m/>
    <s v="Q-YZD2u1mO8"/>
    <s v="https://www.youtube.com/watch?v=Q-YZD2u1mO8"/>
    <s v="none"/>
    <n v="0"/>
    <x v="47"/>
    <d v="2023-03-13T17:21:44.000"/>
    <m/>
    <m/>
    <m/>
    <n v="1"/>
    <n v="3"/>
    <n v="3"/>
    <n v="2"/>
    <n v="6.25"/>
    <n v="2"/>
    <n v="6.25"/>
    <n v="0"/>
    <n v="0"/>
    <n v="8"/>
    <n v="25"/>
    <n v="32"/>
  </r>
  <r>
    <s v="UCf2Sg6ACXrN4uMekL4QtubA"/>
    <s v="UCD_DaKNac0Ta-2PeHuoQ1uA"/>
    <s v="141, 115, 115"/>
    <n v="6.5"/>
    <m/>
    <n v="27.5"/>
    <m/>
    <m/>
    <m/>
    <m/>
    <s v="No"/>
    <n v="51"/>
    <m/>
    <m/>
    <s v="Commented Video"/>
    <x v="0"/>
    <s v="USA IS 3RD WORLD WITHOUT MEDICARE 4ALL RIGHT NOW."/>
    <s v="UCf2Sg6ACXrN4uMekL4QtubA"/>
    <s v="WideEyedChild"/>
    <s v="http://www.youtube.com/channel/UCf2Sg6ACXrN4uMekL4QtubA"/>
    <m/>
    <s v="Q-YZD2u1mO8"/>
    <s v="https://www.youtube.com/watch?v=Q-YZD2u1mO8"/>
    <s v="none"/>
    <n v="0"/>
    <x v="48"/>
    <d v="2023-03-11T03:21:14.000"/>
    <m/>
    <m/>
    <m/>
    <n v="4"/>
    <n v="3"/>
    <n v="3"/>
    <n v="1"/>
    <n v="11.11111111111111"/>
    <n v="0"/>
    <n v="0"/>
    <n v="0"/>
    <n v="0"/>
    <n v="5"/>
    <n v="55.55555555555556"/>
    <n v="9"/>
  </r>
  <r>
    <s v="UCPgZ9MTye-9cBs1V0zlCMIQ"/>
    <s v="UCD_DaKNac0Ta-2PeHuoQ1uA"/>
    <s v="184, 72, 72"/>
    <n v="10"/>
    <m/>
    <n v="15"/>
    <m/>
    <m/>
    <m/>
    <m/>
    <s v="No"/>
    <n v="52"/>
    <m/>
    <m/>
    <s v="Commented Video"/>
    <x v="0"/>
    <s v="There are people who want to be doctors but there aren’t enough places for them to be in medical schools. We don’t have enough teaching hospitals."/>
    <s v="UCPgZ9MTye-9cBs1V0zlCMIQ"/>
    <s v="Janie K Carney"/>
    <s v="http://www.youtube.com/channel/UCPgZ9MTye-9cBs1V0zlCMIQ"/>
    <m/>
    <s v="Q-YZD2u1mO8"/>
    <s v="https://www.youtube.com/watch?v=Q-YZD2u1mO8"/>
    <s v="none"/>
    <n v="2"/>
    <x v="49"/>
    <d v="2023-03-14T01:47:03.000"/>
    <m/>
    <m/>
    <m/>
    <n v="25"/>
    <n v="3"/>
    <n v="3"/>
    <n v="0"/>
    <n v="0"/>
    <n v="0"/>
    <n v="0"/>
    <n v="0"/>
    <n v="0"/>
    <n v="7"/>
    <n v="25"/>
    <n v="28"/>
  </r>
  <r>
    <s v="UCmoEwJy-a4hat88aVrWKpXQ"/>
    <s v="UCD_DaKNac0Ta-2PeHuoQ1uA"/>
    <s v="128, 128, 128"/>
    <n v="3"/>
    <m/>
    <n v="40"/>
    <m/>
    <m/>
    <m/>
    <m/>
    <s v="No"/>
    <n v="53"/>
    <m/>
    <m/>
    <s v="Commented Video"/>
    <x v="0"/>
    <s v="Shocking that senator Braun can&amp;#39;t get people to show up for work. I wouldn&amp;#39;t work for him, either. He&amp;#39;s a jerk."/>
    <s v="UCmoEwJy-a4hat88aVrWKpXQ"/>
    <s v="Stephanie King"/>
    <s v="http://www.youtube.com/channel/UCmoEwJy-a4hat88aVrWKpXQ"/>
    <m/>
    <s v="Q-YZD2u1mO8"/>
    <s v="https://www.youtube.com/watch?v=Q-YZD2u1mO8"/>
    <s v="none"/>
    <n v="0"/>
    <x v="50"/>
    <d v="2023-03-14T02:47:49.000"/>
    <m/>
    <m/>
    <m/>
    <n v="1"/>
    <n v="3"/>
    <n v="3"/>
    <n v="2"/>
    <n v="7.407407407407407"/>
    <n v="2"/>
    <n v="7.407407407407407"/>
    <n v="0"/>
    <n v="0"/>
    <n v="4"/>
    <n v="14.814814814814815"/>
    <n v="27"/>
  </r>
  <r>
    <s v="UCD0wnC9-8SapHHvHjbsawLQ"/>
    <s v="UCD_DaKNac0Ta-2PeHuoQ1uA"/>
    <s v="128, 128, 128"/>
    <n v="3"/>
    <m/>
    <n v="40"/>
    <m/>
    <m/>
    <m/>
    <m/>
    <s v="No"/>
    <n v="54"/>
    <m/>
    <m/>
    <s v="Commented Video"/>
    <x v="0"/>
    <s v="BERNIE SANDERS 2024‼️‼️‼️"/>
    <s v="UCD0wnC9-8SapHHvHjbsawLQ"/>
    <s v="ProgressiveG"/>
    <s v="http://www.youtube.com/channel/UCD0wnC9-8SapHHvHjbsawLQ"/>
    <m/>
    <s v="Q-YZD2u1mO8"/>
    <s v="https://www.youtube.com/watch?v=Q-YZD2u1mO8"/>
    <s v="none"/>
    <n v="0"/>
    <x v="51"/>
    <d v="2023-03-14T07:27:39.000"/>
    <m/>
    <m/>
    <m/>
    <n v="1"/>
    <n v="3"/>
    <n v="3"/>
    <n v="0"/>
    <n v="0"/>
    <n v="0"/>
    <n v="0"/>
    <n v="0"/>
    <n v="0"/>
    <n v="3"/>
    <n v="100"/>
    <n v="3"/>
  </r>
  <r>
    <s v="UCMdduxoECEaz_vhD-d84rAQ"/>
    <s v="UCD_DaKNac0Ta-2PeHuoQ1uA"/>
    <s v="128, 128, 128"/>
    <n v="3"/>
    <m/>
    <n v="40"/>
    <m/>
    <m/>
    <m/>
    <m/>
    <s v="No"/>
    <n v="55"/>
    <m/>
    <m/>
    <s v="Commented Video"/>
    <x v="0"/>
    <s v="🥱🥱🥱 can someone please pass the fent"/>
    <s v="UCMdduxoECEaz_vhD-d84rAQ"/>
    <s v="Glitch Dash"/>
    <s v="http://www.youtube.com/channel/UCMdduxoECEaz_vhD-d84rAQ"/>
    <m/>
    <s v="Q-YZD2u1mO8"/>
    <s v="https://www.youtube.com/watch?v=Q-YZD2u1mO8"/>
    <s v="none"/>
    <n v="0"/>
    <x v="52"/>
    <d v="2023-03-14T11:34:01.000"/>
    <m/>
    <m/>
    <m/>
    <n v="1"/>
    <n v="3"/>
    <n v="3"/>
    <n v="0"/>
    <n v="0"/>
    <n v="0"/>
    <n v="0"/>
    <n v="0"/>
    <n v="0"/>
    <n v="2"/>
    <n v="33.333333333333336"/>
    <n v="6"/>
  </r>
  <r>
    <s v="UCAzyUwF_Op3JSfltgVnap3g"/>
    <s v="UCD_DaKNac0Ta-2PeHuoQ1uA"/>
    <s v="141, 115, 115"/>
    <n v="6.5"/>
    <m/>
    <n v="27.5"/>
    <m/>
    <m/>
    <m/>
    <m/>
    <s v="No"/>
    <n v="56"/>
    <m/>
    <m/>
    <s v="Commented Video"/>
    <x v="0"/>
    <s v="Thank you Aunt Ann! Love You!!"/>
    <s v="UCAzyUwF_Op3JSfltgVnap3g"/>
    <s v="Lowell English"/>
    <s v="http://www.youtube.com/channel/UCAzyUwF_Op3JSfltgVnap3g"/>
    <m/>
    <s v="Q-YZD2u1mO8"/>
    <s v="https://www.youtube.com/watch?v=Q-YZD2u1mO8"/>
    <s v="none"/>
    <n v="0"/>
    <x v="53"/>
    <d v="2023-03-14T12:49:07.000"/>
    <m/>
    <m/>
    <m/>
    <n v="4"/>
    <n v="3"/>
    <n v="3"/>
    <n v="1"/>
    <n v="16.666666666666668"/>
    <n v="0"/>
    <n v="0"/>
    <n v="0"/>
    <n v="0"/>
    <n v="2"/>
    <n v="33.333333333333336"/>
    <n v="6"/>
  </r>
  <r>
    <s v="UCk2UHkAXJ7RJ4kGsnjjsGPw"/>
    <s v="UCD_DaKNac0Ta-2PeHuoQ1uA"/>
    <s v="128, 128, 128"/>
    <n v="3"/>
    <m/>
    <n v="40"/>
    <m/>
    <m/>
    <m/>
    <m/>
    <s v="No"/>
    <n v="57"/>
    <m/>
    <m/>
    <s v="Commented Video"/>
    <x v="0"/>
    <s v="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
    <s v="UCk2UHkAXJ7RJ4kGsnjjsGPw"/>
    <s v="Robin Costa"/>
    <s v="http://www.youtube.com/channel/UCk2UHkAXJ7RJ4kGsnjjsGPw"/>
    <m/>
    <s v="Q-YZD2u1mO8"/>
    <s v="https://www.youtube.com/watch?v=Q-YZD2u1mO8"/>
    <s v="none"/>
    <n v="0"/>
    <x v="54"/>
    <d v="2023-03-14T18:38:16.000"/>
    <m/>
    <m/>
    <m/>
    <n v="1"/>
    <n v="3"/>
    <n v="3"/>
    <n v="0"/>
    <n v="0"/>
    <n v="10"/>
    <n v="10.638297872340425"/>
    <n v="0"/>
    <n v="0"/>
    <n v="38"/>
    <n v="40.42553191489362"/>
    <n v="94"/>
  </r>
  <r>
    <s v="UCvluqgSak-JUFoQ0crS_sBA"/>
    <s v="UCD_DaKNac0Ta-2PeHuoQ1uA"/>
    <s v="128, 128, 128"/>
    <n v="3"/>
    <m/>
    <n v="40"/>
    <m/>
    <m/>
    <m/>
    <m/>
    <s v="No"/>
    <n v="58"/>
    <m/>
    <m/>
    <s v="Commented Video"/>
    <x v="0"/>
    <s v="Hear him please"/>
    <s v="UCvluqgSak-JUFoQ0crS_sBA"/>
    <s v="José Machorro"/>
    <s v="http://www.youtube.com/channel/UCvluqgSak-JUFoQ0crS_sBA"/>
    <m/>
    <s v="Q-YZD2u1mO8"/>
    <s v="https://www.youtube.com/watch?v=Q-YZD2u1mO8"/>
    <s v="none"/>
    <n v="0"/>
    <x v="55"/>
    <d v="2023-03-14T23:14:19.000"/>
    <m/>
    <m/>
    <m/>
    <n v="1"/>
    <n v="3"/>
    <n v="3"/>
    <n v="0"/>
    <n v="0"/>
    <n v="0"/>
    <n v="0"/>
    <n v="0"/>
    <n v="0"/>
    <n v="1"/>
    <n v="33.333333333333336"/>
    <n v="3"/>
  </r>
  <r>
    <s v="UC9BxHslb4B1W2QJt9e0eihA"/>
    <s v="UCD_DaKNac0Ta-2PeHuoQ1uA"/>
    <s v="128, 128, 128"/>
    <n v="3"/>
    <m/>
    <n v="40"/>
    <m/>
    <m/>
    <m/>
    <m/>
    <s v="No"/>
    <n v="59"/>
    <m/>
    <m/>
    <s v="Commented Video"/>
    <x v="0"/>
    <s v="Just another ploy to take your money...and take control....got to get these democrats out of office....United States going down hill fast...and until they are out ...blame yourself for this country going down hill....democrats policies are heinous to say the least!"/>
    <s v="UC9BxHslb4B1W2QJt9e0eihA"/>
    <s v="David Griego"/>
    <s v="http://www.youtube.com/channel/UC9BxHslb4B1W2QJt9e0eihA"/>
    <m/>
    <s v="Q-YZD2u1mO8"/>
    <s v="https://www.youtube.com/watch?v=Q-YZD2u1mO8"/>
    <s v="none"/>
    <n v="0"/>
    <x v="56"/>
    <d v="2023-03-15T03:55:55.000"/>
    <m/>
    <m/>
    <m/>
    <n v="1"/>
    <n v="3"/>
    <n v="3"/>
    <n v="1"/>
    <n v="2.2222222222222223"/>
    <n v="3"/>
    <n v="6.666666666666667"/>
    <n v="0"/>
    <n v="0"/>
    <n v="13"/>
    <n v="28.88888888888889"/>
    <n v="45"/>
  </r>
  <r>
    <s v="UCk2jMvMCNPWn1GoRVlwyQlg"/>
    <s v="UCD_DaKNac0Ta-2PeHuoQ1uA"/>
    <s v="128, 128, 128"/>
    <n v="3"/>
    <m/>
    <n v="40"/>
    <m/>
    <m/>
    <m/>
    <m/>
    <s v="No"/>
    <n v="60"/>
    <m/>
    <m/>
    <s v="Commented Video"/>
    <x v="0"/>
    <s v="I had brain surgery and a PICC line during the shutdown. I had nurses, therapists, and aides at my house every day. They were amazing and helped me stay alive."/>
    <s v="UCk2jMvMCNPWn1GoRVlwyQlg"/>
    <s v="Support Policies Not Politicians"/>
    <s v="http://www.youtube.com/channel/UCk2jMvMCNPWn1GoRVlwyQlg"/>
    <m/>
    <s v="Q-YZD2u1mO8"/>
    <s v="https://www.youtube.com/watch?v=Q-YZD2u1mO8"/>
    <s v="none"/>
    <n v="1"/>
    <x v="57"/>
    <d v="2023-03-15T11:09:20.000"/>
    <m/>
    <m/>
    <m/>
    <n v="1"/>
    <n v="3"/>
    <n v="3"/>
    <n v="2"/>
    <n v="6.666666666666667"/>
    <n v="0"/>
    <n v="0"/>
    <n v="0"/>
    <n v="0"/>
    <n v="11"/>
    <n v="36.666666666666664"/>
    <n v="30"/>
  </r>
  <r>
    <s v="UCRDV4_Mm80Chyjh-t8DbpZw"/>
    <s v="UCD_DaKNac0Ta-2PeHuoQ1uA"/>
    <s v="128, 128, 128"/>
    <n v="3"/>
    <m/>
    <n v="40"/>
    <m/>
    <m/>
    <m/>
    <m/>
    <s v="No"/>
    <n v="61"/>
    <m/>
    <m/>
    <s v="Commented Video"/>
    <x v="0"/>
    <s v="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
    <s v="UCRDV4_Mm80Chyjh-t8DbpZw"/>
    <s v="Alfonso Gutierrez"/>
    <s v="http://www.youtube.com/channel/UCRDV4_Mm80Chyjh-t8DbpZw"/>
    <m/>
    <s v="Q-YZD2u1mO8"/>
    <s v="https://www.youtube.com/watch?v=Q-YZD2u1mO8"/>
    <s v="none"/>
    <n v="0"/>
    <x v="58"/>
    <d v="2023-03-15T16:41:27.000"/>
    <m/>
    <m/>
    <m/>
    <n v="1"/>
    <n v="3"/>
    <n v="3"/>
    <n v="6"/>
    <n v="9.67741935483871"/>
    <n v="4"/>
    <n v="6.451612903225806"/>
    <n v="0"/>
    <n v="0"/>
    <n v="24"/>
    <n v="38.70967741935484"/>
    <n v="62"/>
  </r>
  <r>
    <s v="UC_x3AkfG7g4M4wySJkWupqg"/>
    <s v="UCD_DaKNac0Ta-2PeHuoQ1uA"/>
    <s v="141, 115, 115"/>
    <n v="6.5"/>
    <m/>
    <n v="27.5"/>
    <m/>
    <m/>
    <m/>
    <m/>
    <s v="No"/>
    <n v="62"/>
    <m/>
    <m/>
    <s v="Commented Video"/>
    <x v="0"/>
    <s v="Thank you to the doctor from Arkansas, excellent testimony and solutions offered."/>
    <s v="UC_x3AkfG7g4M4wySJkWupqg"/>
    <s v="Bronwyn Olsen"/>
    <s v="http://www.youtube.com/channel/UC_x3AkfG7g4M4wySJkWupqg"/>
    <m/>
    <s v="Q-YZD2u1mO8"/>
    <s v="https://www.youtube.com/watch?v=Q-YZD2u1mO8"/>
    <s v="none"/>
    <n v="0"/>
    <x v="59"/>
    <d v="2023-03-15T23:05:08.000"/>
    <m/>
    <m/>
    <m/>
    <n v="4"/>
    <n v="3"/>
    <n v="3"/>
    <n v="1"/>
    <n v="8.333333333333334"/>
    <n v="0"/>
    <n v="0"/>
    <n v="0"/>
    <n v="0"/>
    <n v="5"/>
    <n v="41.666666666666664"/>
    <n v="12"/>
  </r>
  <r>
    <s v="UCxX5x9qobr1D3PHFlguifeA"/>
    <s v="UCD_DaKNac0Ta-2PeHuoQ1uA"/>
    <s v="128, 128, 128"/>
    <n v="3"/>
    <m/>
    <n v="40"/>
    <m/>
    <m/>
    <m/>
    <m/>
    <s v="No"/>
    <n v="63"/>
    <m/>
    <m/>
    <s v="Commented Video"/>
    <x v="0"/>
    <s v="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
    <s v="UCxX5x9qobr1D3PHFlguifeA"/>
    <s v="Alison Mcrae"/>
    <s v="http://www.youtube.com/channel/UCxX5x9qobr1D3PHFlguifeA"/>
    <m/>
    <s v="Q-YZD2u1mO8"/>
    <s v="https://www.youtube.com/watch?v=Q-YZD2u1mO8"/>
    <s v="none"/>
    <n v="0"/>
    <x v="60"/>
    <d v="2023-03-15T23:26:04.000"/>
    <m/>
    <m/>
    <m/>
    <n v="1"/>
    <n v="3"/>
    <n v="3"/>
    <n v="3"/>
    <n v="2.727272727272727"/>
    <n v="1"/>
    <n v="0.9090909090909091"/>
    <n v="0"/>
    <n v="0"/>
    <n v="35"/>
    <n v="31.818181818181817"/>
    <n v="110"/>
  </r>
  <r>
    <s v="UCJA1pkV9mpAJYNew-ZoPD-A"/>
    <s v="UCD_DaKNac0Ta-2PeHuoQ1uA"/>
    <s v="128, 128, 128"/>
    <n v="3"/>
    <m/>
    <n v="40"/>
    <m/>
    <m/>
    <m/>
    <m/>
    <s v="No"/>
    <n v="64"/>
    <m/>
    <m/>
    <s v="Commented Video"/>
    <x v="0"/>
    <s v="I’ve been with you since the beginning. And I appreciate all you and yours do. It’s the 15th and I have 18$ on my card. I need a cheap vacuum cleaner. Question; do you think we are going too get a stimulus check anytime soon? Thanks Matt and family!"/>
    <s v="UCJA1pkV9mpAJYNew-ZoPD-A"/>
    <s v="Jay Wilson, Jr"/>
    <s v="http://www.youtube.com/channel/UCJA1pkV9mpAJYNew-ZoPD-A"/>
    <m/>
    <s v="Q-YZD2u1mO8"/>
    <s v="https://www.youtube.com/watch?v=Q-YZD2u1mO8"/>
    <s v="none"/>
    <n v="0"/>
    <x v="61"/>
    <d v="2023-03-15T23:29:18.000"/>
    <m/>
    <m/>
    <m/>
    <n v="1"/>
    <n v="3"/>
    <n v="3"/>
    <n v="2"/>
    <n v="3.9215686274509802"/>
    <n v="1"/>
    <n v="1.9607843137254901"/>
    <n v="0"/>
    <n v="0"/>
    <n v="12"/>
    <n v="23.529411764705884"/>
    <n v="51"/>
  </r>
  <r>
    <s v="UCWQ86dk1RtzIxh39I4riWJg"/>
    <s v="UCD_DaKNac0Ta-2PeHuoQ1uA"/>
    <s v="128, 128, 128"/>
    <n v="3"/>
    <m/>
    <n v="40"/>
    <m/>
    <m/>
    <m/>
    <m/>
    <s v="No"/>
    <n v="65"/>
    <m/>
    <m/>
    <s v="Commented Video"/>
    <x v="0"/>
    <s v="Boy I love Krusty Barney. This is a man that&amp;#39;s not on Medicare or Social Security. But he&amp;#39;s been in Congress long enough to Rob both of those trust funds. Along with many Republicans. 2034 guys 25 to 30% pay cut in your benefits because of these clowns"/>
    <s v="UCWQ86dk1RtzIxh39I4riWJg"/>
    <s v="Detroit iron rescue"/>
    <s v="http://www.youtube.com/channel/UCWQ86dk1RtzIxh39I4riWJg"/>
    <m/>
    <s v="Q-YZD2u1mO8"/>
    <s v="https://www.youtube.com/watch?v=Q-YZD2u1mO8"/>
    <s v="none"/>
    <n v="0"/>
    <x v="62"/>
    <d v="2023-03-17T07:04:19.000"/>
    <m/>
    <m/>
    <m/>
    <n v="1"/>
    <n v="3"/>
    <n v="3"/>
    <n v="3"/>
    <n v="5.769230769230769"/>
    <n v="0"/>
    <n v="0"/>
    <n v="0"/>
    <n v="0"/>
    <n v="19"/>
    <n v="36.53846153846154"/>
    <n v="52"/>
  </r>
  <r>
    <s v="UCNWasPkWThbNGU78wTte-aA"/>
    <s v="UCD_DaKNac0Ta-2PeHuoQ1uA"/>
    <s v="128, 128, 128"/>
    <n v="3"/>
    <m/>
    <n v="40"/>
    <m/>
    <m/>
    <m/>
    <m/>
    <s v="No"/>
    <n v="66"/>
    <m/>
    <m/>
    <s v="Commented Video"/>
    <x v="0"/>
    <s v="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
    <s v="UCNWasPkWThbNGU78wTte-aA"/>
    <s v="AMO CAN"/>
    <s v="http://www.youtube.com/channel/UCNWasPkWThbNGU78wTte-aA"/>
    <m/>
    <s v="Q-YZD2u1mO8"/>
    <s v="https://www.youtube.com/watch?v=Q-YZD2u1mO8"/>
    <s v="none"/>
    <n v="0"/>
    <x v="63"/>
    <d v="2023-03-19T00:12:14.000"/>
    <m/>
    <m/>
    <m/>
    <n v="1"/>
    <n v="3"/>
    <n v="3"/>
    <n v="4"/>
    <n v="2.0833333333333335"/>
    <n v="4"/>
    <n v="2.0833333333333335"/>
    <n v="0"/>
    <n v="0"/>
    <n v="63"/>
    <n v="32.8125"/>
    <n v="192"/>
  </r>
  <r>
    <s v="UCfPPxdm0eV0r8yLJMUAeHYQ"/>
    <s v="UCD_DaKNac0Ta-2PeHuoQ1uA"/>
    <s v="128, 128, 128"/>
    <n v="3"/>
    <m/>
    <n v="40"/>
    <m/>
    <m/>
    <m/>
    <m/>
    <s v="No"/>
    <n v="67"/>
    <m/>
    <m/>
    <s v="Commented Video"/>
    <x v="0"/>
    <s v="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
    <s v="UCfPPxdm0eV0r8yLJMUAeHYQ"/>
    <s v="The Vision"/>
    <s v="http://www.youtube.com/channel/UCfPPxdm0eV0r8yLJMUAeHYQ"/>
    <m/>
    <s v="Q-YZD2u1mO8"/>
    <s v="https://www.youtube.com/watch?v=Q-YZD2u1mO8"/>
    <s v="none"/>
    <n v="0"/>
    <x v="64"/>
    <d v="2023-03-21T15:33:41.000"/>
    <m/>
    <m/>
    <m/>
    <n v="1"/>
    <n v="3"/>
    <n v="3"/>
    <n v="6"/>
    <n v="1.9047619047619047"/>
    <n v="18"/>
    <n v="5.714285714285714"/>
    <n v="0"/>
    <n v="0"/>
    <n v="94"/>
    <n v="29.841269841269842"/>
    <n v="315"/>
  </r>
  <r>
    <s v="UCY17GXLLENc2GDQES1coMAg"/>
    <s v="UCD_DaKNac0Ta-2PeHuoQ1uA"/>
    <s v="184, 72, 72"/>
    <n v="10"/>
    <m/>
    <n v="15"/>
    <m/>
    <m/>
    <m/>
    <m/>
    <s v="No"/>
    <n v="68"/>
    <m/>
    <m/>
    <s v="Commented Video"/>
    <x v="0"/>
    <s v="These liberals who can’t answer basic questions are cowards"/>
    <s v="UCY17GXLLENc2GDQES1coMAg"/>
    <s v="Johnny Utah"/>
    <s v="http://www.youtube.com/channel/UCY17GXLLENc2GDQES1coMAg"/>
    <m/>
    <s v="Q-YZD2u1mO8"/>
    <s v="https://www.youtube.com/watch?v=Q-YZD2u1mO8"/>
    <s v="none"/>
    <n v="0"/>
    <x v="65"/>
    <d v="2023-03-22T10:30:28.000"/>
    <m/>
    <m/>
    <m/>
    <n v="25"/>
    <n v="3"/>
    <n v="3"/>
    <n v="0"/>
    <n v="0"/>
    <n v="0"/>
    <n v="0"/>
    <n v="0"/>
    <n v="0"/>
    <n v="5"/>
    <n v="50"/>
    <n v="10"/>
  </r>
  <r>
    <s v="UCqMcyZ2lJMpUZbytiLF7vog"/>
    <s v="UCD_DaKNac0Ta-2PeHuoQ1uA"/>
    <s v="128, 128, 128"/>
    <n v="3"/>
    <m/>
    <n v="40"/>
    <m/>
    <m/>
    <m/>
    <m/>
    <s v="No"/>
    <n v="69"/>
    <m/>
    <m/>
    <s v="Commented Video"/>
    <x v="0"/>
    <s v="I&amp;#39;m voting for THE ONE AND ONLY&lt;br&gt;BERNIE SANDERS."/>
    <s v="UCqMcyZ2lJMpUZbytiLF7vog"/>
    <s v="linda Davis"/>
    <s v="http://www.youtube.com/channel/UCqMcyZ2lJMpUZbytiLF7vog"/>
    <m/>
    <s v="Q-YZD2u1mO8"/>
    <s v="https://www.youtube.com/watch?v=Q-YZD2u1mO8"/>
    <s v="none"/>
    <n v="0"/>
    <x v="66"/>
    <d v="2023-03-25T22:23:52.000"/>
    <m/>
    <m/>
    <m/>
    <n v="1"/>
    <n v="3"/>
    <n v="3"/>
    <n v="0"/>
    <n v="0"/>
    <n v="0"/>
    <n v="0"/>
    <n v="0"/>
    <n v="0"/>
    <n v="3"/>
    <n v="25"/>
    <n v="12"/>
  </r>
  <r>
    <s v="UC9vNxe54O877N8XswqMCnAw"/>
    <s v="UCD_DaKNac0Ta-2PeHuoQ1uA"/>
    <s v="128, 128, 128"/>
    <n v="3"/>
    <m/>
    <n v="40"/>
    <m/>
    <m/>
    <m/>
    <m/>
    <s v="No"/>
    <n v="70"/>
    <m/>
    <m/>
    <s v="Commented Video"/>
    <x v="0"/>
    <s v="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
    <s v="UC9vNxe54O877N8XswqMCnAw"/>
    <s v="WYTROSE"/>
    <s v="http://www.youtube.com/channel/UC9vNxe54O877N8XswqMCnAw"/>
    <m/>
    <s v="Q-YZD2u1mO8"/>
    <s v="https://www.youtube.com/watch?v=Q-YZD2u1mO8"/>
    <s v="none"/>
    <n v="0"/>
    <x v="67"/>
    <d v="2023-03-26T18:44:38.000"/>
    <m/>
    <m/>
    <m/>
    <n v="1"/>
    <n v="3"/>
    <n v="3"/>
    <n v="3"/>
    <n v="2.459016393442623"/>
    <n v="10"/>
    <n v="8.19672131147541"/>
    <n v="0"/>
    <n v="0"/>
    <n v="52"/>
    <n v="42.622950819672134"/>
    <n v="122"/>
  </r>
  <r>
    <s v="UCJoPOi7-qPyZZ2MkH6SPc_A"/>
    <s v="UCD_DaKNac0Ta-2PeHuoQ1uA"/>
    <s v="128, 128, 128"/>
    <n v="3"/>
    <m/>
    <n v="40"/>
    <m/>
    <m/>
    <m/>
    <m/>
    <s v="No"/>
    <n v="71"/>
    <m/>
    <m/>
    <s v="Commented Video"/>
    <x v="0"/>
    <s v="The only and I should say major problem with Sanders&amp;#39; example and views is that there live not enough men and women in Congress and the Institute like him."/>
    <s v="UCJoPOi7-qPyZZ2MkH6SPc_A"/>
    <s v="Gervaze Joseph"/>
    <s v="http://www.youtube.com/channel/UCJoPOi7-qPyZZ2MkH6SPc_A"/>
    <m/>
    <s v="Q-YZD2u1mO8"/>
    <s v="https://www.youtube.com/watch?v=Q-YZD2u1mO8"/>
    <s v="none"/>
    <n v="0"/>
    <x v="68"/>
    <d v="2023-04-12T04:07:49.000"/>
    <m/>
    <m/>
    <m/>
    <n v="1"/>
    <n v="3"/>
    <n v="3"/>
    <n v="1"/>
    <n v="3.3333333333333335"/>
    <n v="1"/>
    <n v="3.3333333333333335"/>
    <n v="0"/>
    <n v="0"/>
    <n v="8"/>
    <n v="26.666666666666668"/>
    <n v="30"/>
  </r>
  <r>
    <s v="UCWH0qNynKh2T84M0-UlahdA"/>
    <s v="UCD_DaKNac0Ta-2PeHuoQ1uA"/>
    <s v="141, 115, 115"/>
    <n v="6.5"/>
    <m/>
    <n v="27.5"/>
    <m/>
    <m/>
    <m/>
    <m/>
    <s v="No"/>
    <n v="72"/>
    <m/>
    <m/>
    <s v="Commented Video"/>
    <x v="0"/>
    <s v="Never rape my seals."/>
    <s v="UCWH0qNynKh2T84M0-UlahdA"/>
    <s v="Anna"/>
    <s v="http://www.youtube.com/channel/UCWH0qNynKh2T84M0-UlahdA"/>
    <m/>
    <s v="Q-YZD2u1mO8"/>
    <s v="https://www.youtube.com/watch?v=Q-YZD2u1mO8"/>
    <s v="none"/>
    <n v="0"/>
    <x v="69"/>
    <d v="2023-07-04T08:12:54.000"/>
    <m/>
    <m/>
    <m/>
    <n v="4"/>
    <n v="3"/>
    <n v="3"/>
    <n v="0"/>
    <n v="0"/>
    <n v="1"/>
    <n v="25"/>
    <n v="0"/>
    <n v="0"/>
    <n v="1"/>
    <n v="25"/>
    <n v="4"/>
  </r>
  <r>
    <s v="UCD_DaKNac0Ta-2PeHuoQ1uA"/>
    <s v="UCD_DaKNac0Ta-2PeHuoQ1uA"/>
    <s v="128, 128, 128"/>
    <n v="3"/>
    <m/>
    <n v="40"/>
    <m/>
    <m/>
    <m/>
    <m/>
    <s v="No"/>
    <n v="73"/>
    <m/>
    <m/>
    <s v="Posted Video"/>
    <x v="1"/>
    <m/>
    <m/>
    <m/>
    <m/>
    <m/>
    <s v="Q-YZD2u1mO8"/>
    <s v="https://www.youtube.com/watch?v=Q-YZD2u1mO8"/>
    <m/>
    <m/>
    <x v="70"/>
    <m/>
    <m/>
    <m/>
    <m/>
    <n v="1"/>
    <n v="3"/>
    <n v="3"/>
    <m/>
    <m/>
    <m/>
    <m/>
    <m/>
    <m/>
    <m/>
    <m/>
    <m/>
  </r>
  <r>
    <s v="UC9bFss-24oXqPC76WhDPIOQ"/>
    <s v="UCD_DaKNac0Ta-2PeHuoQ1uA"/>
    <s v="128, 128, 128"/>
    <n v="3"/>
    <m/>
    <n v="40"/>
    <m/>
    <m/>
    <m/>
    <m/>
    <s v="No"/>
    <n v="74"/>
    <m/>
    <m/>
    <s v="Commented Video"/>
    <x v="0"/>
    <s v="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
    <s v="UC9bFss-24oXqPC76WhDPIOQ"/>
    <s v="Arhweeh Inreeverse"/>
    <s v="http://www.youtube.com/channel/UC9bFss-24oXqPC76WhDPIOQ"/>
    <m/>
    <s v="Q-YZD2u1mO8"/>
    <s v="https://www.youtube.com/watch?v=Q-YZD2u1mO8"/>
    <s v="none"/>
    <n v="0"/>
    <x v="71"/>
    <d v="2023-08-02T10:18:31.000"/>
    <m/>
    <m/>
    <m/>
    <n v="1"/>
    <n v="3"/>
    <n v="3"/>
    <n v="13"/>
    <n v="6.046511627906977"/>
    <n v="10"/>
    <n v="4.651162790697675"/>
    <n v="0"/>
    <n v="0"/>
    <n v="71"/>
    <n v="33.02325581395349"/>
    <n v="215"/>
  </r>
  <r>
    <s v="UC_Nur1oBlns6HSWK9rI9_vw"/>
    <s v="UCN3kEN9f6Jas3E5aMl4qfeg"/>
    <s v="141, 115, 115"/>
    <n v="6.5"/>
    <m/>
    <n v="27.5"/>
    <m/>
    <m/>
    <m/>
    <m/>
    <s v="No"/>
    <n v="75"/>
    <m/>
    <m/>
    <s v="Commented Video"/>
    <x v="0"/>
    <s v="❤️❤️❤️❤️❤️❤️❤️💯💯💯💯💯👍👍👍👍💪💪💪💪💪💪"/>
    <s v="UC_Nur1oBlns6HSWK9rI9_vw"/>
    <s v="Darion Robinson"/>
    <s v="http://www.youtube.com/channel/UC_Nur1oBlns6HSWK9rI9_vw"/>
    <m/>
    <s v="pRT5aJ3nbHM"/>
    <s v="https://www.youtube.com/watch?v=pRT5aJ3nbHM"/>
    <s v="none"/>
    <n v="0"/>
    <x v="72"/>
    <d v="2022-09-27T18:20:41.000"/>
    <m/>
    <m/>
    <m/>
    <n v="4"/>
    <n v="4"/>
    <n v="4"/>
    <n v="0"/>
    <n v="0"/>
    <n v="0"/>
    <n v="0"/>
    <n v="0"/>
    <n v="0"/>
    <n v="0"/>
    <n v="0"/>
    <n v="0"/>
  </r>
  <r>
    <s v="UCwHDDjfIl0VwnHgP9PnH3bQ"/>
    <s v="UCN3kEN9f6Jas3E5aMl4qfeg"/>
    <s v="128, 128, 128"/>
    <n v="3"/>
    <m/>
    <n v="40"/>
    <m/>
    <m/>
    <m/>
    <m/>
    <s v="No"/>
    <n v="76"/>
    <m/>
    <m/>
    <s v="Commented Video"/>
    <x v="0"/>
    <s v="Good list just not clear in what country 3 colleges are located"/>
    <s v="UCwHDDjfIl0VwnHgP9PnH3bQ"/>
    <s v="Loveline Outreach Ministries"/>
    <s v="http://www.youtube.com/channel/UCwHDDjfIl0VwnHgP9PnH3bQ"/>
    <m/>
    <s v="pRT5aJ3nbHM"/>
    <s v="https://www.youtube.com/watch?v=pRT5aJ3nbHM"/>
    <s v="none"/>
    <n v="2"/>
    <x v="73"/>
    <d v="2022-09-27T18:39:17.000"/>
    <m/>
    <m/>
    <m/>
    <n v="1"/>
    <n v="4"/>
    <n v="4"/>
    <n v="1"/>
    <n v="8.333333333333334"/>
    <n v="0"/>
    <n v="0"/>
    <n v="0"/>
    <n v="0"/>
    <n v="4"/>
    <n v="33.333333333333336"/>
    <n v="12"/>
  </r>
  <r>
    <s v="UCZ0JT-tgxNOK-3c-g5yHufA"/>
    <s v="UCN3kEN9f6Jas3E5aMl4qfeg"/>
    <s v="128, 128, 128"/>
    <n v="3"/>
    <m/>
    <n v="40"/>
    <m/>
    <m/>
    <m/>
    <m/>
    <s v="No"/>
    <n v="77"/>
    <m/>
    <m/>
    <s v="Commented Video"/>
    <x v="0"/>
    <s v="Was really expecting to see Sefako Makgatho Health &amp;amp; Science University🎓 located in Pretoria🇿🇦"/>
    <s v="UCZ0JT-tgxNOK-3c-g5yHufA"/>
    <s v="Blessly08"/>
    <s v="http://www.youtube.com/channel/UCZ0JT-tgxNOK-3c-g5yHufA"/>
    <m/>
    <s v="pRT5aJ3nbHM"/>
    <s v="https://www.youtube.com/watch?v=pRT5aJ3nbHM"/>
    <s v="none"/>
    <n v="29"/>
    <x v="74"/>
    <d v="2022-09-27T18:44:59.000"/>
    <m/>
    <m/>
    <m/>
    <n v="1"/>
    <n v="4"/>
    <n v="4"/>
    <n v="0"/>
    <n v="0"/>
    <n v="0"/>
    <n v="0"/>
    <n v="0"/>
    <n v="0"/>
    <n v="8"/>
    <n v="57.142857142857146"/>
    <n v="14"/>
  </r>
  <r>
    <s v="UCYJ3Hgk0kkBCog2Q9Z9Dh-g"/>
    <s v="UCN3kEN9f6Jas3E5aMl4qfeg"/>
    <s v="128, 128, 128"/>
    <n v="3"/>
    <m/>
    <n v="40"/>
    <m/>
    <m/>
    <m/>
    <m/>
    <s v="No"/>
    <n v="78"/>
    <m/>
    <m/>
    <s v="Commented Video"/>
    <x v="0"/>
    <s v="This the news I love to hear about."/>
    <s v="UCYJ3Hgk0kkBCog2Q9Z9Dh-g"/>
    <s v="T. Nelson"/>
    <s v="http://www.youtube.com/channel/UCYJ3Hgk0kkBCog2Q9Z9Dh-g"/>
    <m/>
    <s v="pRT5aJ3nbHM"/>
    <s v="https://www.youtube.com/watch?v=pRT5aJ3nbHM"/>
    <s v="none"/>
    <n v="0"/>
    <x v="75"/>
    <d v="2022-09-27T18:48:44.000"/>
    <m/>
    <m/>
    <m/>
    <n v="1"/>
    <n v="4"/>
    <n v="4"/>
    <n v="1"/>
    <n v="12.5"/>
    <n v="0"/>
    <n v="0"/>
    <n v="0"/>
    <n v="0"/>
    <n v="2"/>
    <n v="25"/>
    <n v="8"/>
  </r>
  <r>
    <s v="UC7leX0JJWsaBD7t-ZgGQnhA"/>
    <s v="UCN3kEN9f6Jas3E5aMl4qfeg"/>
    <s v="128, 128, 128"/>
    <n v="3"/>
    <m/>
    <n v="40"/>
    <m/>
    <m/>
    <m/>
    <m/>
    <s v="No"/>
    <n v="79"/>
    <m/>
    <m/>
    <s v="Commented Video"/>
    <x v="0"/>
    <s v="UKZN is not on the list🤨fascinating"/>
    <s v="UC7leX0JJWsaBD7t-ZgGQnhA"/>
    <s v="Apsara House 🥴😊"/>
    <s v="http://www.youtube.com/channel/UC7leX0JJWsaBD7t-ZgGQnhA"/>
    <m/>
    <s v="pRT5aJ3nbHM"/>
    <s v="https://www.youtube.com/watch?v=pRT5aJ3nbHM"/>
    <s v="none"/>
    <n v="11"/>
    <x v="76"/>
    <d v="2022-09-27T20:39:38.000"/>
    <m/>
    <m/>
    <m/>
    <n v="1"/>
    <n v="4"/>
    <n v="4"/>
    <n v="1"/>
    <n v="14.285714285714286"/>
    <n v="0"/>
    <n v="0"/>
    <n v="0"/>
    <n v="0"/>
    <n v="2"/>
    <n v="28.571428571428573"/>
    <n v="7"/>
  </r>
  <r>
    <s v="UCaJWmYVKjwZIrsmTazenl2A"/>
    <s v="UCN3kEN9f6Jas3E5aMl4qfeg"/>
    <s v="128, 128, 128"/>
    <n v="3"/>
    <m/>
    <n v="40"/>
    <m/>
    <m/>
    <m/>
    <m/>
    <s v="No"/>
    <n v="80"/>
    <m/>
    <m/>
    <s v="Commented Video"/>
    <x v="0"/>
    <s v="I still cannot believe UKZN South Africa could not be added on the list but anyway we have more even"/>
    <s v="UCaJWmYVKjwZIrsmTazenl2A"/>
    <s v="MABOTSE MOHLAHLO"/>
    <s v="http://www.youtube.com/channel/UCaJWmYVKjwZIrsmTazenl2A"/>
    <m/>
    <s v="pRT5aJ3nbHM"/>
    <s v="https://www.youtube.com/watch?v=pRT5aJ3nbHM"/>
    <s v="none"/>
    <n v="14"/>
    <x v="77"/>
    <d v="2022-09-27T20:42:28.000"/>
    <m/>
    <m/>
    <m/>
    <n v="1"/>
    <n v="4"/>
    <n v="4"/>
    <n v="0"/>
    <n v="0"/>
    <n v="0"/>
    <n v="0"/>
    <n v="0"/>
    <n v="0"/>
    <n v="5"/>
    <n v="25"/>
    <n v="20"/>
  </r>
  <r>
    <s v="UCBsqI3fVObBcipLKBLQWJOA"/>
    <s v="UCN3kEN9f6Jas3E5aMl4qfeg"/>
    <s v="128, 128, 128"/>
    <n v="3"/>
    <m/>
    <n v="40"/>
    <m/>
    <m/>
    <m/>
    <m/>
    <s v="No"/>
    <n v="81"/>
    <m/>
    <m/>
    <s v="Commented Video"/>
    <x v="0"/>
    <s v="Love it  😁👍💯🔥🤔🌍"/>
    <s v="UCBsqI3fVObBcipLKBLQWJOA"/>
    <s v="Pharaoh x"/>
    <s v="http://www.youtube.com/channel/UCBsqI3fVObBcipLKBLQWJOA"/>
    <m/>
    <s v="pRT5aJ3nbHM"/>
    <s v="https://www.youtube.com/watch?v=pRT5aJ3nbHM"/>
    <s v="none"/>
    <n v="3"/>
    <x v="78"/>
    <d v="2022-09-27T21:09:24.000"/>
    <m/>
    <m/>
    <m/>
    <n v="1"/>
    <n v="4"/>
    <n v="4"/>
    <n v="1"/>
    <n v="50"/>
    <n v="0"/>
    <n v="0"/>
    <n v="0"/>
    <n v="0"/>
    <n v="0"/>
    <n v="0"/>
    <n v="2"/>
  </r>
  <r>
    <s v="UCH8NcCr4ZE3Rn_YSjKvQ7aA"/>
    <s v="UCN3kEN9f6Jas3E5aMl4qfeg"/>
    <s v="128, 128, 128"/>
    <n v="3"/>
    <m/>
    <n v="40"/>
    <m/>
    <m/>
    <m/>
    <m/>
    <s v="No"/>
    <n v="82"/>
    <m/>
    <m/>
    <s v="Commented Video"/>
    <x v="0"/>
    <s v="Ghana the warrior King 👑 is always on the move."/>
    <s v="UCH8NcCr4ZE3Rn_YSjKvQ7aA"/>
    <s v="Kouassi Bodoua"/>
    <s v="http://www.youtube.com/channel/UCH8NcCr4ZE3Rn_YSjKvQ7aA"/>
    <m/>
    <s v="pRT5aJ3nbHM"/>
    <s v="https://www.youtube.com/watch?v=pRT5aJ3nbHM"/>
    <s v="none"/>
    <n v="1"/>
    <x v="79"/>
    <d v="2022-09-27T21:52:31.000"/>
    <m/>
    <m/>
    <m/>
    <n v="1"/>
    <n v="4"/>
    <n v="4"/>
    <n v="0"/>
    <n v="0"/>
    <n v="0"/>
    <n v="0"/>
    <n v="0"/>
    <n v="0"/>
    <n v="3"/>
    <n v="33.333333333333336"/>
    <n v="9"/>
  </r>
  <r>
    <s v="UCNY7NCSlocFucxi6QAt2ASA"/>
    <s v="UCN3kEN9f6Jas3E5aMl4qfeg"/>
    <s v="128, 128, 128"/>
    <n v="3"/>
    <m/>
    <n v="40"/>
    <m/>
    <m/>
    <m/>
    <m/>
    <s v="No"/>
    <n v="83"/>
    <m/>
    <m/>
    <s v="Commented Video"/>
    <x v="0"/>
    <s v="When we talk about medical schools I agree with u, but makerere shd be in top 5. Thank u for sharing"/>
    <s v="UCNY7NCSlocFucxi6QAt2ASA"/>
    <s v="Austin S3"/>
    <s v="http://www.youtube.com/channel/UCNY7NCSlocFucxi6QAt2ASA"/>
    <m/>
    <s v="pRT5aJ3nbHM"/>
    <s v="https://www.youtube.com/watch?v=pRT5aJ3nbHM"/>
    <s v="none"/>
    <n v="3"/>
    <x v="80"/>
    <d v="2022-09-28T02:10:32.000"/>
    <m/>
    <m/>
    <m/>
    <n v="1"/>
    <n v="4"/>
    <n v="4"/>
    <n v="0"/>
    <n v="0"/>
    <n v="0"/>
    <n v="0"/>
    <n v="0"/>
    <n v="0"/>
    <n v="7"/>
    <n v="33.333333333333336"/>
    <n v="21"/>
  </r>
  <r>
    <s v="UCC95lStYyTYfvksvOrTJQkw"/>
    <s v="UCN3kEN9f6Jas3E5aMl4qfeg"/>
    <s v="128, 128, 128"/>
    <n v="3"/>
    <m/>
    <n v="40"/>
    <m/>
    <m/>
    <m/>
    <m/>
    <s v="No"/>
    <n v="84"/>
    <m/>
    <m/>
    <s v="Commented Video"/>
    <x v="0"/>
    <s v="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
    <s v="UCC95lStYyTYfvksvOrTJQkw"/>
    <s v="J"/>
    <s v="http://www.youtube.com/channel/UCC95lStYyTYfvksvOrTJQkw"/>
    <m/>
    <s v="pRT5aJ3nbHM"/>
    <s v="https://www.youtube.com/watch?v=pRT5aJ3nbHM"/>
    <s v="none"/>
    <n v="1"/>
    <x v="81"/>
    <d v="2022-09-28T05:24:36.000"/>
    <m/>
    <m/>
    <m/>
    <n v="1"/>
    <n v="4"/>
    <n v="4"/>
    <n v="4"/>
    <n v="5.2631578947368425"/>
    <n v="2"/>
    <n v="2.6315789473684212"/>
    <n v="0"/>
    <n v="0"/>
    <n v="8"/>
    <n v="10.526315789473685"/>
    <n v="76"/>
  </r>
  <r>
    <s v="UCaHPlF6yLHbXGI-3ioV7XMw"/>
    <s v="UCN3kEN9f6Jas3E5aMl4qfeg"/>
    <s v="128, 128, 128"/>
    <n v="3"/>
    <m/>
    <n v="40"/>
    <m/>
    <m/>
    <m/>
    <m/>
    <s v="No"/>
    <n v="85"/>
    <m/>
    <m/>
    <s v="Commented Video"/>
    <x v="0"/>
    <s v="NORTHWEST UNIVERSITY HAS NO MEDICAL SCHOOL"/>
    <s v="UCaHPlF6yLHbXGI-3ioV7XMw"/>
    <s v="kwabena nuhu"/>
    <s v="http://www.youtube.com/channel/UCaHPlF6yLHbXGI-3ioV7XMw"/>
    <m/>
    <s v="pRT5aJ3nbHM"/>
    <s v="https://www.youtube.com/watch?v=pRT5aJ3nbHM"/>
    <s v="none"/>
    <n v="10"/>
    <x v="82"/>
    <d v="2022-09-29T04:57:07.000"/>
    <m/>
    <m/>
    <m/>
    <n v="1"/>
    <n v="4"/>
    <n v="4"/>
    <n v="0"/>
    <n v="0"/>
    <n v="0"/>
    <n v="0"/>
    <n v="0"/>
    <n v="0"/>
    <n v="4"/>
    <n v="66.66666666666667"/>
    <n v="6"/>
  </r>
  <r>
    <s v="UC8IYtRK5Gakqt5Fo5QYfWJg"/>
    <s v="UCN3kEN9f6Jas3E5aMl4qfeg"/>
    <s v="128, 128, 128"/>
    <n v="3"/>
    <m/>
    <n v="40"/>
    <m/>
    <m/>
    <m/>
    <m/>
    <s v="No"/>
    <n v="86"/>
    <m/>
    <m/>
    <s v="Commented Video"/>
    <x v="0"/>
    <s v="There&amp;#39;s a newly built university of medicine in Nigeria it&amp;#39;s the best of it kind in Nigeria probably in Africa as well it&amp;#39;s located in Ebonyi state eastern part of Nigeria"/>
    <s v="UC8IYtRK5Gakqt5Fo5QYfWJg"/>
    <s v="Chigozie Innocent"/>
    <s v="http://www.youtube.com/channel/UC8IYtRK5Gakqt5Fo5QYfWJg"/>
    <m/>
    <s v="pRT5aJ3nbHM"/>
    <s v="https://www.youtube.com/watch?v=pRT5aJ3nbHM"/>
    <s v="none"/>
    <n v="1"/>
    <x v="83"/>
    <d v="2022-09-29T05:20:49.000"/>
    <m/>
    <m/>
    <m/>
    <n v="1"/>
    <n v="4"/>
    <n v="4"/>
    <n v="2"/>
    <n v="5.405405405405405"/>
    <n v="0"/>
    <n v="0"/>
    <n v="0"/>
    <n v="0"/>
    <n v="14"/>
    <n v="37.83783783783784"/>
    <n v="37"/>
  </r>
  <r>
    <s v="UCxPmUahOPE970HbxEWrQ6VQ"/>
    <s v="UCN3kEN9f6Jas3E5aMl4qfeg"/>
    <s v="128, 128, 128"/>
    <n v="3"/>
    <m/>
    <n v="40"/>
    <m/>
    <m/>
    <m/>
    <m/>
    <s v="No"/>
    <n v="87"/>
    <m/>
    <m/>
    <s v="Commented Video"/>
    <x v="0"/>
    <s v="How is UKZN not on this list😮"/>
    <s v="UCxPmUahOPE970HbxEWrQ6VQ"/>
    <s v="Sipho Zulu"/>
    <s v="http://www.youtube.com/channel/UCxPmUahOPE970HbxEWrQ6VQ"/>
    <m/>
    <s v="pRT5aJ3nbHM"/>
    <s v="https://www.youtube.com/watch?v=pRT5aJ3nbHM"/>
    <s v="none"/>
    <n v="17"/>
    <x v="84"/>
    <d v="2022-09-30T01:36:42.000"/>
    <m/>
    <m/>
    <m/>
    <n v="1"/>
    <n v="4"/>
    <n v="4"/>
    <n v="0"/>
    <n v="0"/>
    <n v="0"/>
    <n v="0"/>
    <n v="0"/>
    <n v="0"/>
    <n v="2"/>
    <n v="28.571428571428573"/>
    <n v="7"/>
  </r>
  <r>
    <s v="UCcd8dbU6bA4nP9enZgBe67Q"/>
    <s v="UCN3kEN9f6Jas3E5aMl4qfeg"/>
    <s v="128, 128, 128"/>
    <n v="3"/>
    <m/>
    <n v="40"/>
    <m/>
    <m/>
    <m/>
    <m/>
    <s v="No"/>
    <n v="88"/>
    <m/>
    <m/>
    <s v="Commented Video"/>
    <x v="0"/>
    <s v="It is time for Africa to speak for itself. The US and EU can call themselves High and mighty only if we let them. But if we stick together, there is nothing that we cannot do for ourselves. Firstly, we do not share common enemies with the US or Europe._x000d_&lt;br&gt;_x000d_&lt;br&gt;Russia and China ARE NOT Africa&amp;#39;s enemies. The war in Ukraine is a US/NATO problem. Why did they think Russia will allow nukes into Ukraine next to their border? They were warned multiple times, but their ego and arrogance know no limit. _x000d_&lt;br&gt;_x000d_&lt;br&gt;African students trying to leave Ukraine during the war were prevented from leaving and discriminated against. Why should I have sympathy for Ukraine? sorry, but I don&amp;#39;t"/>
    <s v="UCcd8dbU6bA4nP9enZgBe67Q"/>
    <s v="Donald MJ Bart-Williams"/>
    <s v="http://www.youtube.com/channel/UCcd8dbU6bA4nP9enZgBe67Q"/>
    <m/>
    <s v="pRT5aJ3nbHM"/>
    <s v="https://www.youtube.com/watch?v=pRT5aJ3nbHM"/>
    <s v="none"/>
    <n v="0"/>
    <x v="85"/>
    <d v="2022-09-30T18:36:05.000"/>
    <m/>
    <m/>
    <m/>
    <n v="1"/>
    <n v="4"/>
    <n v="4"/>
    <n v="1"/>
    <n v="0.78125"/>
    <n v="6"/>
    <n v="4.6875"/>
    <n v="0"/>
    <n v="0"/>
    <n v="36"/>
    <n v="28.125"/>
    <n v="128"/>
  </r>
  <r>
    <s v="UCd6uiGWpnZNKu4FpWcRBRXA"/>
    <s v="UCN3kEN9f6Jas3E5aMl4qfeg"/>
    <s v="141, 115, 115"/>
    <n v="6.5"/>
    <m/>
    <n v="27.5"/>
    <m/>
    <m/>
    <m/>
    <m/>
    <s v="No"/>
    <n v="89"/>
    <m/>
    <m/>
    <s v="Commented Video"/>
    <x v="0"/>
    <s v="Dis is all lies.nirthwest doesn&amp;#39;t offer an mbchb curriculum. UKZN is in da top 3...Am a 6th yr medicine student at wits."/>
    <s v="UCd6uiGWpnZNKu4FpWcRBRXA"/>
    <s v="Gugu Khumalo"/>
    <s v="http://www.youtube.com/channel/UCd6uiGWpnZNKu4FpWcRBRXA"/>
    <m/>
    <s v="pRT5aJ3nbHM"/>
    <s v="https://www.youtube.com/watch?v=pRT5aJ3nbHM"/>
    <s v="none"/>
    <n v="4"/>
    <x v="86"/>
    <d v="2022-10-01T00:46:37.000"/>
    <m/>
    <m/>
    <m/>
    <n v="4"/>
    <n v="4"/>
    <n v="4"/>
    <n v="0"/>
    <n v="0"/>
    <n v="1"/>
    <n v="3.8461538461538463"/>
    <n v="0"/>
    <n v="0"/>
    <n v="11"/>
    <n v="42.30769230769231"/>
    <n v="26"/>
  </r>
  <r>
    <s v="UCavUfaWfXVB4wNnD88A1H8g"/>
    <s v="UCN3kEN9f6Jas3E5aMl4qfeg"/>
    <s v="128, 128, 128"/>
    <n v="3"/>
    <m/>
    <n v="40"/>
    <m/>
    <m/>
    <m/>
    <m/>
    <s v="No"/>
    <n v="90"/>
    <m/>
    <m/>
    <s v="Commented Video"/>
    <x v="0"/>
    <s v="Who compiled this list. The list is as good or as bad as the compiler."/>
    <s v="UCavUfaWfXVB4wNnD88A1H8g"/>
    <s v="Makhosazana Msimang"/>
    <s v="http://www.youtube.com/channel/UCavUfaWfXVB4wNnD88A1H8g"/>
    <m/>
    <s v="pRT5aJ3nbHM"/>
    <s v="https://www.youtube.com/watch?v=pRT5aJ3nbHM"/>
    <s v="none"/>
    <n v="1"/>
    <x v="87"/>
    <d v="2022-10-01T02:07:37.000"/>
    <m/>
    <m/>
    <m/>
    <n v="1"/>
    <n v="4"/>
    <n v="4"/>
    <n v="1"/>
    <n v="6.666666666666667"/>
    <n v="1"/>
    <n v="6.666666666666667"/>
    <n v="0"/>
    <n v="0"/>
    <n v="4"/>
    <n v="26.666666666666668"/>
    <n v="15"/>
  </r>
  <r>
    <s v="UCq2eoN6OFZ1rAFj-YDpRUKQ"/>
    <s v="UCN3kEN9f6Jas3E5aMl4qfeg"/>
    <s v="128, 128, 128"/>
    <n v="3"/>
    <m/>
    <n v="40"/>
    <m/>
    <m/>
    <m/>
    <m/>
    <s v="No"/>
    <n v="91"/>
    <m/>
    <m/>
    <s v="Commented Video"/>
    <x v="0"/>
    <s v="The fact that the University of Ghana, which isn&amp;#39;t even the best Medical school in Ghana is at 10 but Kwame Nkrumah University of Science and Technology (KNUST), WHICH IS THE BEST medical school in Ghana isn&amp;#39;t in the list, makes this list FALSE"/>
    <s v="UCq2eoN6OFZ1rAFj-YDpRUKQ"/>
    <s v="Celebritystan trending"/>
    <s v="http://www.youtube.com/channel/UCq2eoN6OFZ1rAFj-YDpRUKQ"/>
    <m/>
    <s v="pRT5aJ3nbHM"/>
    <s v="https://www.youtube.com/watch?v=pRT5aJ3nbHM"/>
    <s v="none"/>
    <n v="17"/>
    <x v="88"/>
    <d v="2022-10-01T05:18:56.000"/>
    <m/>
    <m/>
    <m/>
    <n v="1"/>
    <n v="4"/>
    <n v="4"/>
    <n v="2"/>
    <n v="4.166666666666667"/>
    <n v="1"/>
    <n v="2.0833333333333335"/>
    <n v="0"/>
    <n v="0"/>
    <n v="18"/>
    <n v="37.5"/>
    <n v="48"/>
  </r>
  <r>
    <s v="UCAf6FjC78v9K7V0mzBFFFfg"/>
    <s v="UCN3kEN9f6Jas3E5aMl4qfeg"/>
    <s v="128, 128, 128"/>
    <n v="3"/>
    <m/>
    <n v="40"/>
    <m/>
    <m/>
    <m/>
    <m/>
    <s v="No"/>
    <n v="92"/>
    <m/>
    <m/>
    <s v="Commented Video"/>
    <x v="0"/>
    <s v="4 of the top ten universities in Africa are from my country, South Africa"/>
    <s v="UCAf6FjC78v9K7V0mzBFFFfg"/>
    <s v="Roy Baxolile"/>
    <s v="http://www.youtube.com/channel/UCAf6FjC78v9K7V0mzBFFFfg"/>
    <m/>
    <s v="pRT5aJ3nbHM"/>
    <s v="https://www.youtube.com/watch?v=pRT5aJ3nbHM"/>
    <s v="none"/>
    <n v="10"/>
    <x v="89"/>
    <d v="2022-10-01T13:43:07.000"/>
    <m/>
    <m/>
    <m/>
    <n v="1"/>
    <n v="4"/>
    <n v="4"/>
    <n v="0"/>
    <n v="0"/>
    <n v="0"/>
    <n v="0"/>
    <n v="0"/>
    <n v="0"/>
    <n v="5"/>
    <n v="35.714285714285715"/>
    <n v="14"/>
  </r>
  <r>
    <s v="UCnQ1Acenegkv4owsGnfkz5A"/>
    <s v="UCN3kEN9f6Jas3E5aMl4qfeg"/>
    <s v="128, 128, 128"/>
    <n v="3"/>
    <m/>
    <n v="40"/>
    <m/>
    <m/>
    <m/>
    <m/>
    <s v="No"/>
    <n v="93"/>
    <m/>
    <m/>
    <s v="Commented Video"/>
    <x v="0"/>
    <s v="🇿🇦 Dominate"/>
    <s v="UCnQ1Acenegkv4owsGnfkz5A"/>
    <s v="Dupa"/>
    <s v="http://www.youtube.com/channel/UCnQ1Acenegkv4owsGnfkz5A"/>
    <m/>
    <s v="pRT5aJ3nbHM"/>
    <s v="https://www.youtube.com/watch?v=pRT5aJ3nbHM"/>
    <s v="none"/>
    <n v="8"/>
    <x v="90"/>
    <d v="2022-10-01T13:49:40.000"/>
    <m/>
    <m/>
    <m/>
    <n v="1"/>
    <n v="4"/>
    <n v="4"/>
    <n v="1"/>
    <n v="100"/>
    <n v="0"/>
    <n v="0"/>
    <n v="0"/>
    <n v="0"/>
    <n v="0"/>
    <n v="0"/>
    <n v="1"/>
  </r>
  <r>
    <s v="UCx6k-_k4sU3i5FdLuLTPKnA"/>
    <s v="UCN3kEN9f6Jas3E5aMl4qfeg"/>
    <s v="128, 128, 128"/>
    <n v="3"/>
    <m/>
    <n v="40"/>
    <m/>
    <m/>
    <m/>
    <m/>
    <s v="No"/>
    <n v="94"/>
    <m/>
    <m/>
    <s v="Commented Video"/>
    <x v="0"/>
    <s v="SA😍😍😍"/>
    <s v="UCx6k-_k4sU3i5FdLuLTPKnA"/>
    <s v="Nonkululeko Nhleko"/>
    <s v="http://www.youtube.com/channel/UCx6k-_k4sU3i5FdLuLTPKnA"/>
    <m/>
    <s v="pRT5aJ3nbHM"/>
    <s v="https://www.youtube.com/watch?v=pRT5aJ3nbHM"/>
    <s v="none"/>
    <n v="3"/>
    <x v="91"/>
    <d v="2022-10-01T16:11:31.000"/>
    <m/>
    <m/>
    <m/>
    <n v="1"/>
    <n v="4"/>
    <n v="4"/>
    <n v="0"/>
    <n v="0"/>
    <n v="0"/>
    <n v="0"/>
    <n v="0"/>
    <n v="0"/>
    <n v="1"/>
    <n v="100"/>
    <n v="1"/>
  </r>
  <r>
    <s v="UC-PtcWseDzj7rNn2hEZaVFA"/>
    <s v="UCN3kEN9f6Jas3E5aMl4qfeg"/>
    <s v="128, 128, 128"/>
    <n v="3"/>
    <m/>
    <n v="40"/>
    <m/>
    <m/>
    <m/>
    <m/>
    <s v="No"/>
    <n v="95"/>
    <m/>
    <m/>
    <s v="Commented Video"/>
    <x v="0"/>
    <s v="The best medical innovations in the WORLD were done in South African universities . The first heart transplant and the development of antiretroviral drugs for the AIDS pandemic"/>
    <s v="UC-PtcWseDzj7rNn2hEZaVFA"/>
    <s v="Hlesko Mlan"/>
    <s v="http://www.youtube.com/channel/UC-PtcWseDzj7rNn2hEZaVFA"/>
    <m/>
    <s v="pRT5aJ3nbHM"/>
    <s v="https://www.youtube.com/watch?v=pRT5aJ3nbHM"/>
    <s v="none"/>
    <n v="1"/>
    <x v="92"/>
    <d v="2022-10-02T04:28:05.000"/>
    <m/>
    <m/>
    <m/>
    <n v="1"/>
    <n v="4"/>
    <n v="4"/>
    <n v="1"/>
    <n v="3.7037037037037037"/>
    <n v="0"/>
    <n v="0"/>
    <n v="0"/>
    <n v="0"/>
    <n v="13"/>
    <n v="48.148148148148145"/>
    <n v="27"/>
  </r>
  <r>
    <s v="UCt1IQuev0N_bgTs_ToN-7zw"/>
    <s v="UCN3kEN9f6Jas3E5aMl4qfeg"/>
    <s v="128, 128, 128"/>
    <n v="3"/>
    <m/>
    <n v="40"/>
    <m/>
    <m/>
    <m/>
    <m/>
    <s v="No"/>
    <n v="96"/>
    <m/>
    <m/>
    <s v="Commented Video"/>
    <x v="0"/>
    <s v="It&amp;#39;s a corrupt and emotional ranking list."/>
    <s v="UCt1IQuev0N_bgTs_ToN-7zw"/>
    <s v="Sthe_ZAR"/>
    <s v="http://www.youtube.com/channel/UCt1IQuev0N_bgTs_ToN-7zw"/>
    <m/>
    <s v="pRT5aJ3nbHM"/>
    <s v="https://www.youtube.com/watch?v=pRT5aJ3nbHM"/>
    <s v="none"/>
    <n v="1"/>
    <x v="93"/>
    <d v="2022-10-02T04:34:57.000"/>
    <m/>
    <m/>
    <m/>
    <n v="1"/>
    <n v="4"/>
    <n v="4"/>
    <n v="0"/>
    <n v="0"/>
    <n v="1"/>
    <n v="11.11111111111111"/>
    <n v="0"/>
    <n v="0"/>
    <n v="3"/>
    <n v="33.333333333333336"/>
    <n v="9"/>
  </r>
  <r>
    <s v="UCSjE0lSlBGOwQAxsbkg66LA"/>
    <s v="UCN3kEN9f6Jas3E5aMl4qfeg"/>
    <s v="128, 128, 128"/>
    <n v="3"/>
    <m/>
    <n v="40"/>
    <m/>
    <m/>
    <m/>
    <m/>
    <s v="No"/>
    <n v="97"/>
    <m/>
    <m/>
    <s v="Commented Video"/>
    <x v="0"/>
    <s v="Please we didn’t see the Kwame Nkrumah university of science and technology Ghana 🇬🇭 one of the best medical schools in Africa"/>
    <s v="UCSjE0lSlBGOwQAxsbkg66LA"/>
    <s v="Akwoy Kolor Timothy"/>
    <s v="http://www.youtube.com/channel/UCSjE0lSlBGOwQAxsbkg66LA"/>
    <m/>
    <s v="pRT5aJ3nbHM"/>
    <s v="https://www.youtube.com/watch?v=pRT5aJ3nbHM"/>
    <s v="none"/>
    <n v="4"/>
    <x v="94"/>
    <d v="2022-10-02T18:10:29.000"/>
    <m/>
    <m/>
    <m/>
    <n v="1"/>
    <n v="4"/>
    <n v="4"/>
    <n v="1"/>
    <n v="4.545454545454546"/>
    <n v="0"/>
    <n v="0"/>
    <n v="0"/>
    <n v="0"/>
    <n v="9"/>
    <n v="40.90909090909091"/>
    <n v="22"/>
  </r>
  <r>
    <s v="UCXpFY0tltWLX5LctzkhILsw"/>
    <s v="UCN3kEN9f6Jas3E5aMl4qfeg"/>
    <s v="128, 128, 128"/>
    <n v="3"/>
    <m/>
    <n v="40"/>
    <m/>
    <m/>
    <m/>
    <m/>
    <s v="No"/>
    <n v="98"/>
    <m/>
    <m/>
    <s v="Commented Video"/>
    <x v="0"/>
    <s v="On medical universities makerere shud be on top,,in east Africa t leads followed by Tanzania"/>
    <s v="UCXpFY0tltWLX5LctzkhILsw"/>
    <s v="Trust Via"/>
    <s v="http://www.youtube.com/channel/UCXpFY0tltWLX5LctzkhILsw"/>
    <m/>
    <s v="pRT5aJ3nbHM"/>
    <s v="https://www.youtube.com/watch?v=pRT5aJ3nbHM"/>
    <s v="none"/>
    <n v="1"/>
    <x v="95"/>
    <d v="2022-10-03T15:18:40.000"/>
    <m/>
    <m/>
    <m/>
    <n v="1"/>
    <n v="4"/>
    <n v="4"/>
    <n v="1"/>
    <n v="6.25"/>
    <n v="0"/>
    <n v="0"/>
    <n v="0"/>
    <n v="0"/>
    <n v="8"/>
    <n v="50"/>
    <n v="16"/>
  </r>
  <r>
    <s v="UCwUoMmkhZxBAUh7XwIyZuAg"/>
    <s v="UCN3kEN9f6Jas3E5aMl4qfeg"/>
    <s v="128, 128, 128"/>
    <n v="3"/>
    <m/>
    <n v="40"/>
    <m/>
    <m/>
    <m/>
    <m/>
    <s v="No"/>
    <n v="99"/>
    <m/>
    <m/>
    <s v="Commented Video"/>
    <x v="0"/>
    <s v="North West University has no medical school. Who researches this 😑😑😑😑💀💀💀"/>
    <s v="UCwUoMmkhZxBAUh7XwIyZuAg"/>
    <s v="Kagiso Nko"/>
    <s v="http://www.youtube.com/channel/UCwUoMmkhZxBAUh7XwIyZuAg"/>
    <m/>
    <s v="pRT5aJ3nbHM"/>
    <s v="https://www.youtube.com/watch?v=pRT5aJ3nbHM"/>
    <s v="none"/>
    <n v="1"/>
    <x v="96"/>
    <d v="2022-10-04T04:17:13.000"/>
    <m/>
    <m/>
    <m/>
    <n v="1"/>
    <n v="4"/>
    <n v="4"/>
    <n v="0"/>
    <n v="0"/>
    <n v="0"/>
    <n v="0"/>
    <n v="0"/>
    <n v="0"/>
    <n v="6"/>
    <n v="60"/>
    <n v="10"/>
  </r>
  <r>
    <s v="UCI7BoLPkH6apL97k50J-Y5w"/>
    <s v="UCN3kEN9f6Jas3E5aMl4qfeg"/>
    <s v="128, 128, 128"/>
    <n v="3"/>
    <m/>
    <n v="40"/>
    <m/>
    <m/>
    <m/>
    <m/>
    <s v="No"/>
    <n v="100"/>
    <m/>
    <m/>
    <s v="Commented Video"/>
    <x v="0"/>
    <s v="Even Walter Sisulu University is very good when it comes to Medicine ...I&amp;#39;m suprised North west University is in the list whereas it has noo medical school"/>
    <s v="UCI7BoLPkH6apL97k50J-Y5w"/>
    <s v="M T"/>
    <s v="http://www.youtube.com/channel/UCI7BoLPkH6apL97k50J-Y5w"/>
    <m/>
    <s v="pRT5aJ3nbHM"/>
    <s v="https://www.youtube.com/watch?v=pRT5aJ3nbHM"/>
    <s v="none"/>
    <n v="14"/>
    <x v="97"/>
    <d v="2022-10-04T22:02:43.000"/>
    <m/>
    <m/>
    <m/>
    <n v="1"/>
    <n v="4"/>
    <n v="4"/>
    <n v="1"/>
    <n v="3.4482758620689653"/>
    <n v="0"/>
    <n v="0"/>
    <n v="0"/>
    <n v="0"/>
    <n v="12"/>
    <n v="41.37931034482759"/>
    <n v="29"/>
  </r>
  <r>
    <s v="UCjgMPLmajooHkHX18fjLIZw"/>
    <s v="UCN3kEN9f6Jas3E5aMl4qfeg"/>
    <s v="128, 128, 128"/>
    <n v="3"/>
    <m/>
    <n v="40"/>
    <m/>
    <m/>
    <m/>
    <m/>
    <s v="No"/>
    <n v="101"/>
    <m/>
    <m/>
    <s v="Commented Video"/>
    <x v="0"/>
    <s v="North West University has no medical school, they are still thinking of adding Medicine"/>
    <s v="UCjgMPLmajooHkHX18fjLIZw"/>
    <s v="Tumelo Ndubane"/>
    <s v="http://www.youtube.com/channel/UCjgMPLmajooHkHX18fjLIZw"/>
    <m/>
    <s v="pRT5aJ3nbHM"/>
    <s v="https://www.youtube.com/watch?v=pRT5aJ3nbHM"/>
    <s v="none"/>
    <n v="1"/>
    <x v="98"/>
    <d v="2022-10-06T05:34:15.000"/>
    <m/>
    <m/>
    <m/>
    <n v="1"/>
    <n v="4"/>
    <n v="4"/>
    <n v="0"/>
    <n v="0"/>
    <n v="0"/>
    <n v="0"/>
    <n v="0"/>
    <n v="0"/>
    <n v="8"/>
    <n v="57.142857142857146"/>
    <n v="14"/>
  </r>
  <r>
    <s v="UCK6MI5zP7kCf1pv1_d_nJ7g"/>
    <s v="UCN3kEN9f6Jas3E5aMl4qfeg"/>
    <s v="128, 128, 128"/>
    <n v="3"/>
    <m/>
    <n v="40"/>
    <m/>
    <m/>
    <m/>
    <m/>
    <s v="No"/>
    <n v="102"/>
    <m/>
    <m/>
    <s v="Commented Video"/>
    <x v="0"/>
    <s v="fake information, NWU doesn&amp;#39;t provide medicine, South African Universities that provide medicine as &amp;quot;WSU, UKZN, UFS. UCT, UP, University of Lipompo, Stellenboch University&amp;#39; and WITS&amp;quot; WSU and UKZ is one of the best medical schools"/>
    <s v="UCK6MI5zP7kCf1pv1_d_nJ7g"/>
    <s v="Sikhumbule Lufutha"/>
    <s v="http://www.youtube.com/channel/UCK6MI5zP7kCf1pv1_d_nJ7g"/>
    <m/>
    <s v="pRT5aJ3nbHM"/>
    <s v="https://www.youtube.com/watch?v=pRT5aJ3nbHM"/>
    <s v="none"/>
    <n v="1"/>
    <x v="99"/>
    <d v="2022-10-08T07:35:50.000"/>
    <m/>
    <m/>
    <m/>
    <n v="1"/>
    <n v="4"/>
    <n v="4"/>
    <n v="1"/>
    <n v="2.5"/>
    <n v="1"/>
    <n v="2.5"/>
    <n v="0"/>
    <n v="0"/>
    <n v="22"/>
    <n v="55"/>
    <n v="40"/>
  </r>
  <r>
    <s v="UCIDy2RwI4OpXpxA7vHefKJg"/>
    <s v="UCN3kEN9f6Jas3E5aMl4qfeg"/>
    <s v="128, 128, 128"/>
    <n v="3"/>
    <m/>
    <n v="40"/>
    <m/>
    <m/>
    <m/>
    <m/>
    <s v="No"/>
    <n v="103"/>
    <m/>
    <m/>
    <s v="Commented Video"/>
    <x v="0"/>
    <s v="This ranking is bogus... As far as I know, North-West University does not have a medical school."/>
    <s v="UCIDy2RwI4OpXpxA7vHefKJg"/>
    <s v="Tafadzwa Nerwande"/>
    <s v="http://www.youtube.com/channel/UCIDy2RwI4OpXpxA7vHefKJg"/>
    <m/>
    <s v="pRT5aJ3nbHM"/>
    <s v="https://www.youtube.com/watch?v=pRT5aJ3nbHM"/>
    <s v="none"/>
    <n v="0"/>
    <x v="100"/>
    <d v="2022-10-08T18:49:28.000"/>
    <m/>
    <m/>
    <m/>
    <n v="1"/>
    <n v="4"/>
    <n v="4"/>
    <n v="0"/>
    <n v="0"/>
    <n v="1"/>
    <n v="5.555555555555555"/>
    <n v="0"/>
    <n v="0"/>
    <n v="7"/>
    <n v="38.888888888888886"/>
    <n v="18"/>
  </r>
  <r>
    <s v="UCzP9bEmqy6rusl5xAIv-xrA"/>
    <s v="UCN3kEN9f6Jas3E5aMl4qfeg"/>
    <s v="128, 128, 128"/>
    <n v="3"/>
    <m/>
    <n v="40"/>
    <m/>
    <m/>
    <m/>
    <m/>
    <s v="No"/>
    <n v="104"/>
    <m/>
    <m/>
    <s v="Commented Video"/>
    <x v="0"/>
    <s v="This is falsehood"/>
    <s v="UCzP9bEmqy6rusl5xAIv-xrA"/>
    <s v="FOS -B DE BIOLOGISTS"/>
    <s v="http://www.youtube.com/channel/UCzP9bEmqy6rusl5xAIv-xrA"/>
    <m/>
    <s v="pRT5aJ3nbHM"/>
    <s v="https://www.youtube.com/watch?v=pRT5aJ3nbHM"/>
    <s v="none"/>
    <n v="0"/>
    <x v="101"/>
    <d v="2022-10-11T15:59:10.000"/>
    <m/>
    <m/>
    <m/>
    <n v="1"/>
    <n v="4"/>
    <n v="4"/>
    <n v="0"/>
    <n v="0"/>
    <n v="1"/>
    <n v="33.333333333333336"/>
    <n v="0"/>
    <n v="0"/>
    <n v="0"/>
    <n v="0"/>
    <n v="3"/>
  </r>
  <r>
    <s v="UCBDmMIl7xaotZ_ZYgIXys1A"/>
    <s v="UCN3kEN9f6Jas3E5aMl4qfeg"/>
    <s v="128, 128, 128"/>
    <n v="3"/>
    <m/>
    <n v="40"/>
    <m/>
    <m/>
    <m/>
    <m/>
    <s v="No"/>
    <n v="105"/>
    <m/>
    <m/>
    <s v="Commented Video"/>
    <x v="0"/>
    <s v="As a South African I can confidently say that North West University doesn’t even have a medical school👀"/>
    <s v="UCBDmMIl7xaotZ_ZYgIXys1A"/>
    <s v="Siya Mav"/>
    <s v="http://www.youtube.com/channel/UCBDmMIl7xaotZ_ZYgIXys1A"/>
    <m/>
    <s v="pRT5aJ3nbHM"/>
    <s v="https://www.youtube.com/watch?v=pRT5aJ3nbHM"/>
    <s v="none"/>
    <n v="25"/>
    <x v="102"/>
    <d v="2022-10-11T19:05:04.000"/>
    <m/>
    <m/>
    <m/>
    <n v="1"/>
    <n v="4"/>
    <n v="4"/>
    <n v="0"/>
    <n v="0"/>
    <n v="0"/>
    <n v="0"/>
    <n v="0"/>
    <n v="0"/>
    <n v="8"/>
    <n v="42.10526315789474"/>
    <n v="19"/>
  </r>
  <r>
    <s v="UCP9Tu8lLXl-cwVLL1_4kV_g"/>
    <s v="UCN3kEN9f6Jas3E5aMl4qfeg"/>
    <s v="128, 128, 128"/>
    <n v="3"/>
    <m/>
    <n v="40"/>
    <m/>
    <m/>
    <m/>
    <m/>
    <s v="No"/>
    <n v="106"/>
    <m/>
    <m/>
    <s v="Commented Video"/>
    <x v="0"/>
    <s v="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
    <s v="UCP9Tu8lLXl-cwVLL1_4kV_g"/>
    <s v="Lebo Daniel"/>
    <s v="http://www.youtube.com/channel/UCP9Tu8lLXl-cwVLL1_4kV_g"/>
    <m/>
    <s v="pRT5aJ3nbHM"/>
    <s v="https://www.youtube.com/watch?v=pRT5aJ3nbHM"/>
    <s v="none"/>
    <n v="0"/>
    <x v="103"/>
    <d v="2022-10-11T22:33:50.000"/>
    <m/>
    <m/>
    <m/>
    <n v="1"/>
    <n v="4"/>
    <n v="4"/>
    <n v="3"/>
    <n v="6.122448979591836"/>
    <n v="1"/>
    <n v="2.0408163265306123"/>
    <n v="0"/>
    <n v="0"/>
    <n v="18"/>
    <n v="36.734693877551024"/>
    <n v="49"/>
  </r>
  <r>
    <s v="UC3T6vcfVSrtVBPvF5T_xa0w"/>
    <s v="UCN3kEN9f6Jas3E5aMl4qfeg"/>
    <s v="128, 128, 128"/>
    <n v="3"/>
    <m/>
    <n v="40"/>
    <m/>
    <m/>
    <m/>
    <m/>
    <s v="No"/>
    <n v="107"/>
    <m/>
    <m/>
    <s v="Commented Video"/>
    <x v="0"/>
    <s v="Please check your facts before going on air. What is this? There are 10 medical schools in SA and NWU is not one of them"/>
    <s v="UC3T6vcfVSrtVBPvF5T_xa0w"/>
    <s v="Sebolelo Phakisi"/>
    <s v="http://www.youtube.com/channel/UC3T6vcfVSrtVBPvF5T_xa0w"/>
    <m/>
    <s v="pRT5aJ3nbHM"/>
    <s v="https://www.youtube.com/watch?v=pRT5aJ3nbHM"/>
    <s v="none"/>
    <n v="0"/>
    <x v="104"/>
    <d v="2022-10-12T00:09:11.000"/>
    <m/>
    <m/>
    <m/>
    <n v="1"/>
    <n v="4"/>
    <n v="4"/>
    <n v="0"/>
    <n v="0"/>
    <n v="0"/>
    <n v="0"/>
    <n v="0"/>
    <n v="0"/>
    <n v="8"/>
    <n v="32"/>
    <n v="25"/>
  </r>
  <r>
    <s v="UCSVb_doMhFCuWEB-jKFFBwg"/>
    <s v="UCN3kEN9f6Jas3E5aMl4qfeg"/>
    <s v="128, 128, 128"/>
    <n v="3"/>
    <m/>
    <n v="40"/>
    <m/>
    <m/>
    <m/>
    <m/>
    <s v="No"/>
    <n v="108"/>
    <m/>
    <m/>
    <s v="Commented Video"/>
    <x v="0"/>
    <s v="Nonsense!!!"/>
    <s v="UCSVb_doMhFCuWEB-jKFFBwg"/>
    <s v="stephen yala"/>
    <s v="http://www.youtube.com/channel/UCSVb_doMhFCuWEB-jKFFBwg"/>
    <m/>
    <s v="pRT5aJ3nbHM"/>
    <s v="https://www.youtube.com/watch?v=pRT5aJ3nbHM"/>
    <s v="none"/>
    <n v="0"/>
    <x v="105"/>
    <d v="2022-10-12T05:28:41.000"/>
    <m/>
    <m/>
    <m/>
    <n v="1"/>
    <n v="4"/>
    <n v="4"/>
    <n v="0"/>
    <n v="0"/>
    <n v="1"/>
    <n v="100"/>
    <n v="0"/>
    <n v="0"/>
    <n v="0"/>
    <n v="0"/>
    <n v="1"/>
  </r>
  <r>
    <s v="UCouml9o85CbzVWdG5kzcueA"/>
    <s v="UCN3kEN9f6Jas3E5aMl4qfeg"/>
    <s v="128, 128, 128"/>
    <n v="3"/>
    <m/>
    <n v="40"/>
    <m/>
    <m/>
    <m/>
    <m/>
    <s v="No"/>
    <n v="109"/>
    <m/>
    <m/>
    <s v="Commented Video"/>
    <x v="0"/>
    <s v="Where is ukzn?"/>
    <s v="UCouml9o85CbzVWdG5kzcueA"/>
    <s v="SAMUKELO MADIDE"/>
    <s v="http://www.youtube.com/channel/UCouml9o85CbzVWdG5kzcueA"/>
    <m/>
    <s v="pRT5aJ3nbHM"/>
    <s v="https://www.youtube.com/watch?v=pRT5aJ3nbHM"/>
    <s v="none"/>
    <n v="0"/>
    <x v="106"/>
    <d v="2022-10-12T06:31:15.000"/>
    <m/>
    <m/>
    <m/>
    <n v="1"/>
    <n v="4"/>
    <n v="4"/>
    <n v="0"/>
    <n v="0"/>
    <n v="0"/>
    <n v="0"/>
    <n v="0"/>
    <n v="0"/>
    <n v="1"/>
    <n v="33.333333333333336"/>
    <n v="3"/>
  </r>
  <r>
    <s v="UCZE8M4UePEf4M89kJqB8Tig"/>
    <s v="UCN3kEN9f6Jas3E5aMl4qfeg"/>
    <s v="141, 115, 115"/>
    <n v="6.5"/>
    <m/>
    <n v="27.5"/>
    <m/>
    <m/>
    <m/>
    <m/>
    <s v="No"/>
    <n v="110"/>
    <m/>
    <m/>
    <s v="Commented Video"/>
    <x v="0"/>
    <s v="Where do you guys get your facts from why university of Ghana and not Kwame nkrumah university of science and technology"/>
    <s v="UCZE8M4UePEf4M89kJqB8Tig"/>
    <s v="nana adu bekoe"/>
    <s v="http://www.youtube.com/channel/UCZE8M4UePEf4M89kJqB8Tig"/>
    <m/>
    <s v="pRT5aJ3nbHM"/>
    <s v="https://www.youtube.com/watch?v=pRT5aJ3nbHM"/>
    <s v="none"/>
    <n v="0"/>
    <x v="107"/>
    <d v="2022-10-12T21:25:43.000"/>
    <m/>
    <m/>
    <m/>
    <n v="4"/>
    <n v="4"/>
    <n v="4"/>
    <n v="0"/>
    <n v="0"/>
    <n v="0"/>
    <n v="0"/>
    <n v="0"/>
    <n v="0"/>
    <n v="9"/>
    <n v="42.857142857142854"/>
    <n v="21"/>
  </r>
  <r>
    <s v="UCEqVzBT7SFk-XhatGhDaSqA"/>
    <s v="UCN3kEN9f6Jas3E5aMl4qfeg"/>
    <s v="128, 128, 128"/>
    <n v="3"/>
    <m/>
    <n v="40"/>
    <m/>
    <m/>
    <m/>
    <m/>
    <s v="No"/>
    <n v="111"/>
    <m/>
    <m/>
    <s v="Commented Video"/>
    <x v="0"/>
    <s v="I am not sure what criteria are being used here and I find it a lot more misleading.  North West University does not have a medical school and should not be included in this list."/>
    <s v="UCEqVzBT7SFk-XhatGhDaSqA"/>
    <s v="GT Matters (In their own words"/>
    <s v="http://www.youtube.com/channel/UCEqVzBT7SFk-XhatGhDaSqA"/>
    <m/>
    <s v="pRT5aJ3nbHM"/>
    <s v="https://www.youtube.com/watch?v=pRT5aJ3nbHM"/>
    <s v="none"/>
    <n v="0"/>
    <x v="108"/>
    <d v="2022-10-13T05:42:57.000"/>
    <m/>
    <m/>
    <m/>
    <n v="1"/>
    <n v="4"/>
    <n v="4"/>
    <n v="0"/>
    <n v="0"/>
    <n v="1"/>
    <n v="2.857142857142857"/>
    <n v="0"/>
    <n v="0"/>
    <n v="10"/>
    <n v="28.571428571428573"/>
    <n v="35"/>
  </r>
  <r>
    <s v="UCu7voL1-c4P9GneVn9hMNBw"/>
    <s v="UCN3kEN9f6Jas3E5aMl4qfeg"/>
    <s v="128, 128, 128"/>
    <n v="3"/>
    <m/>
    <n v="40"/>
    <m/>
    <m/>
    <m/>
    <m/>
    <s v="No"/>
    <n v="112"/>
    <m/>
    <m/>
    <s v="Commented Video"/>
    <x v="0"/>
    <s v="University of KwaZulu-Natal (UKZN School Of Medison)"/>
    <s v="UCu7voL1-c4P9GneVn9hMNBw"/>
    <s v="Skhumbuzi Ntsibande"/>
    <s v="http://www.youtube.com/channel/UCu7voL1-c4P9GneVn9hMNBw"/>
    <m/>
    <s v="pRT5aJ3nbHM"/>
    <s v="https://www.youtube.com/watch?v=pRT5aJ3nbHM"/>
    <s v="none"/>
    <n v="0"/>
    <x v="109"/>
    <d v="2022-10-13T11:03:15.000"/>
    <m/>
    <m/>
    <m/>
    <n v="1"/>
    <n v="4"/>
    <n v="4"/>
    <n v="0"/>
    <n v="0"/>
    <n v="0"/>
    <n v="0"/>
    <n v="0"/>
    <n v="0"/>
    <n v="6"/>
    <n v="75"/>
    <n v="8"/>
  </r>
  <r>
    <s v="UC4esSLpWxO9TjiUbNzUH2DA"/>
    <s v="UCN3kEN9f6Jas3E5aMl4qfeg"/>
    <s v="128, 128, 128"/>
    <n v="3"/>
    <m/>
    <n v="40"/>
    <m/>
    <m/>
    <m/>
    <m/>
    <s v="No"/>
    <n v="113"/>
    <m/>
    <m/>
    <s v="Commented Video"/>
    <x v="0"/>
    <s v="nonsense"/>
    <s v="UC4esSLpWxO9TjiUbNzUH2DA"/>
    <s v="Mlungisi Nkanunu"/>
    <s v="http://www.youtube.com/channel/UC4esSLpWxO9TjiUbNzUH2DA"/>
    <m/>
    <s v="pRT5aJ3nbHM"/>
    <s v="https://www.youtube.com/watch?v=pRT5aJ3nbHM"/>
    <s v="none"/>
    <n v="0"/>
    <x v="110"/>
    <d v="2022-10-13T11:49:24.000"/>
    <m/>
    <m/>
    <m/>
    <n v="1"/>
    <n v="4"/>
    <n v="4"/>
    <n v="0"/>
    <n v="0"/>
    <n v="1"/>
    <n v="100"/>
    <n v="0"/>
    <n v="0"/>
    <n v="0"/>
    <n v="0"/>
    <n v="1"/>
  </r>
  <r>
    <s v="UCt5zQPu8nXjohE7lmfHc_JQ"/>
    <s v="UCN3kEN9f6Jas3E5aMl4qfeg"/>
    <s v="128, 128, 128"/>
    <n v="3"/>
    <m/>
    <n v="40"/>
    <m/>
    <m/>
    <m/>
    <m/>
    <s v="No"/>
    <n v="114"/>
    <m/>
    <m/>
    <s v="Commented Video"/>
    <x v="0"/>
    <s v="The title of this video is misleading. It says medical universities, but it included North West University in #9. NWU does not have a medical school, or are you referring to Nursing degree?"/>
    <s v="UCt5zQPu8nXjohE7lmfHc_JQ"/>
    <s v="Africa Accelerated Economic Development  (NPO)"/>
    <s v="http://www.youtube.com/channel/UCt5zQPu8nXjohE7lmfHc_JQ"/>
    <m/>
    <s v="pRT5aJ3nbHM"/>
    <s v="https://www.youtube.com/watch?v=pRT5aJ3nbHM"/>
    <s v="none"/>
    <n v="0"/>
    <x v="111"/>
    <d v="2022-10-13T19:24:36.000"/>
    <m/>
    <m/>
    <m/>
    <n v="1"/>
    <n v="4"/>
    <n v="4"/>
    <n v="0"/>
    <n v="0"/>
    <n v="1"/>
    <n v="3.0303030303030303"/>
    <n v="0"/>
    <n v="0"/>
    <n v="13"/>
    <n v="39.39393939393939"/>
    <n v="33"/>
  </r>
  <r>
    <s v="UCmVL9ei5toadpH-wPtYkllg"/>
    <s v="UCN3kEN9f6Jas3E5aMl4qfeg"/>
    <s v="128, 128, 128"/>
    <n v="3"/>
    <m/>
    <n v="40"/>
    <m/>
    <m/>
    <m/>
    <m/>
    <s v="No"/>
    <n v="115"/>
    <m/>
    <m/>
    <s v="Commented Video"/>
    <x v="0"/>
    <s v="Where&amp;#39;s the University of Nairobi"/>
    <s v="UCmVL9ei5toadpH-wPtYkllg"/>
    <s v="Elvis Otieno"/>
    <s v="http://www.youtube.com/channel/UCmVL9ei5toadpH-wPtYkllg"/>
    <m/>
    <s v="pRT5aJ3nbHM"/>
    <s v="https://www.youtube.com/watch?v=pRT5aJ3nbHM"/>
    <s v="none"/>
    <n v="0"/>
    <x v="112"/>
    <d v="2022-10-13T23:16:17.000"/>
    <m/>
    <m/>
    <m/>
    <n v="1"/>
    <n v="4"/>
    <n v="4"/>
    <n v="0"/>
    <n v="0"/>
    <n v="0"/>
    <n v="0"/>
    <n v="0"/>
    <n v="0"/>
    <n v="2"/>
    <n v="28.571428571428573"/>
    <n v="7"/>
  </r>
  <r>
    <s v="UCtZODGfQZAGMps0UTzAZ26Q"/>
    <s v="UCN3kEN9f6Jas3E5aMl4qfeg"/>
    <s v="128, 128, 128"/>
    <n v="3"/>
    <m/>
    <n v="40"/>
    <m/>
    <m/>
    <m/>
    <m/>
    <s v="No"/>
    <n v="116"/>
    <m/>
    <m/>
    <s v="Commented Video"/>
    <x v="0"/>
    <s v="You need to do more research before posting. Some of these institutions don&amp;#39;t even have medical schools. You also left out some of the best medical schools in Africa such as UKZN"/>
    <s v="UCtZODGfQZAGMps0UTzAZ26Q"/>
    <s v="Nguboyengwe KaLuvuyo"/>
    <s v="http://www.youtube.com/channel/UCtZODGfQZAGMps0UTzAZ26Q"/>
    <m/>
    <s v="pRT5aJ3nbHM"/>
    <s v="https://www.youtube.com/watch?v=pRT5aJ3nbHM"/>
    <s v="none"/>
    <n v="0"/>
    <x v="113"/>
    <d v="2022-10-14T13:48:11.000"/>
    <m/>
    <m/>
    <m/>
    <n v="1"/>
    <n v="4"/>
    <n v="4"/>
    <n v="1"/>
    <n v="2.9411764705882355"/>
    <n v="0"/>
    <n v="0"/>
    <n v="0"/>
    <n v="0"/>
    <n v="10"/>
    <n v="29.41176470588235"/>
    <n v="34"/>
  </r>
  <r>
    <s v="UChT8AEosnNpVqK9F8LEViEg"/>
    <s v="UCN3kEN9f6Jas3E5aMl4qfeg"/>
    <s v="128, 128, 128"/>
    <n v="3"/>
    <m/>
    <n v="40"/>
    <m/>
    <m/>
    <m/>
    <m/>
    <s v="No"/>
    <n v="117"/>
    <m/>
    <m/>
    <s v="Commented Video"/>
    <x v="0"/>
    <s v="I study in NWU and I can confirm there&amp;#39;s no medical school here. Wonder where you get your information"/>
    <s v="UChT8AEosnNpVqK9F8LEViEg"/>
    <s v="Klaas De Mega"/>
    <s v="http://www.youtube.com/channel/UChT8AEosnNpVqK9F8LEViEg"/>
    <m/>
    <s v="pRT5aJ3nbHM"/>
    <s v="https://www.youtube.com/watch?v=pRT5aJ3nbHM"/>
    <s v="none"/>
    <n v="5"/>
    <x v="114"/>
    <d v="2022-10-14T23:41:42.000"/>
    <m/>
    <m/>
    <m/>
    <n v="1"/>
    <n v="4"/>
    <n v="4"/>
    <n v="0"/>
    <n v="0"/>
    <n v="0"/>
    <n v="0"/>
    <n v="0"/>
    <n v="0"/>
    <n v="6"/>
    <n v="28.571428571428573"/>
    <n v="21"/>
  </r>
  <r>
    <s v="UC69m6Zrv3h2B-v2d9C4PUHQ"/>
    <s v="UCN3kEN9f6Jas3E5aMl4qfeg"/>
    <s v="128, 128, 128"/>
    <n v="3"/>
    <m/>
    <n v="40"/>
    <m/>
    <m/>
    <m/>
    <m/>
    <s v="No"/>
    <n v="118"/>
    <m/>
    <m/>
    <s v="Commented Video"/>
    <x v="0"/>
    <s v="University of KwaZulu Natal didn’t make the list?😮"/>
    <s v="UC69m6Zrv3h2B-v2d9C4PUHQ"/>
    <s v="Mlu Simelane"/>
    <s v="http://www.youtube.com/channel/UC69m6Zrv3h2B-v2d9C4PUHQ"/>
    <m/>
    <s v="pRT5aJ3nbHM"/>
    <s v="https://www.youtube.com/watch?v=pRT5aJ3nbHM"/>
    <s v="none"/>
    <n v="0"/>
    <x v="115"/>
    <d v="2022-10-15T19:10:13.000"/>
    <m/>
    <m/>
    <m/>
    <n v="1"/>
    <n v="4"/>
    <n v="4"/>
    <n v="0"/>
    <n v="0"/>
    <n v="0"/>
    <n v="0"/>
    <n v="0"/>
    <n v="0"/>
    <n v="4"/>
    <n v="44.44444444444444"/>
    <n v="9"/>
  </r>
  <r>
    <s v="UCVrxqJMnaZ4DonYjn-TzZtA"/>
    <s v="UCN3kEN9f6Jas3E5aMl4qfeg"/>
    <s v="128, 128, 128"/>
    <n v="3"/>
    <m/>
    <n v="40"/>
    <m/>
    <m/>
    <m/>
    <m/>
    <s v="No"/>
    <n v="119"/>
    <m/>
    <m/>
    <s v="Commented Video"/>
    <x v="0"/>
    <s v="I appreciate your content but I&amp;#39;m struggling to understand how come University of KwaZulu-Natal (UKZN) is not in the list? In fact, it should be number one."/>
    <s v="UCVrxqJMnaZ4DonYjn-TzZtA"/>
    <s v="Nkululeko Shezi"/>
    <s v="http://www.youtube.com/channel/UCVrxqJMnaZ4DonYjn-TzZtA"/>
    <m/>
    <s v="pRT5aJ3nbHM"/>
    <s v="https://www.youtube.com/watch?v=pRT5aJ3nbHM"/>
    <s v="none"/>
    <n v="2"/>
    <x v="116"/>
    <d v="2022-10-15T23:25:14.000"/>
    <m/>
    <m/>
    <m/>
    <n v="1"/>
    <n v="4"/>
    <n v="4"/>
    <n v="1"/>
    <n v="3.3333333333333335"/>
    <n v="1"/>
    <n v="3.3333333333333335"/>
    <n v="0"/>
    <n v="0"/>
    <n v="8"/>
    <n v="26.666666666666668"/>
    <n v="30"/>
  </r>
  <r>
    <s v="UCPVMvl2anCY-LedUJBXzqKQ"/>
    <s v="UCN3kEN9f6Jas3E5aMl4qfeg"/>
    <s v="128, 128, 128"/>
    <n v="3"/>
    <m/>
    <n v="40"/>
    <m/>
    <m/>
    <m/>
    <m/>
    <s v="No"/>
    <n v="120"/>
    <m/>
    <m/>
    <s v="Commented Video"/>
    <x v="0"/>
    <s v="The fact that The University of Nairobi is not here makes this entire list false!!!"/>
    <s v="UCPVMvl2anCY-LedUJBXzqKQ"/>
    <s v="Caleb Ekaale"/>
    <s v="http://www.youtube.com/channel/UCPVMvl2anCY-LedUJBXzqKQ"/>
    <m/>
    <s v="pRT5aJ3nbHM"/>
    <s v="https://www.youtube.com/watch?v=pRT5aJ3nbHM"/>
    <s v="none"/>
    <n v="2"/>
    <x v="117"/>
    <d v="2022-10-16T02:45:30.000"/>
    <m/>
    <m/>
    <m/>
    <n v="1"/>
    <n v="4"/>
    <n v="4"/>
    <n v="0"/>
    <n v="0"/>
    <n v="1"/>
    <n v="6.666666666666667"/>
    <n v="0"/>
    <n v="0"/>
    <n v="5"/>
    <n v="33.333333333333336"/>
    <n v="15"/>
  </r>
  <r>
    <s v="UCZ3KHdE7i632s9TVW19yu0Q"/>
    <s v="UCN3kEN9f6Jas3E5aMl4qfeg"/>
    <s v="128, 128, 128"/>
    <n v="3"/>
    <m/>
    <n v="40"/>
    <m/>
    <m/>
    <m/>
    <m/>
    <s v="No"/>
    <n v="121"/>
    <m/>
    <m/>
    <s v="Commented Video"/>
    <x v="0"/>
    <s v="Just for youtube money. Nothing true."/>
    <s v="UCZ3KHdE7i632s9TVW19yu0Q"/>
    <s v="Catherine G"/>
    <s v="http://www.youtube.com/channel/UCZ3KHdE7i632s9TVW19yu0Q"/>
    <m/>
    <s v="pRT5aJ3nbHM"/>
    <s v="https://www.youtube.com/watch?v=pRT5aJ3nbHM"/>
    <s v="none"/>
    <n v="0"/>
    <x v="118"/>
    <d v="2022-10-16T16:53:00.000"/>
    <m/>
    <m/>
    <m/>
    <n v="1"/>
    <n v="4"/>
    <n v="4"/>
    <n v="0"/>
    <n v="0"/>
    <n v="0"/>
    <n v="0"/>
    <n v="0"/>
    <n v="0"/>
    <n v="2"/>
    <n v="33.333333333333336"/>
    <n v="6"/>
  </r>
  <r>
    <s v="UCNlS14JjzEr-TJrW6OGwsMw"/>
    <s v="UCN3kEN9f6Jas3E5aMl4qfeg"/>
    <s v="128, 128, 128"/>
    <n v="3"/>
    <m/>
    <n v="40"/>
    <m/>
    <m/>
    <m/>
    <m/>
    <s v="No"/>
    <n v="122"/>
    <m/>
    <m/>
    <s v="Commented Video"/>
    <x v="0"/>
    <s v="A very serious omission not to have a university from Kenya."/>
    <s v="UCNlS14JjzEr-TJrW6OGwsMw"/>
    <s v="Charles Macharia"/>
    <s v="http://www.youtube.com/channel/UCNlS14JjzEr-TJrW6OGwsMw"/>
    <m/>
    <s v="pRT5aJ3nbHM"/>
    <s v="https://www.youtube.com/watch?v=pRT5aJ3nbHM"/>
    <s v="none"/>
    <n v="1"/>
    <x v="119"/>
    <d v="2022-10-17T17:27:16.000"/>
    <m/>
    <m/>
    <m/>
    <n v="1"/>
    <n v="4"/>
    <n v="4"/>
    <n v="0"/>
    <n v="0"/>
    <n v="1"/>
    <n v="9.090909090909092"/>
    <n v="0"/>
    <n v="0"/>
    <n v="2"/>
    <n v="18.181818181818183"/>
    <n v="11"/>
  </r>
  <r>
    <s v="UC2LW9R5gb-5gidvUTkIIDjQ"/>
    <s v="UCN3kEN9f6Jas3E5aMl4qfeg"/>
    <s v="128, 128, 128"/>
    <n v="3"/>
    <m/>
    <n v="40"/>
    <m/>
    <m/>
    <m/>
    <m/>
    <s v="No"/>
    <n v="123"/>
    <m/>
    <m/>
    <s v="Commented Video"/>
    <x v="0"/>
    <s v="UNISA and NWU are not medical schools"/>
    <s v="UC2LW9R5gb-5gidvUTkIIDjQ"/>
    <s v="Buang Bontle"/>
    <s v="http://www.youtube.com/channel/UC2LW9R5gb-5gidvUTkIIDjQ"/>
    <m/>
    <s v="pRT5aJ3nbHM"/>
    <s v="https://www.youtube.com/watch?v=pRT5aJ3nbHM"/>
    <s v="none"/>
    <n v="0"/>
    <x v="120"/>
    <d v="2022-10-17T22:37:43.000"/>
    <m/>
    <m/>
    <m/>
    <n v="1"/>
    <n v="4"/>
    <n v="4"/>
    <n v="0"/>
    <n v="0"/>
    <n v="0"/>
    <n v="0"/>
    <n v="0"/>
    <n v="0"/>
    <n v="4"/>
    <n v="57.142857142857146"/>
    <n v="7"/>
  </r>
  <r>
    <s v="UCv0eWd61ebucIyWAfoJMtpQ"/>
    <s v="UCN3kEN9f6Jas3E5aMl4qfeg"/>
    <s v="128, 128, 128"/>
    <n v="3"/>
    <m/>
    <n v="40"/>
    <m/>
    <m/>
    <m/>
    <m/>
    <s v="No"/>
    <n v="124"/>
    <m/>
    <m/>
    <s v="Commented Video"/>
    <x v="0"/>
    <s v="Unisa a medical university? Really?"/>
    <s v="UCv0eWd61ebucIyWAfoJMtpQ"/>
    <s v="taki the tutor"/>
    <s v="http://www.youtube.com/channel/UCv0eWd61ebucIyWAfoJMtpQ"/>
    <m/>
    <s v="pRT5aJ3nbHM"/>
    <s v="https://www.youtube.com/watch?v=pRT5aJ3nbHM"/>
    <s v="none"/>
    <n v="0"/>
    <x v="121"/>
    <d v="2022-10-18T06:51:50.000"/>
    <m/>
    <m/>
    <m/>
    <n v="1"/>
    <n v="4"/>
    <n v="4"/>
    <n v="0"/>
    <n v="0"/>
    <n v="0"/>
    <n v="0"/>
    <n v="0"/>
    <n v="0"/>
    <n v="3"/>
    <n v="60"/>
    <n v="5"/>
  </r>
  <r>
    <s v="UCSxRMp0eMJXXZQkROuHKjpw"/>
    <s v="UCN3kEN9f6Jas3E5aMl4qfeg"/>
    <s v="128, 128, 128"/>
    <n v="3"/>
    <m/>
    <n v="40"/>
    <m/>
    <m/>
    <m/>
    <m/>
    <s v="No"/>
    <n v="125"/>
    <m/>
    <m/>
    <s v="Commented Video"/>
    <x v="0"/>
    <s v="These is a joke.... North west university....?"/>
    <s v="UCSxRMp0eMJXXZQkROuHKjpw"/>
    <s v="musa mahori"/>
    <s v="http://www.youtube.com/channel/UCSxRMp0eMJXXZQkROuHKjpw"/>
    <m/>
    <s v="pRT5aJ3nbHM"/>
    <s v="https://www.youtube.com/watch?v=pRT5aJ3nbHM"/>
    <s v="none"/>
    <n v="0"/>
    <x v="122"/>
    <d v="2022-10-18T17:19:28.000"/>
    <m/>
    <m/>
    <m/>
    <n v="1"/>
    <n v="4"/>
    <n v="4"/>
    <n v="0"/>
    <n v="0"/>
    <n v="1"/>
    <n v="14.285714285714286"/>
    <n v="0"/>
    <n v="0"/>
    <n v="3"/>
    <n v="42.857142857142854"/>
    <n v="7"/>
  </r>
  <r>
    <s v="UC2Scn57r4CIqOhGvYWMQ8YA"/>
    <s v="UCN3kEN9f6Jas3E5aMl4qfeg"/>
    <s v="128, 128, 128"/>
    <n v="3"/>
    <m/>
    <n v="40"/>
    <m/>
    <m/>
    <m/>
    <m/>
    <s v="No"/>
    <n v="126"/>
    <m/>
    <m/>
    <s v="Commented Video"/>
    <x v="0"/>
    <s v="Do you watch Jim Nduruchi"/>
    <s v="UC2Scn57r4CIqOhGvYWMQ8YA"/>
    <s v="Irene Davo"/>
    <s v="http://www.youtube.com/channel/UC2Scn57r4CIqOhGvYWMQ8YA"/>
    <m/>
    <s v="pRT5aJ3nbHM"/>
    <s v="https://www.youtube.com/watch?v=pRT5aJ3nbHM"/>
    <s v="none"/>
    <n v="0"/>
    <x v="123"/>
    <d v="2022-10-19T10:30:22.000"/>
    <m/>
    <m/>
    <m/>
    <n v="1"/>
    <n v="4"/>
    <n v="4"/>
    <n v="0"/>
    <n v="0"/>
    <n v="0"/>
    <n v="0"/>
    <n v="0"/>
    <n v="0"/>
    <n v="2"/>
    <n v="40"/>
    <n v="5"/>
  </r>
  <r>
    <s v="UCLne-2Dwcu1Siyrw0ctni1g"/>
    <s v="UCN3kEN9f6Jas3E5aMl4qfeg"/>
    <s v="128, 128, 128"/>
    <n v="3"/>
    <m/>
    <n v="40"/>
    <m/>
    <m/>
    <m/>
    <m/>
    <s v="No"/>
    <n v="127"/>
    <m/>
    <m/>
    <s v="Commented Video"/>
    <x v="0"/>
    <s v="North-West University has medicine since when?"/>
    <s v="UCLne-2Dwcu1Siyrw0ctni1g"/>
    <s v="David Kotile Tsoari"/>
    <s v="http://www.youtube.com/channel/UCLne-2Dwcu1Siyrw0ctni1g"/>
    <m/>
    <s v="pRT5aJ3nbHM"/>
    <s v="https://www.youtube.com/watch?v=pRT5aJ3nbHM"/>
    <s v="none"/>
    <n v="0"/>
    <x v="124"/>
    <d v="2022-10-20T21:23:36.000"/>
    <m/>
    <m/>
    <m/>
    <n v="1"/>
    <n v="4"/>
    <n v="4"/>
    <n v="0"/>
    <n v="0"/>
    <n v="0"/>
    <n v="0"/>
    <n v="0"/>
    <n v="0"/>
    <n v="4"/>
    <n v="57.142857142857146"/>
    <n v="7"/>
  </r>
  <r>
    <s v="UCnxa_lKgkn-5bd1GdQnVcbw"/>
    <s v="UCN3kEN9f6Jas3E5aMl4qfeg"/>
    <s v="128, 128, 128"/>
    <n v="3"/>
    <m/>
    <n v="40"/>
    <m/>
    <m/>
    <m/>
    <m/>
    <s v="No"/>
    <n v="128"/>
    <m/>
    <m/>
    <s v="Commented Video"/>
    <x v="0"/>
    <s v="No that is nat right, one of the top university is Ethiopia,Addis Abeba Black lion university . 👏👏👏👏👏"/>
    <s v="UCnxa_lKgkn-5bd1GdQnVcbw"/>
    <s v="tesfaye Mikiyas"/>
    <s v="http://www.youtube.com/channel/UCnxa_lKgkn-5bd1GdQnVcbw"/>
    <m/>
    <s v="pRT5aJ3nbHM"/>
    <s v="https://www.youtube.com/watch?v=pRT5aJ3nbHM"/>
    <s v="none"/>
    <n v="0"/>
    <x v="125"/>
    <d v="2022-10-20T22:11:24.000"/>
    <m/>
    <m/>
    <m/>
    <n v="1"/>
    <n v="4"/>
    <n v="4"/>
    <n v="1"/>
    <n v="5.882352941176471"/>
    <n v="0"/>
    <n v="0"/>
    <n v="0"/>
    <n v="0"/>
    <n v="8"/>
    <n v="47.05882352941177"/>
    <n v="17"/>
  </r>
  <r>
    <s v="UCaADxgyKUnUXwuFN2LVwz-Q"/>
    <s v="UCN3kEN9f6Jas3E5aMl4qfeg"/>
    <s v="128, 128, 128"/>
    <n v="3"/>
    <m/>
    <n v="40"/>
    <m/>
    <m/>
    <m/>
    <m/>
    <s v="No"/>
    <n v="129"/>
    <m/>
    <m/>
    <s v="Commented Video"/>
    <x v="0"/>
    <s v="Can you make another video of best African universities basing on the latest Times Higher educatiin (THE)? &lt;br&gt;My country&amp;#39;s University (MUHAS) which is a pure medical university ranked high list which is interesting and very deserving"/>
    <s v="UCaADxgyKUnUXwuFN2LVwz-Q"/>
    <s v="James Bundala"/>
    <s v="http://www.youtube.com/channel/UCaADxgyKUnUXwuFN2LVwz-Q"/>
    <m/>
    <s v="pRT5aJ3nbHM"/>
    <s v="https://www.youtube.com/watch?v=pRT5aJ3nbHM"/>
    <s v="none"/>
    <n v="2"/>
    <x v="126"/>
    <d v="2022-10-20T22:58:16.000"/>
    <m/>
    <m/>
    <m/>
    <n v="1"/>
    <n v="4"/>
    <n v="4"/>
    <n v="4"/>
    <n v="10.256410256410257"/>
    <n v="0"/>
    <n v="0"/>
    <n v="0"/>
    <n v="0"/>
    <n v="14"/>
    <n v="35.8974358974359"/>
    <n v="39"/>
  </r>
  <r>
    <s v="UC6cp7zrrdqllBO4l0AivscA"/>
    <s v="UCN3kEN9f6Jas3E5aMl4qfeg"/>
    <s v="128, 128, 128"/>
    <n v="3"/>
    <m/>
    <n v="40"/>
    <m/>
    <m/>
    <m/>
    <m/>
    <s v="No"/>
    <n v="130"/>
    <m/>
    <m/>
    <s v="Commented Video"/>
    <x v="0"/>
    <s v="😂😂😂 Where are your facts.. All these lies😂😂😂😂"/>
    <s v="UC6cp7zrrdqllBO4l0AivscA"/>
    <s v="Charles Daka"/>
    <s v="http://www.youtube.com/channel/UC6cp7zrrdqllBO4l0AivscA"/>
    <m/>
    <s v="pRT5aJ3nbHM"/>
    <s v="https://www.youtube.com/watch?v=pRT5aJ3nbHM"/>
    <s v="none"/>
    <n v="0"/>
    <x v="127"/>
    <d v="2022-10-21T08:02:37.000"/>
    <m/>
    <m/>
    <m/>
    <n v="1"/>
    <n v="4"/>
    <n v="4"/>
    <n v="0"/>
    <n v="0"/>
    <n v="1"/>
    <n v="14.285714285714286"/>
    <n v="0"/>
    <n v="0"/>
    <n v="1"/>
    <n v="14.285714285714286"/>
    <n v="7"/>
  </r>
  <r>
    <s v="UCVeDDa6DKTBrhfRip6SI3VA"/>
    <s v="UCN3kEN9f6Jas3E5aMl4qfeg"/>
    <s v="128, 128, 128"/>
    <n v="3"/>
    <m/>
    <n v="40"/>
    <m/>
    <m/>
    <m/>
    <m/>
    <s v="No"/>
    <n v="131"/>
    <m/>
    <m/>
    <s v="Commented Video"/>
    <x v="0"/>
    <s v="it&amp;#39;s like confusion because the best university in Africa is not included which is university of nairobi may this video is for advertising universities in south Africa"/>
    <s v="UCVeDDa6DKTBrhfRip6SI3VA"/>
    <s v="Abdirahman Abdullahi"/>
    <s v="http://www.youtube.com/channel/UCVeDDa6DKTBrhfRip6SI3VA"/>
    <m/>
    <s v="pRT5aJ3nbHM"/>
    <s v="https://www.youtube.com/watch?v=pRT5aJ3nbHM"/>
    <s v="none"/>
    <n v="1"/>
    <x v="128"/>
    <d v="2022-10-22T10:57:58.000"/>
    <m/>
    <m/>
    <m/>
    <n v="1"/>
    <n v="4"/>
    <n v="4"/>
    <n v="2"/>
    <n v="6.896551724137931"/>
    <n v="1"/>
    <n v="3.4482758620689653"/>
    <n v="0"/>
    <n v="0"/>
    <n v="9"/>
    <n v="31.03448275862069"/>
    <n v="29"/>
  </r>
  <r>
    <s v="UCtJOHJjvLN2Nr2uSHoQuuAg"/>
    <s v="UCN3kEN9f6Jas3E5aMl4qfeg"/>
    <s v="128, 128, 128"/>
    <n v="3"/>
    <m/>
    <n v="40"/>
    <m/>
    <m/>
    <m/>
    <m/>
    <s v="No"/>
    <n v="132"/>
    <m/>
    <m/>
    <s v="Commented Video"/>
    <x v="0"/>
    <s v="Medunsa !!!!!!!!!!?"/>
    <s v="UCtJOHJjvLN2Nr2uSHoQuuAg"/>
    <s v="allthingsrevisited"/>
    <s v="http://www.youtube.com/channel/UCtJOHJjvLN2Nr2uSHoQuuAg"/>
    <m/>
    <s v="pRT5aJ3nbHM"/>
    <s v="https://www.youtube.com/watch?v=pRT5aJ3nbHM"/>
    <s v="none"/>
    <n v="1"/>
    <x v="129"/>
    <d v="2022-10-25T17:12:53.000"/>
    <m/>
    <m/>
    <m/>
    <n v="1"/>
    <n v="4"/>
    <n v="4"/>
    <n v="0"/>
    <n v="0"/>
    <n v="0"/>
    <n v="0"/>
    <n v="0"/>
    <n v="0"/>
    <n v="1"/>
    <n v="100"/>
    <n v="1"/>
  </r>
  <r>
    <s v="UCaXkZLtAuNJpRG3qMNC24Sw"/>
    <s v="UCN3kEN9f6Jas3E5aMl4qfeg"/>
    <s v="128, 128, 128"/>
    <n v="3"/>
    <m/>
    <n v="40"/>
    <m/>
    <m/>
    <m/>
    <m/>
    <s v="No"/>
    <n v="133"/>
    <m/>
    <m/>
    <s v="Commented Video"/>
    <x v="0"/>
    <s v="Lies lies lies lies😏😏😏"/>
    <s v="UCaXkZLtAuNJpRG3qMNC24Sw"/>
    <s v="Sisi Me"/>
    <s v="http://www.youtube.com/channel/UCaXkZLtAuNJpRG3qMNC24Sw"/>
    <m/>
    <s v="pRT5aJ3nbHM"/>
    <s v="https://www.youtube.com/watch?v=pRT5aJ3nbHM"/>
    <s v="none"/>
    <n v="0"/>
    <x v="130"/>
    <d v="2022-10-26T07:10:57.000"/>
    <m/>
    <m/>
    <m/>
    <n v="1"/>
    <n v="4"/>
    <n v="4"/>
    <n v="0"/>
    <n v="0"/>
    <n v="4"/>
    <n v="100"/>
    <n v="0"/>
    <n v="0"/>
    <n v="0"/>
    <n v="0"/>
    <n v="4"/>
  </r>
  <r>
    <s v="UCEs5q4l_JeY7j4JZedv-OZQ"/>
    <s v="UCN3kEN9f6Jas3E5aMl4qfeg"/>
    <s v="128, 128, 128"/>
    <n v="3"/>
    <m/>
    <n v="40"/>
    <m/>
    <m/>
    <m/>
    <m/>
    <s v="No"/>
    <n v="134"/>
    <m/>
    <m/>
    <s v="Commented Video"/>
    <x v="0"/>
    <s v="Your ranking is very subjective I only trust ranking from credible sources such as QS Rankings"/>
    <s v="UCEs5q4l_JeY7j4JZedv-OZQ"/>
    <s v="R"/>
    <s v="http://www.youtube.com/channel/UCEs5q4l_JeY7j4JZedv-OZQ"/>
    <m/>
    <s v="pRT5aJ3nbHM"/>
    <s v="https://www.youtube.com/watch?v=pRT5aJ3nbHM"/>
    <s v="none"/>
    <n v="1"/>
    <x v="131"/>
    <d v="2022-10-26T15:17:55.000"/>
    <m/>
    <m/>
    <m/>
    <n v="1"/>
    <n v="4"/>
    <n v="4"/>
    <n v="2"/>
    <n v="12.5"/>
    <n v="0"/>
    <n v="0"/>
    <n v="0"/>
    <n v="0"/>
    <n v="6"/>
    <n v="37.5"/>
    <n v="16"/>
  </r>
  <r>
    <s v="UCTzjUM-hWvthzBk2XyblLLw"/>
    <s v="UCN3kEN9f6Jas3E5aMl4qfeg"/>
    <s v="128, 128, 128"/>
    <n v="3"/>
    <m/>
    <n v="40"/>
    <m/>
    <m/>
    <m/>
    <m/>
    <s v="No"/>
    <n v="135"/>
    <m/>
    <m/>
    <s v="Commented Video"/>
    <x v="0"/>
    <s v="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
    <s v="UCTzjUM-hWvthzBk2XyblLLw"/>
    <s v="Babacar Diallo"/>
    <s v="http://www.youtube.com/channel/UCTzjUM-hWvthzBk2XyblLLw"/>
    <m/>
    <s v="pRT5aJ3nbHM"/>
    <s v="https://www.youtube.com/watch?v=pRT5aJ3nbHM"/>
    <s v="none"/>
    <n v="1"/>
    <x v="132"/>
    <d v="2022-10-27T13:23:28.000"/>
    <m/>
    <m/>
    <m/>
    <n v="1"/>
    <n v="4"/>
    <n v="4"/>
    <n v="3"/>
    <n v="1.7543859649122806"/>
    <n v="1"/>
    <n v="0.5847953216374269"/>
    <n v="0"/>
    <n v="0"/>
    <n v="76"/>
    <n v="44.44444444444444"/>
    <n v="171"/>
  </r>
  <r>
    <s v="UCN3kEN9f6Jas3E5aMl4qfeg"/>
    <s v="UCN3kEN9f6Jas3E5aMl4qfeg"/>
    <s v="128, 128, 128"/>
    <n v="3"/>
    <m/>
    <n v="40"/>
    <m/>
    <m/>
    <m/>
    <m/>
    <s v="No"/>
    <n v="136"/>
    <m/>
    <m/>
    <s v="Posted Video"/>
    <x v="1"/>
    <m/>
    <m/>
    <m/>
    <m/>
    <m/>
    <s v="pRT5aJ3nbHM"/>
    <s v="https://www.youtube.com/watch?v=pRT5aJ3nbHM"/>
    <m/>
    <m/>
    <x v="133"/>
    <m/>
    <m/>
    <m/>
    <m/>
    <n v="1"/>
    <n v="4"/>
    <n v="4"/>
    <m/>
    <m/>
    <m/>
    <m/>
    <m/>
    <m/>
    <m/>
    <m/>
    <m/>
  </r>
  <r>
    <s v="UCxyxqitAALrWZmTqCApIPhw"/>
    <s v="UCN3kEN9f6Jas3E5aMl4qfeg"/>
    <s v="128, 128, 128"/>
    <n v="3"/>
    <m/>
    <n v="40"/>
    <m/>
    <m/>
    <m/>
    <m/>
    <s v="No"/>
    <n v="137"/>
    <m/>
    <m/>
    <s v="Commented Video"/>
    <x v="0"/>
    <s v="Hello. I passed outside WITS Health Sciences faculty this morning while jogging. See  Johannesburg-Parktown. 🤸🤸🔥🔥😁😄🤣😂💖💖💖"/>
    <s v="UCxyxqitAALrWZmTqCApIPhw"/>
    <s v="mich mbolingaba"/>
    <s v="http://www.youtube.com/channel/UCxyxqitAALrWZmTqCApIPhw"/>
    <m/>
    <s v="pRT5aJ3nbHM"/>
    <s v="https://www.youtube.com/watch?v=pRT5aJ3nbHM"/>
    <s v="none"/>
    <n v="0"/>
    <x v="134"/>
    <d v="2023-06-01T06:55:38.000"/>
    <m/>
    <m/>
    <m/>
    <n v="1"/>
    <n v="4"/>
    <n v="4"/>
    <n v="0"/>
    <n v="0"/>
    <n v="0"/>
    <n v="0"/>
    <n v="0"/>
    <n v="0"/>
    <n v="9"/>
    <n v="60"/>
    <n v="15"/>
  </r>
  <r>
    <s v="UCgQ78yJHT2hWhoXC0LTkX2Q"/>
    <s v="UCqYI3lmZgTsRs202mY15QfA"/>
    <s v="128, 128, 128"/>
    <n v="3"/>
    <m/>
    <n v="40"/>
    <m/>
    <m/>
    <m/>
    <m/>
    <s v="No"/>
    <n v="138"/>
    <m/>
    <m/>
    <s v="Commented Video"/>
    <x v="0"/>
    <s v="Why do you want to lower cholesterol….you need more not less…."/>
    <s v="UCgQ78yJHT2hWhoXC0LTkX2Q"/>
    <s v="michael mm"/>
    <s v="http://www.youtube.com/channel/UCgQ78yJHT2hWhoXC0LTkX2Q"/>
    <m/>
    <s v="5QB8QAuirzA"/>
    <s v="https://www.youtube.com/watch?v=5QB8QAuirzA"/>
    <s v="none"/>
    <n v="1"/>
    <x v="135"/>
    <d v="2023-08-01T05:44:56.000"/>
    <m/>
    <m/>
    <m/>
    <n v="1"/>
    <n v="1"/>
    <n v="1"/>
    <n v="0"/>
    <n v="0"/>
    <n v="0"/>
    <n v="0"/>
    <n v="0"/>
    <n v="0"/>
    <n v="2"/>
    <n v="16.666666666666668"/>
    <n v="12"/>
  </r>
  <r>
    <s v="UC6ipN8qRQdpSyusZ9dwJPtQ"/>
    <s v="UCqYI3lmZgTsRs202mY15QfA"/>
    <s v="128, 128, 128"/>
    <n v="3"/>
    <m/>
    <n v="40"/>
    <m/>
    <m/>
    <m/>
    <m/>
    <s v="No"/>
    <n v="139"/>
    <m/>
    <m/>
    <s v="Commented Video"/>
    <x v="0"/>
    <s v="Ahh vo cado"/>
    <s v="UC6ipN8qRQdpSyusZ9dwJPtQ"/>
    <s v="Mike Smith"/>
    <s v="http://www.youtube.com/channel/UC6ipN8qRQdpSyusZ9dwJPtQ"/>
    <m/>
    <s v="5QB8QAuirzA"/>
    <s v="https://www.youtube.com/watch?v=5QB8QAuirzA"/>
    <s v="none"/>
    <n v="0"/>
    <x v="136"/>
    <d v="2023-08-01T06:39:58.000"/>
    <m/>
    <m/>
    <m/>
    <n v="1"/>
    <n v="1"/>
    <n v="1"/>
    <n v="0"/>
    <n v="0"/>
    <n v="0"/>
    <n v="0"/>
    <n v="0"/>
    <n v="0"/>
    <n v="3"/>
    <n v="100"/>
    <n v="3"/>
  </r>
  <r>
    <s v="UC79mZsYW610vkTIaj2ymp5Q"/>
    <s v="UCqYI3lmZgTsRs202mY15QfA"/>
    <s v="128, 128, 128"/>
    <n v="3"/>
    <m/>
    <n v="40"/>
    <m/>
    <m/>
    <m/>
    <m/>
    <s v="No"/>
    <n v="140"/>
    <m/>
    <m/>
    <s v="Commented Video"/>
    <x v="0"/>
    <s v="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
    <s v="UC79mZsYW610vkTIaj2ymp5Q"/>
    <s v="MICHAEL MEDLICOTT"/>
    <s v="http://www.youtube.com/channel/UC79mZsYW610vkTIaj2ymp5Q"/>
    <m/>
    <s v="5QB8QAuirzA"/>
    <s v="https://www.youtube.com/watch?v=5QB8QAuirzA"/>
    <s v="none"/>
    <n v="0"/>
    <x v="137"/>
    <d v="2023-08-01T08:53:25.000"/>
    <m/>
    <m/>
    <m/>
    <n v="1"/>
    <n v="1"/>
    <n v="1"/>
    <n v="0"/>
    <n v="0"/>
    <n v="4"/>
    <n v="6.25"/>
    <n v="0"/>
    <n v="0"/>
    <n v="19"/>
    <n v="29.6875"/>
    <n v="64"/>
  </r>
  <r>
    <s v="UCYIh2GJ_QJCgT3YKcdffX7w"/>
    <s v="UCqYI3lmZgTsRs202mY15QfA"/>
    <s v="128, 128, 128"/>
    <n v="3"/>
    <m/>
    <n v="40"/>
    <m/>
    <m/>
    <m/>
    <m/>
    <s v="No"/>
    <n v="141"/>
    <m/>
    <m/>
    <s v="Commented Video"/>
    <x v="0"/>
    <s v="Good advice, excellent just wondering why did you exclude wine ? The myth wine is good for heart ? Please elaborate lmao"/>
    <s v="UCYIh2GJ_QJCgT3YKcdffX7w"/>
    <s v="Vasif Arshad"/>
    <s v="http://www.youtube.com/channel/UCYIh2GJ_QJCgT3YKcdffX7w"/>
    <m/>
    <s v="5QB8QAuirzA"/>
    <s v="https://www.youtube.com/watch?v=5QB8QAuirzA"/>
    <s v="none"/>
    <n v="0"/>
    <x v="138"/>
    <d v="2023-08-01T22:29:15.000"/>
    <m/>
    <m/>
    <m/>
    <n v="1"/>
    <n v="1"/>
    <n v="1"/>
    <n v="3"/>
    <n v="15"/>
    <n v="1"/>
    <n v="5"/>
    <n v="0"/>
    <n v="0"/>
    <n v="8"/>
    <n v="40"/>
    <n v="20"/>
  </r>
  <r>
    <s v="UCChw95lIbQohPpvM80n6AMA"/>
    <s v="UCqYI3lmZgTsRs202mY15QfA"/>
    <s v="128, 128, 128"/>
    <n v="3"/>
    <m/>
    <n v="40"/>
    <m/>
    <m/>
    <m/>
    <m/>
    <s v="No"/>
    <n v="142"/>
    <m/>
    <m/>
    <s v="Commented Video"/>
    <x v="0"/>
    <s v="I eat 12whole eggs per day for it being cheap source of protein. Is it too many, that I will have cholesterol?"/>
    <s v="UCChw95lIbQohPpvM80n6AMA"/>
    <s v="PresentK"/>
    <s v="http://www.youtube.com/channel/UCChw95lIbQohPpvM80n6AMA"/>
    <m/>
    <s v="5QB8QAuirzA"/>
    <s v="https://www.youtube.com/watch?v=5QB8QAuirzA"/>
    <s v="none"/>
    <n v="0"/>
    <x v="139"/>
    <d v="2023-08-02T06:50:23.000"/>
    <m/>
    <m/>
    <m/>
    <n v="1"/>
    <n v="1"/>
    <n v="1"/>
    <n v="0"/>
    <n v="0"/>
    <n v="1"/>
    <n v="4.545454545454546"/>
    <n v="0"/>
    <n v="0"/>
    <n v="7"/>
    <n v="31.818181818181817"/>
    <n v="22"/>
  </r>
  <r>
    <s v="UC9lNL6houzT0HR68zZBMgDw"/>
    <s v="UCqYI3lmZgTsRs202mY15QfA"/>
    <s v="128, 128, 128"/>
    <n v="3"/>
    <m/>
    <n v="40"/>
    <m/>
    <m/>
    <m/>
    <m/>
    <s v="No"/>
    <n v="143"/>
    <m/>
    <m/>
    <s v="Commented Video"/>
    <x v="0"/>
    <s v="Be careful kidney beans 🫘.     Always as well wash them real real good .    Don’t eat to much beans .   Mm."/>
    <s v="UC9lNL6houzT0HR68zZBMgDw"/>
    <s v="JanglangMalatang"/>
    <s v="http://www.youtube.com/channel/UC9lNL6houzT0HR68zZBMgDw"/>
    <m/>
    <s v="5QB8QAuirzA"/>
    <s v="https://www.youtube.com/watch?v=5QB8QAuirzA"/>
    <s v="none"/>
    <n v="0"/>
    <x v="140"/>
    <d v="2023-08-02T07:09:20.000"/>
    <m/>
    <m/>
    <m/>
    <n v="1"/>
    <n v="1"/>
    <n v="1"/>
    <n v="2"/>
    <n v="10.526315789473685"/>
    <n v="0"/>
    <n v="0"/>
    <n v="0"/>
    <n v="0"/>
    <n v="9"/>
    <n v="47.36842105263158"/>
    <n v="19"/>
  </r>
  <r>
    <s v="UCEI7trIa4W-AAQgp3SAEFfw"/>
    <s v="UCqYI3lmZgTsRs202mY15QfA"/>
    <s v="128, 128, 128"/>
    <n v="3"/>
    <m/>
    <n v="40"/>
    <m/>
    <m/>
    <m/>
    <m/>
    <s v="No"/>
    <n v="144"/>
    <m/>
    <m/>
    <s v="Commented Video"/>
    <x v="0"/>
    <s v="Many of which are keto foods :)"/>
    <s v="UCEI7trIa4W-AAQgp3SAEFfw"/>
    <s v="John Ratcliffe"/>
    <s v="http://www.youtube.com/channel/UCEI7trIa4W-AAQgp3SAEFfw"/>
    <m/>
    <s v="5QB8QAuirzA"/>
    <s v="https://www.youtube.com/watch?v=5QB8QAuirzA"/>
    <s v="none"/>
    <n v="0"/>
    <x v="141"/>
    <d v="2023-08-02T14:01:46.000"/>
    <m/>
    <m/>
    <m/>
    <n v="1"/>
    <n v="1"/>
    <n v="1"/>
    <n v="0"/>
    <n v="0"/>
    <n v="0"/>
    <n v="0"/>
    <n v="0"/>
    <n v="0"/>
    <n v="2"/>
    <n v="33.333333333333336"/>
    <n v="6"/>
  </r>
  <r>
    <s v="UCeRYmOLLLdJz7pz6szgWK2Q"/>
    <s v="UCqYI3lmZgTsRs202mY15QfA"/>
    <s v="128, 128, 128"/>
    <n v="3"/>
    <m/>
    <n v="40"/>
    <m/>
    <m/>
    <m/>
    <m/>
    <s v="No"/>
    <n v="145"/>
    <m/>
    <m/>
    <s v="Commented Video"/>
    <x v="0"/>
    <s v="You need cholesterol to live."/>
    <s v="UCeRYmOLLLdJz7pz6szgWK2Q"/>
    <s v="Rodney Henson"/>
    <s v="http://www.youtube.com/channel/UCeRYmOLLLdJz7pz6szgWK2Q"/>
    <m/>
    <s v="5QB8QAuirzA"/>
    <s v="https://www.youtube.com/watch?v=5QB8QAuirzA"/>
    <s v="none"/>
    <n v="0"/>
    <x v="142"/>
    <d v="2023-08-02T16:41:18.000"/>
    <m/>
    <m/>
    <m/>
    <n v="1"/>
    <n v="1"/>
    <n v="1"/>
    <n v="0"/>
    <n v="0"/>
    <n v="0"/>
    <n v="0"/>
    <n v="0"/>
    <n v="0"/>
    <n v="2"/>
    <n v="40"/>
    <n v="5"/>
  </r>
  <r>
    <s v="UCGG3bilD8YmeoCOuDGcygmg"/>
    <s v="UCqYI3lmZgTsRs202mY15QfA"/>
    <s v="128, 128, 128"/>
    <n v="3"/>
    <m/>
    <n v="40"/>
    <m/>
    <m/>
    <m/>
    <m/>
    <s v="No"/>
    <n v="146"/>
    <m/>
    <m/>
    <s v="Commented Video"/>
    <x v="0"/>
    <s v="Great tips love it❤"/>
    <s v="UCGG3bilD8YmeoCOuDGcygmg"/>
    <s v="C Tucker"/>
    <s v="http://www.youtube.com/channel/UCGG3bilD8YmeoCOuDGcygmg"/>
    <m/>
    <s v="5QB8QAuirzA"/>
    <s v="https://www.youtube.com/watch?v=5QB8QAuirzA"/>
    <s v="none"/>
    <n v="0"/>
    <x v="143"/>
    <d v="2023-08-02T19:47:53.000"/>
    <m/>
    <m/>
    <m/>
    <n v="1"/>
    <n v="1"/>
    <n v="1"/>
    <n v="2"/>
    <n v="50"/>
    <n v="0"/>
    <n v="0"/>
    <n v="0"/>
    <n v="0"/>
    <n v="1"/>
    <n v="25"/>
    <n v="4"/>
  </r>
  <r>
    <s v="UCMFY2gZFA1amf55W6YnXDqg"/>
    <s v="UCqYI3lmZgTsRs202mY15QfA"/>
    <s v="128, 128, 128"/>
    <n v="3"/>
    <m/>
    <n v="40"/>
    <m/>
    <m/>
    <m/>
    <m/>
    <s v="No"/>
    <n v="147"/>
    <m/>
    <m/>
    <s v="Commented Video"/>
    <x v="0"/>
    <s v="What about the egg?"/>
    <s v="UCMFY2gZFA1amf55W6YnXDqg"/>
    <s v="dr.unmasked"/>
    <s v="http://www.youtube.com/channel/UCMFY2gZFA1amf55W6YnXDqg"/>
    <m/>
    <s v="5QB8QAuirzA"/>
    <s v="https://www.youtube.com/watch?v=5QB8QAuirzA"/>
    <s v="none"/>
    <n v="0"/>
    <x v="144"/>
    <d v="2023-08-02T19:57:10.000"/>
    <m/>
    <m/>
    <m/>
    <n v="1"/>
    <n v="1"/>
    <n v="1"/>
    <n v="0"/>
    <n v="0"/>
    <n v="0"/>
    <n v="0"/>
    <n v="0"/>
    <n v="0"/>
    <n v="1"/>
    <n v="25"/>
    <n v="4"/>
  </r>
  <r>
    <s v="UCjIVoouC_1l376MiYeltfQw"/>
    <s v="UCqYI3lmZgTsRs202mY15QfA"/>
    <s v="128, 128, 128"/>
    <n v="3"/>
    <m/>
    <n v="40"/>
    <m/>
    <m/>
    <m/>
    <m/>
    <s v="No"/>
    <n v="148"/>
    <m/>
    <m/>
    <s v="Commented Video"/>
    <x v="0"/>
    <s v="Yep, I eat most of these on a daily basis!"/>
    <s v="UCjIVoouC_1l376MiYeltfQw"/>
    <s v="Zsuzsa Karoly-Smith"/>
    <s v="http://www.youtube.com/channel/UCjIVoouC_1l376MiYeltfQw"/>
    <m/>
    <s v="5QB8QAuirzA"/>
    <s v="https://www.youtube.com/watch?v=5QB8QAuirzA"/>
    <s v="none"/>
    <n v="0"/>
    <x v="145"/>
    <d v="2023-08-02T21:20:25.000"/>
    <m/>
    <m/>
    <m/>
    <n v="1"/>
    <n v="1"/>
    <n v="1"/>
    <n v="0"/>
    <n v="0"/>
    <n v="0"/>
    <n v="0"/>
    <n v="0"/>
    <n v="0"/>
    <n v="4"/>
    <n v="40"/>
    <n v="10"/>
  </r>
  <r>
    <s v="UC5BX2YGHHJc_AaIPjab0fPw"/>
    <s v="UCqYI3lmZgTsRs202mY15QfA"/>
    <s v="128, 128, 128"/>
    <n v="3"/>
    <m/>
    <n v="40"/>
    <m/>
    <m/>
    <m/>
    <m/>
    <s v="No"/>
    <n v="149"/>
    <m/>
    <m/>
    <s v="Commented Video"/>
    <x v="0"/>
    <s v="The carnivoreMD has entered the chat..."/>
    <s v="UC5BX2YGHHJc_AaIPjab0fPw"/>
    <s v="Professor Truth"/>
    <s v="http://www.youtube.com/channel/UC5BX2YGHHJc_AaIPjab0fPw"/>
    <m/>
    <s v="5QB8QAuirzA"/>
    <s v="https://www.youtube.com/watch?v=5QB8QAuirzA"/>
    <s v="none"/>
    <n v="0"/>
    <x v="146"/>
    <d v="2023-08-03T07:18:14.000"/>
    <m/>
    <m/>
    <m/>
    <n v="1"/>
    <n v="1"/>
    <n v="1"/>
    <n v="0"/>
    <n v="0"/>
    <n v="0"/>
    <n v="0"/>
    <n v="0"/>
    <n v="0"/>
    <n v="3"/>
    <n v="50"/>
    <n v="6"/>
  </r>
  <r>
    <s v="UCeQP0T3KhY8tHQGrOkwZKyQ"/>
    <s v="UCqYI3lmZgTsRs202mY15QfA"/>
    <s v="128, 128, 128"/>
    <n v="3"/>
    <m/>
    <n v="40"/>
    <m/>
    <m/>
    <m/>
    <m/>
    <s v="No"/>
    <n v="150"/>
    <m/>
    <m/>
    <s v="Commented Video"/>
    <x v="0"/>
    <s v="THANK YOU DRS. FOR ALL YOUR EXCELLENT ADVICE."/>
    <s v="UCeQP0T3KhY8tHQGrOkwZKyQ"/>
    <s v="elenita didier"/>
    <s v="http://www.youtube.com/channel/UCeQP0T3KhY8tHQGrOkwZKyQ"/>
    <m/>
    <s v="5QB8QAuirzA"/>
    <s v="https://www.youtube.com/watch?v=5QB8QAuirzA"/>
    <s v="none"/>
    <n v="0"/>
    <x v="147"/>
    <d v="2023-08-03T09:26:38.000"/>
    <m/>
    <m/>
    <m/>
    <n v="1"/>
    <n v="1"/>
    <n v="1"/>
    <n v="1"/>
    <n v="12.5"/>
    <n v="0"/>
    <n v="0"/>
    <n v="0"/>
    <n v="0"/>
    <n v="2"/>
    <n v="25"/>
    <n v="8"/>
  </r>
  <r>
    <s v="UCXnUMRufxEaVu9Ojq_nbu_w"/>
    <s v="UCqYI3lmZgTsRs202mY15QfA"/>
    <s v="128, 128, 128"/>
    <n v="3"/>
    <m/>
    <n v="40"/>
    <m/>
    <m/>
    <m/>
    <m/>
    <s v="No"/>
    <n v="151"/>
    <m/>
    <m/>
    <s v="Commented Video"/>
    <x v="0"/>
    <s v="❤❤"/>
    <s v="UCXnUMRufxEaVu9Ojq_nbu_w"/>
    <s v="pooja nair"/>
    <s v="http://www.youtube.com/channel/UCXnUMRufxEaVu9Ojq_nbu_w"/>
    <m/>
    <s v="5QB8QAuirzA"/>
    <s v="https://www.youtube.com/watch?v=5QB8QAuirzA"/>
    <s v="none"/>
    <n v="0"/>
    <x v="148"/>
    <d v="2023-08-03T10:14:22.000"/>
    <m/>
    <m/>
    <m/>
    <n v="1"/>
    <n v="1"/>
    <n v="1"/>
    <n v="0"/>
    <n v="0"/>
    <n v="0"/>
    <n v="0"/>
    <n v="0"/>
    <n v="0"/>
    <n v="0"/>
    <n v="0"/>
    <n v="0"/>
  </r>
  <r>
    <s v="UCgPZLgMF17m2EMixxpvIauw"/>
    <s v="UCqYI3lmZgTsRs202mY15QfA"/>
    <s v="128, 128, 128"/>
    <n v="3"/>
    <m/>
    <n v="40"/>
    <m/>
    <m/>
    <m/>
    <m/>
    <s v="No"/>
    <n v="152"/>
    <m/>
    <m/>
    <s v="Commented Video"/>
    <x v="0"/>
    <s v="What about pussy is it safety pussy?"/>
    <s v="UCgPZLgMF17m2EMixxpvIauw"/>
    <s v="kyle019"/>
    <s v="http://www.youtube.com/channel/UCgPZLgMF17m2EMixxpvIauw"/>
    <m/>
    <s v="5QB8QAuirzA"/>
    <s v="https://www.youtube.com/watch?v=5QB8QAuirzA"/>
    <s v="none"/>
    <n v="0"/>
    <x v="149"/>
    <d v="2023-08-03T11:11:09.000"/>
    <m/>
    <m/>
    <m/>
    <n v="1"/>
    <n v="1"/>
    <n v="1"/>
    <n v="0"/>
    <n v="0"/>
    <n v="0"/>
    <n v="0"/>
    <n v="0"/>
    <n v="0"/>
    <n v="3"/>
    <n v="42.857142857142854"/>
    <n v="7"/>
  </r>
  <r>
    <s v="UCO_Z2uThY5eDomHQYaKnlLg"/>
    <s v="UCqYI3lmZgTsRs202mY15QfA"/>
    <s v="128, 128, 128"/>
    <n v="3"/>
    <m/>
    <n v="40"/>
    <m/>
    <m/>
    <m/>
    <m/>
    <s v="No"/>
    <n v="153"/>
    <m/>
    <m/>
    <s v="Commented Video"/>
    <x v="0"/>
    <s v="I’m startin to like you guys?!…. 🤔- just kidding!! Love you and thank you for just doing a super service to help- simple super help ,( with lightheartedness ! Thanks guys!"/>
    <s v="UCO_Z2uThY5eDomHQYaKnlLg"/>
    <s v="Moe B"/>
    <s v="http://www.youtube.com/channel/UCO_Z2uThY5eDomHQYaKnlLg"/>
    <m/>
    <s v="5QB8QAuirzA"/>
    <s v="https://www.youtube.com/watch?v=5QB8QAuirzA"/>
    <s v="none"/>
    <n v="0"/>
    <x v="150"/>
    <d v="2023-08-03T16:29:00.000"/>
    <m/>
    <m/>
    <m/>
    <n v="1"/>
    <n v="1"/>
    <n v="1"/>
    <n v="4"/>
    <n v="13.793103448275861"/>
    <n v="0"/>
    <n v="0"/>
    <n v="0"/>
    <n v="0"/>
    <n v="9"/>
    <n v="31.03448275862069"/>
    <n v="29"/>
  </r>
  <r>
    <s v="UCqPL7Y2nnJ4MrcdGQkYnwyg"/>
    <s v="UCqYI3lmZgTsRs202mY15QfA"/>
    <s v="128, 128, 128"/>
    <n v="3"/>
    <m/>
    <n v="40"/>
    <m/>
    <m/>
    <m/>
    <m/>
    <s v="No"/>
    <n v="154"/>
    <m/>
    <m/>
    <s v="Commented Video"/>
    <x v="0"/>
    <s v="Thank you ❤️❤️🙏🏻"/>
    <s v="UCqPL7Y2nnJ4MrcdGQkYnwyg"/>
    <s v="C Rose"/>
    <s v="http://www.youtube.com/channel/UCqPL7Y2nnJ4MrcdGQkYnwyg"/>
    <m/>
    <s v="5QB8QAuirzA"/>
    <s v="https://www.youtube.com/watch?v=5QB8QAuirzA"/>
    <s v="none"/>
    <n v="0"/>
    <x v="151"/>
    <d v="2023-08-03T17:54:10.000"/>
    <m/>
    <m/>
    <m/>
    <n v="1"/>
    <n v="1"/>
    <n v="1"/>
    <n v="0"/>
    <n v="0"/>
    <n v="0"/>
    <n v="0"/>
    <n v="0"/>
    <n v="0"/>
    <n v="0"/>
    <n v="0"/>
    <n v="2"/>
  </r>
  <r>
    <s v="UC7vGnWM9TnJrokLW83MDbxw"/>
    <s v="UCqYI3lmZgTsRs202mY15QfA"/>
    <s v="128, 128, 128"/>
    <n v="3"/>
    <m/>
    <n v="40"/>
    <m/>
    <m/>
    <m/>
    <m/>
    <s v="No"/>
    <n v="155"/>
    <m/>
    <m/>
    <s v="Commented Video"/>
    <x v="0"/>
    <s v="You forgot to finish the bean song."/>
    <s v="UC7vGnWM9TnJrokLW83MDbxw"/>
    <s v="Ben D"/>
    <s v="http://www.youtube.com/channel/UC7vGnWM9TnJrokLW83MDbxw"/>
    <m/>
    <s v="5QB8QAuirzA"/>
    <s v="https://www.youtube.com/watch?v=5QB8QAuirzA"/>
    <s v="none"/>
    <n v="0"/>
    <x v="152"/>
    <d v="2023-08-04T00:17:01.000"/>
    <m/>
    <m/>
    <m/>
    <n v="1"/>
    <n v="1"/>
    <n v="1"/>
    <n v="0"/>
    <n v="0"/>
    <n v="0"/>
    <n v="0"/>
    <n v="0"/>
    <n v="0"/>
    <n v="4"/>
    <n v="57.142857142857146"/>
    <n v="7"/>
  </r>
  <r>
    <s v="UCQusr7dSvxEQ-eJWGoHfWzw"/>
    <s v="UCqYI3lmZgTsRs202mY15QfA"/>
    <s v="128, 128, 128"/>
    <n v="3"/>
    <m/>
    <n v="40"/>
    <m/>
    <m/>
    <m/>
    <m/>
    <s v="No"/>
    <n v="156"/>
    <m/>
    <m/>
    <s v="Commented Video"/>
    <x v="0"/>
    <s v="But if someone also has kidney infection?"/>
    <s v="UCQusr7dSvxEQ-eJWGoHfWzw"/>
    <s v="sickoof 🏳️‍🌈‍⃠"/>
    <s v="http://www.youtube.com/channel/UCQusr7dSvxEQ-eJWGoHfWzw"/>
    <m/>
    <s v="5QB8QAuirzA"/>
    <s v="https://www.youtube.com/watch?v=5QB8QAuirzA"/>
    <s v="none"/>
    <n v="0"/>
    <x v="153"/>
    <d v="2023-08-04T01:10:26.000"/>
    <m/>
    <m/>
    <m/>
    <n v="1"/>
    <n v="1"/>
    <n v="1"/>
    <n v="0"/>
    <n v="0"/>
    <n v="1"/>
    <n v="14.285714285714286"/>
    <n v="0"/>
    <n v="0"/>
    <n v="1"/>
    <n v="14.285714285714286"/>
    <n v="7"/>
  </r>
  <r>
    <s v="UCqctMP95IF6BnFrmTi59zbg"/>
    <s v="UCqYI3lmZgTsRs202mY15QfA"/>
    <s v="128, 128, 128"/>
    <n v="3"/>
    <m/>
    <n v="40"/>
    <m/>
    <m/>
    <m/>
    <m/>
    <s v="No"/>
    <n v="157"/>
    <m/>
    <m/>
    <s v="Commented Video"/>
    <x v="0"/>
    <s v="I eat blue berry almost everyday also I use in my salad avocado eat nuts but I still have high cholesterol?"/>
    <s v="UCqctMP95IF6BnFrmTi59zbg"/>
    <s v="Ruth A."/>
    <s v="http://www.youtube.com/channel/UCqctMP95IF6BnFrmTi59zbg"/>
    <m/>
    <s v="5QB8QAuirzA"/>
    <s v="https://www.youtube.com/watch?v=5QB8QAuirzA"/>
    <s v="none"/>
    <n v="0"/>
    <x v="154"/>
    <d v="2023-08-04T02:49:34.000"/>
    <m/>
    <m/>
    <m/>
    <n v="1"/>
    <n v="1"/>
    <n v="1"/>
    <n v="0"/>
    <n v="0"/>
    <n v="0"/>
    <n v="0"/>
    <n v="0"/>
    <n v="0"/>
    <n v="10"/>
    <n v="47.61904761904762"/>
    <n v="21"/>
  </r>
  <r>
    <s v="UC3IhQUhOyaUuWDCKyxUwx_g"/>
    <s v="UCqYI3lmZgTsRs202mY15QfA"/>
    <s v="128, 128, 128"/>
    <n v="3"/>
    <m/>
    <n v="40"/>
    <m/>
    <m/>
    <m/>
    <m/>
    <s v="No"/>
    <n v="158"/>
    <m/>
    <m/>
    <s v="Commented Video"/>
    <x v="0"/>
    <s v="Bullshit"/>
    <s v="UC3IhQUhOyaUuWDCKyxUwx_g"/>
    <s v="Nasty-M"/>
    <s v="http://www.youtube.com/channel/UC3IhQUhOyaUuWDCKyxUwx_g"/>
    <m/>
    <s v="5QB8QAuirzA"/>
    <s v="https://www.youtube.com/watch?v=5QB8QAuirzA"/>
    <s v="none"/>
    <n v="1"/>
    <x v="155"/>
    <d v="2023-08-04T04:59:25.000"/>
    <m/>
    <m/>
    <m/>
    <n v="1"/>
    <n v="1"/>
    <n v="1"/>
    <n v="0"/>
    <n v="0"/>
    <n v="1"/>
    <n v="100"/>
    <n v="0"/>
    <n v="0"/>
    <n v="0"/>
    <n v="0"/>
    <n v="1"/>
  </r>
  <r>
    <s v="UCGAiQI34dRDqRHWzT563gQQ"/>
    <s v="UCqYI3lmZgTsRs202mY15QfA"/>
    <s v="128, 128, 128"/>
    <n v="3"/>
    <m/>
    <n v="40"/>
    <m/>
    <m/>
    <m/>
    <m/>
    <s v="No"/>
    <n v="159"/>
    <m/>
    <m/>
    <s v="Commented Video"/>
    <x v="0"/>
    <s v="GBOMBS:  greens, beans, onions, mushrooms, berries, seeds (nuts)!"/>
    <s v="UCGAiQI34dRDqRHWzT563gQQ"/>
    <s v="ILOVEJESUSCHRIST"/>
    <s v="http://www.youtube.com/channel/UCGAiQI34dRDqRHWzT563gQQ"/>
    <m/>
    <s v="5QB8QAuirzA"/>
    <s v="https://www.youtube.com/watch?v=5QB8QAuirzA"/>
    <s v="none"/>
    <n v="0"/>
    <x v="156"/>
    <d v="2023-08-04T05:58:08.000"/>
    <m/>
    <m/>
    <m/>
    <n v="1"/>
    <n v="1"/>
    <n v="1"/>
    <n v="0"/>
    <n v="0"/>
    <n v="0"/>
    <n v="0"/>
    <n v="0"/>
    <n v="0"/>
    <n v="8"/>
    <n v="100"/>
    <n v="8"/>
  </r>
  <r>
    <s v="UCd84Cl8Z8dxhXKRX9ceOhKQ"/>
    <s v="UCqYI3lmZgTsRs202mY15QfA"/>
    <s v="128, 128, 128"/>
    <n v="3"/>
    <m/>
    <n v="40"/>
    <m/>
    <m/>
    <m/>
    <m/>
    <s v="No"/>
    <n v="160"/>
    <m/>
    <m/>
    <s v="Commented Video"/>
    <x v="0"/>
    <s v="lower cholesterol is the dumbest concept. go do that, and see your brain shrivel into putty and your hormones go way out of whack. &lt;br&gt;these are the same doctors who blindly believe any peer reviewed study while telling you to get vaxd"/>
    <s v="UCd84Cl8Z8dxhXKRX9ceOhKQ"/>
    <s v="whocaresanyway"/>
    <s v="http://www.youtube.com/channel/UCd84Cl8Z8dxhXKRX9ceOhKQ"/>
    <m/>
    <s v="5QB8QAuirzA"/>
    <s v="https://www.youtube.com/watch?v=5QB8QAuirzA"/>
    <s v="none"/>
    <n v="1"/>
    <x v="157"/>
    <d v="2023-08-04T06:21:46.000"/>
    <m/>
    <m/>
    <m/>
    <n v="1"/>
    <n v="1"/>
    <n v="1"/>
    <n v="0"/>
    <n v="0"/>
    <n v="1"/>
    <n v="2.3255813953488373"/>
    <n v="0"/>
    <n v="0"/>
    <n v="16"/>
    <n v="37.2093023255814"/>
    <n v="43"/>
  </r>
  <r>
    <s v="UCrANgyLqYRfPbry0DiDoTxg"/>
    <s v="UCqYI3lmZgTsRs202mY15QfA"/>
    <s v="128, 128, 128"/>
    <n v="3"/>
    <m/>
    <n v="40"/>
    <m/>
    <m/>
    <m/>
    <m/>
    <s v="No"/>
    <n v="161"/>
    <m/>
    <m/>
    <s v="Commented Video"/>
    <x v="0"/>
    <s v="why do we need to lower cholesterol? Most of them are generated from the body and we need it to heal the inflammation?"/>
    <s v="UCrANgyLqYRfPbry0DiDoTxg"/>
    <s v="K Chong"/>
    <s v="http://www.youtube.com/channel/UCrANgyLqYRfPbry0DiDoTxg"/>
    <m/>
    <s v="5QB8QAuirzA"/>
    <s v="https://www.youtube.com/watch?v=5QB8QAuirzA"/>
    <s v="none"/>
    <n v="0"/>
    <x v="158"/>
    <d v="2023-08-04T10:51:28.000"/>
    <m/>
    <m/>
    <m/>
    <n v="1"/>
    <n v="1"/>
    <n v="1"/>
    <n v="1"/>
    <n v="4.3478260869565215"/>
    <n v="1"/>
    <n v="4.3478260869565215"/>
    <n v="0"/>
    <n v="0"/>
    <n v="4"/>
    <n v="17.391304347826086"/>
    <n v="23"/>
  </r>
  <r>
    <s v="UCNBo-bOgof5vo_OkK-LHaIg"/>
    <s v="UCqYI3lmZgTsRs202mY15QfA"/>
    <s v="128, 128, 128"/>
    <n v="3"/>
    <m/>
    <n v="40"/>
    <m/>
    <m/>
    <m/>
    <m/>
    <s v="No"/>
    <n v="162"/>
    <m/>
    <m/>
    <s v="Commented Video"/>
    <x v="0"/>
    <s v="I would rather die than eat kale. The rest i have no problemo with."/>
    <s v="UCNBo-bOgof5vo_OkK-LHaIg"/>
    <s v="Couldn't hold a Candle"/>
    <s v="http://www.youtube.com/channel/UCNBo-bOgof5vo_OkK-LHaIg"/>
    <m/>
    <s v="5QB8QAuirzA"/>
    <s v="https://www.youtube.com/watch?v=5QB8QAuirzA"/>
    <s v="none"/>
    <n v="0"/>
    <x v="159"/>
    <d v="2023-08-04T14:45:47.000"/>
    <m/>
    <m/>
    <m/>
    <n v="1"/>
    <n v="1"/>
    <n v="1"/>
    <n v="0"/>
    <n v="0"/>
    <n v="1"/>
    <n v="7.142857142857143"/>
    <n v="0"/>
    <n v="0"/>
    <n v="4"/>
    <n v="28.571428571428573"/>
    <n v="14"/>
  </r>
  <r>
    <s v="UCX-Url-9n7mDN88jekr09fA"/>
    <s v="UCqYI3lmZgTsRs202mY15QfA"/>
    <s v="128, 128, 128"/>
    <n v="3"/>
    <m/>
    <n v="40"/>
    <m/>
    <m/>
    <m/>
    <m/>
    <s v="No"/>
    <n v="163"/>
    <m/>
    <m/>
    <s v="Commented Video"/>
    <x v="0"/>
    <s v="How does fiber lower cholesterol, the mechanism please."/>
    <s v="UCX-Url-9n7mDN88jekr09fA"/>
    <s v="OdhinnsWrath"/>
    <s v="http://www.youtube.com/channel/UCX-Url-9n7mDN88jekr09fA"/>
    <m/>
    <s v="5QB8QAuirzA"/>
    <s v="https://www.youtube.com/watch?v=5QB8QAuirzA"/>
    <s v="none"/>
    <n v="0"/>
    <x v="160"/>
    <d v="2023-08-05T02:04:57.000"/>
    <m/>
    <m/>
    <m/>
    <n v="1"/>
    <n v="1"/>
    <n v="1"/>
    <n v="0"/>
    <n v="0"/>
    <n v="0"/>
    <n v="0"/>
    <n v="0"/>
    <n v="0"/>
    <n v="4"/>
    <n v="50"/>
    <n v="8"/>
  </r>
  <r>
    <s v="UCh0Zo4MPNjxmXXbb814456Q"/>
    <s v="UCqYI3lmZgTsRs202mY15QfA"/>
    <s v="128, 128, 128"/>
    <n v="3"/>
    <m/>
    <n v="40"/>
    <m/>
    <m/>
    <m/>
    <m/>
    <s v="No"/>
    <n v="164"/>
    <m/>
    <m/>
    <s v="Commented Video"/>
    <x v="0"/>
    <s v="my whole life, i was thinking brazil nuts &amp;amp; peanut are bad for reducing your cholesterol."/>
    <s v="UCh0Zo4MPNjxmXXbb814456Q"/>
    <s v="dave dd"/>
    <s v="http://www.youtube.com/channel/UCh0Zo4MPNjxmXXbb814456Q"/>
    <m/>
    <s v="5QB8QAuirzA"/>
    <s v="https://www.youtube.com/watch?v=5QB8QAuirzA"/>
    <s v="none"/>
    <n v="0"/>
    <x v="161"/>
    <d v="2023-08-05T02:58:52.000"/>
    <m/>
    <m/>
    <m/>
    <n v="1"/>
    <n v="1"/>
    <n v="1"/>
    <n v="0"/>
    <n v="0"/>
    <n v="1"/>
    <n v="6.25"/>
    <n v="0"/>
    <n v="0"/>
    <n v="7"/>
    <n v="43.75"/>
    <n v="16"/>
  </r>
  <r>
    <s v="UCgQHGo1Zo4xg1mgIVgGGsvQ"/>
    <s v="UCqYI3lmZgTsRs202mY15QfA"/>
    <s v="128, 128, 128"/>
    <n v="3"/>
    <m/>
    <n v="40"/>
    <m/>
    <m/>
    <m/>
    <m/>
    <s v="No"/>
    <n v="165"/>
    <m/>
    <m/>
    <s v="Commented Video"/>
    <x v="0"/>
    <s v="Title should be “How to exchange your statins for glucophage.” Stick to the OR doctors and stop making your listeners fat."/>
    <s v="UCgQHGo1Zo4xg1mgIVgGGsvQ"/>
    <s v="Rider 57"/>
    <s v="http://www.youtube.com/channel/UCgQHGo1Zo4xg1mgIVgGGsvQ"/>
    <m/>
    <s v="5QB8QAuirzA"/>
    <s v="https://www.youtube.com/watch?v=5QB8QAuirzA"/>
    <s v="none"/>
    <n v="0"/>
    <x v="162"/>
    <d v="2023-08-05T03:10:38.000"/>
    <m/>
    <m/>
    <m/>
    <n v="1"/>
    <n v="1"/>
    <n v="1"/>
    <n v="0"/>
    <n v="0"/>
    <n v="1"/>
    <n v="4.761904761904762"/>
    <n v="0"/>
    <n v="0"/>
    <n v="8"/>
    <n v="38.095238095238095"/>
    <n v="21"/>
  </r>
  <r>
    <s v="UCnpwxRBx5BKt4muZnjrwMog"/>
    <s v="UCqYI3lmZgTsRs202mY15QfA"/>
    <s v="128, 128, 128"/>
    <n v="3"/>
    <m/>
    <n v="40"/>
    <m/>
    <m/>
    <m/>
    <m/>
    <s v="No"/>
    <n v="166"/>
    <m/>
    <m/>
    <s v="Commented Video"/>
    <x v="0"/>
    <s v="Misleading"/>
    <s v="UCnpwxRBx5BKt4muZnjrwMog"/>
    <s v="1 Percent"/>
    <s v="http://www.youtube.com/channel/UCnpwxRBx5BKt4muZnjrwMog"/>
    <m/>
    <s v="5QB8QAuirzA"/>
    <s v="https://www.youtube.com/watch?v=5QB8QAuirzA"/>
    <s v="none"/>
    <n v="0"/>
    <x v="163"/>
    <d v="2023-08-05T07:59:42.000"/>
    <m/>
    <m/>
    <m/>
    <n v="1"/>
    <n v="1"/>
    <n v="1"/>
    <n v="0"/>
    <n v="0"/>
    <n v="1"/>
    <n v="100"/>
    <n v="0"/>
    <n v="0"/>
    <n v="0"/>
    <n v="0"/>
    <n v="1"/>
  </r>
  <r>
    <s v="UCtLK8wzFh8TDysoKsS4S03w"/>
    <s v="UCqYI3lmZgTsRs202mY15QfA"/>
    <s v="128, 128, 128"/>
    <n v="3"/>
    <m/>
    <n v="40"/>
    <m/>
    <m/>
    <m/>
    <m/>
    <s v="No"/>
    <n v="167"/>
    <m/>
    <m/>
    <s v="Commented Video"/>
    <x v="0"/>
    <s v="Hummmm....I am gonna stick with beef and lamb, I am afraid."/>
    <s v="UCtLK8wzFh8TDysoKsS4S03w"/>
    <s v="Richard Collins"/>
    <s v="http://www.youtube.com/channel/UCtLK8wzFh8TDysoKsS4S03w"/>
    <m/>
    <s v="5QB8QAuirzA"/>
    <s v="https://www.youtube.com/watch?v=5QB8QAuirzA"/>
    <s v="none"/>
    <n v="1"/>
    <x v="164"/>
    <d v="2023-08-05T16:15:13.000"/>
    <m/>
    <m/>
    <m/>
    <n v="1"/>
    <n v="1"/>
    <n v="1"/>
    <n v="0"/>
    <n v="0"/>
    <n v="1"/>
    <n v="8.333333333333334"/>
    <n v="0"/>
    <n v="0"/>
    <n v="5"/>
    <n v="41.666666666666664"/>
    <n v="12"/>
  </r>
  <r>
    <s v="UC0DPaLHRkOHusocxi3t375Q"/>
    <s v="UCqYI3lmZgTsRs202mY15QfA"/>
    <s v="128, 128, 128"/>
    <n v="3"/>
    <m/>
    <n v="40"/>
    <m/>
    <m/>
    <m/>
    <m/>
    <s v="No"/>
    <n v="168"/>
    <m/>
    <m/>
    <s v="Commented Video"/>
    <x v="0"/>
    <s v="Raw garlic is super food to reduce cholesterol combined with a balanced diet and everyday exercise of 1 hour. Combine with drinking only warm water. Ten days and it&amp;#39;s all good. Tried and tested."/>
    <s v="UC0DPaLHRkOHusocxi3t375Q"/>
    <s v="Ravi S Hegde"/>
    <s v="http://www.youtube.com/channel/UC0DPaLHRkOHusocxi3t375Q"/>
    <m/>
    <s v="5QB8QAuirzA"/>
    <s v="https://www.youtube.com/watch?v=5QB8QAuirzA"/>
    <s v="none"/>
    <n v="0"/>
    <x v="165"/>
    <d v="2023-08-05T22:38:32.000"/>
    <m/>
    <m/>
    <m/>
    <n v="1"/>
    <n v="1"/>
    <n v="1"/>
    <n v="4"/>
    <n v="11.11111111111111"/>
    <n v="0"/>
    <n v="0"/>
    <n v="0"/>
    <n v="0"/>
    <n v="13"/>
    <n v="36.111111111111114"/>
    <n v="36"/>
  </r>
  <r>
    <s v="UCTMSnyHi9he_g_foWYlBS8w"/>
    <s v="UCqYI3lmZgTsRs202mY15QfA"/>
    <s v="128, 128, 128"/>
    <n v="3"/>
    <m/>
    <n v="40"/>
    <m/>
    <m/>
    <m/>
    <m/>
    <s v="No"/>
    <n v="169"/>
    <m/>
    <m/>
    <s v="Commented Video"/>
    <x v="0"/>
    <s v="Straight n simple 👍🏿"/>
    <s v="UCTMSnyHi9he_g_foWYlBS8w"/>
    <s v="Alecia Finlayson"/>
    <s v="http://www.youtube.com/channel/UCTMSnyHi9he_g_foWYlBS8w"/>
    <m/>
    <s v="5QB8QAuirzA"/>
    <s v="https://www.youtube.com/watch?v=5QB8QAuirzA"/>
    <s v="none"/>
    <n v="0"/>
    <x v="166"/>
    <d v="2023-08-05T23:53:55.000"/>
    <m/>
    <m/>
    <m/>
    <n v="1"/>
    <n v="1"/>
    <n v="1"/>
    <n v="0"/>
    <n v="0"/>
    <n v="0"/>
    <n v="0"/>
    <n v="0"/>
    <n v="0"/>
    <n v="2"/>
    <n v="66.66666666666667"/>
    <n v="3"/>
  </r>
  <r>
    <s v="UCE42BHkjzuguGo9Gf6qd4dQ"/>
    <s v="UCqYI3lmZgTsRs202mY15QfA"/>
    <s v="128, 128, 128"/>
    <n v="3"/>
    <m/>
    <n v="40"/>
    <m/>
    <m/>
    <m/>
    <m/>
    <s v="No"/>
    <n v="170"/>
    <m/>
    <m/>
    <s v="Commented Video"/>
    <x v="0"/>
    <s v="Grapes…too high in sugar"/>
    <s v="UCE42BHkjzuguGo9Gf6qd4dQ"/>
    <s v="Pamela Van Pelt"/>
    <s v="http://www.youtube.com/channel/UCE42BHkjzuguGo9Gf6qd4dQ"/>
    <m/>
    <s v="5QB8QAuirzA"/>
    <s v="https://www.youtube.com/watch?v=5QB8QAuirzA"/>
    <s v="none"/>
    <n v="0"/>
    <x v="167"/>
    <d v="2023-08-06T00:26:59.000"/>
    <m/>
    <m/>
    <m/>
    <n v="1"/>
    <n v="1"/>
    <n v="1"/>
    <n v="0"/>
    <n v="0"/>
    <n v="0"/>
    <n v="0"/>
    <n v="0"/>
    <n v="0"/>
    <n v="3"/>
    <n v="60"/>
    <n v="5"/>
  </r>
  <r>
    <s v="UCWTPa1I8h2QS-msuwCf_QQg"/>
    <s v="UCqYI3lmZgTsRs202mY15QfA"/>
    <s v="128, 128, 128"/>
    <n v="3"/>
    <m/>
    <n v="40"/>
    <m/>
    <m/>
    <m/>
    <m/>
    <s v="No"/>
    <n v="171"/>
    <m/>
    <m/>
    <s v="Commented Video"/>
    <x v="0"/>
    <s v="Psyllium husk give you leaky gut.&lt;br&gt;Dark chocolate is high in lead.&lt;br&gt;Why lower cholesterol if you have a good ratio of ldl to hdl and triglycerides.&lt;br&gt;Thus is old school thinking that is making America fat!!"/>
    <s v="UCWTPa1I8h2QS-msuwCf_QQg"/>
    <s v="carpe diem"/>
    <s v="http://www.youtube.com/channel/UCWTPa1I8h2QS-msuwCf_QQg"/>
    <m/>
    <s v="5QB8QAuirzA"/>
    <s v="https://www.youtube.com/watch?v=5QB8QAuirzA"/>
    <s v="none"/>
    <n v="0"/>
    <x v="168"/>
    <d v="2023-08-06T02:11:13.000"/>
    <m/>
    <m/>
    <m/>
    <n v="1"/>
    <n v="1"/>
    <n v="1"/>
    <n v="2"/>
    <n v="5"/>
    <n v="3"/>
    <n v="7.5"/>
    <n v="0"/>
    <n v="0"/>
    <n v="14"/>
    <n v="35"/>
    <n v="40"/>
  </r>
  <r>
    <s v="UC486OHc2Kgjmv9Y1LhK54Cg"/>
    <s v="UCqYI3lmZgTsRs202mY15QfA"/>
    <s v="128, 128, 128"/>
    <n v="3"/>
    <m/>
    <n v="40"/>
    <m/>
    <m/>
    <m/>
    <m/>
    <s v="No"/>
    <n v="172"/>
    <m/>
    <m/>
    <s v="Commented Video"/>
    <x v="0"/>
    <s v="Just because you wear scrubs doesn’t mean you know what you’re talking about."/>
    <s v="UC486OHc2Kgjmv9Y1LhK54Cg"/>
    <s v="Hard Truth"/>
    <s v="http://www.youtube.com/channel/UC486OHc2Kgjmv9Y1LhK54Cg"/>
    <m/>
    <s v="5QB8QAuirzA"/>
    <s v="https://www.youtube.com/watch?v=5QB8QAuirzA"/>
    <s v="none"/>
    <n v="1"/>
    <x v="169"/>
    <d v="2023-08-06T04:18:19.000"/>
    <m/>
    <m/>
    <m/>
    <n v="1"/>
    <n v="1"/>
    <n v="1"/>
    <n v="0"/>
    <n v="0"/>
    <n v="0"/>
    <n v="0"/>
    <n v="0"/>
    <n v="0"/>
    <n v="3"/>
    <n v="20"/>
    <n v="15"/>
  </r>
  <r>
    <s v="UCUhhGZUr-PvgZfbJ7hMaTgg"/>
    <s v="UCqYI3lmZgTsRs202mY15QfA"/>
    <s v="128, 128, 128"/>
    <n v="3"/>
    <m/>
    <n v="40"/>
    <m/>
    <m/>
    <m/>
    <m/>
    <s v="No"/>
    <n v="173"/>
    <m/>
    <m/>
    <s v="Commented Video"/>
    <x v="0"/>
    <s v="Meat"/>
    <s v="UCUhhGZUr-PvgZfbJ7hMaTgg"/>
    <s v="MrGeorgewf"/>
    <s v="http://www.youtube.com/channel/UCUhhGZUr-PvgZfbJ7hMaTgg"/>
    <m/>
    <s v="5QB8QAuirzA"/>
    <s v="https://www.youtube.com/watch?v=5QB8QAuirzA"/>
    <s v="none"/>
    <n v="1"/>
    <x v="170"/>
    <d v="2023-08-06T05:03:14.000"/>
    <m/>
    <m/>
    <m/>
    <n v="1"/>
    <n v="1"/>
    <n v="1"/>
    <n v="0"/>
    <n v="0"/>
    <n v="0"/>
    <n v="0"/>
    <n v="0"/>
    <n v="0"/>
    <n v="1"/>
    <n v="100"/>
    <n v="1"/>
  </r>
  <r>
    <s v="UCTi0cWN21BiZ0jYnZcoY8CA"/>
    <s v="UCqYI3lmZgTsRs202mY15QfA"/>
    <s v="128, 128, 128"/>
    <n v="3"/>
    <m/>
    <n v="40"/>
    <m/>
    <m/>
    <m/>
    <m/>
    <s v="No"/>
    <n v="174"/>
    <m/>
    <m/>
    <s v="Commented Video"/>
    <x v="0"/>
    <s v="Thank you for the education!!!🎉🎉🎉🎉"/>
    <s v="UCTi0cWN21BiZ0jYnZcoY8CA"/>
    <s v="Linda Lown"/>
    <s v="http://www.youtube.com/channel/UCTi0cWN21BiZ0jYnZcoY8CA"/>
    <m/>
    <s v="5QB8QAuirzA"/>
    <s v="https://www.youtube.com/watch?v=5QB8QAuirzA"/>
    <s v="none"/>
    <n v="0"/>
    <x v="171"/>
    <d v="2023-08-06T08:38:34.000"/>
    <m/>
    <m/>
    <m/>
    <n v="1"/>
    <n v="1"/>
    <n v="1"/>
    <n v="0"/>
    <n v="0"/>
    <n v="0"/>
    <n v="0"/>
    <n v="0"/>
    <n v="0"/>
    <n v="1"/>
    <n v="20"/>
    <n v="5"/>
  </r>
  <r>
    <s v="UCBrz7-Cy4J_XYdeQ7vZwAsA"/>
    <s v="UCqYI3lmZgTsRs202mY15QfA"/>
    <s v="128, 128, 128"/>
    <n v="3"/>
    <m/>
    <n v="40"/>
    <m/>
    <m/>
    <m/>
    <m/>
    <s v="No"/>
    <n v="175"/>
    <m/>
    <m/>
    <s v="Commented Video"/>
    <x v="0"/>
    <s v="Lemon helps in lowering cholesterol"/>
    <s v="UCBrz7-Cy4J_XYdeQ7vZwAsA"/>
    <s v="Gopinath Ramanathan"/>
    <s v="http://www.youtube.com/channel/UCBrz7-Cy4J_XYdeQ7vZwAsA"/>
    <m/>
    <s v="5QB8QAuirzA"/>
    <s v="https://www.youtube.com/watch?v=5QB8QAuirzA"/>
    <s v="none"/>
    <n v="0"/>
    <x v="172"/>
    <d v="2023-08-06T16:46:15.000"/>
    <m/>
    <m/>
    <m/>
    <n v="1"/>
    <n v="1"/>
    <n v="1"/>
    <n v="0"/>
    <n v="0"/>
    <n v="1"/>
    <n v="20"/>
    <n v="0"/>
    <n v="0"/>
    <n v="3"/>
    <n v="60"/>
    <n v="5"/>
  </r>
  <r>
    <s v="UCHP36EnSwECF9CJFHHgSSiA"/>
    <s v="UCqYI3lmZgTsRs202mY15QfA"/>
    <s v="128, 128, 128"/>
    <n v="3"/>
    <m/>
    <n v="40"/>
    <m/>
    <m/>
    <m/>
    <m/>
    <s v="No"/>
    <n v="176"/>
    <m/>
    <m/>
    <s v="Commented Video"/>
    <x v="0"/>
    <s v="Sardines? 😉☺️😉😏😏"/>
    <s v="UCHP36EnSwECF9CJFHHgSSiA"/>
    <s v="m mendel"/>
    <s v="http://www.youtube.com/channel/UCHP36EnSwECF9CJFHHgSSiA"/>
    <m/>
    <s v="5QB8QAuirzA"/>
    <s v="https://www.youtube.com/watch?v=5QB8QAuirzA"/>
    <s v="none"/>
    <n v="0"/>
    <x v="173"/>
    <d v="2023-08-06T18:30:06.000"/>
    <m/>
    <m/>
    <m/>
    <n v="1"/>
    <n v="1"/>
    <n v="1"/>
    <n v="0"/>
    <n v="0"/>
    <n v="0"/>
    <n v="0"/>
    <n v="0"/>
    <n v="0"/>
    <n v="1"/>
    <n v="100"/>
    <n v="1"/>
  </r>
  <r>
    <s v="UCU1shm6JrEDvuq2yKfuehPw"/>
    <s v="UCqYI3lmZgTsRs202mY15QfA"/>
    <s v="128, 128, 128"/>
    <n v="3"/>
    <m/>
    <n v="40"/>
    <m/>
    <m/>
    <m/>
    <m/>
    <s v="No"/>
    <n v="177"/>
    <m/>
    <m/>
    <s v="Commented Video"/>
    <x v="0"/>
    <s v="Is cholesterol really that bad?"/>
    <s v="UCU1shm6JrEDvuq2yKfuehPw"/>
    <s v="Andrew Ohree"/>
    <s v="http://www.youtube.com/channel/UCU1shm6JrEDvuq2yKfuehPw"/>
    <m/>
    <s v="5QB8QAuirzA"/>
    <s v="https://www.youtube.com/watch?v=5QB8QAuirzA"/>
    <s v="none"/>
    <n v="0"/>
    <x v="174"/>
    <d v="2023-08-06T19:19:58.000"/>
    <m/>
    <m/>
    <m/>
    <n v="1"/>
    <n v="1"/>
    <n v="1"/>
    <n v="0"/>
    <n v="0"/>
    <n v="1"/>
    <n v="20"/>
    <n v="0"/>
    <n v="0"/>
    <n v="1"/>
    <n v="20"/>
    <n v="5"/>
  </r>
  <r>
    <s v="UCyALyIYVo7UmyjIspPi3u3Q"/>
    <s v="UCqYI3lmZgTsRs202mY15QfA"/>
    <s v="128, 128, 128"/>
    <n v="3"/>
    <m/>
    <n v="40"/>
    <m/>
    <m/>
    <m/>
    <m/>
    <s v="No"/>
    <n v="178"/>
    <m/>
    <m/>
    <s v="Commented Video"/>
    <x v="0"/>
    <s v="I was so hoping fried chicken would be mentioned."/>
    <s v="UCyALyIYVo7UmyjIspPi3u3Q"/>
    <s v="I dig my style"/>
    <s v="http://www.youtube.com/channel/UCyALyIYVo7UmyjIspPi3u3Q"/>
    <m/>
    <s v="5QB8QAuirzA"/>
    <s v="https://www.youtube.com/watch?v=5QB8QAuirzA"/>
    <s v="none"/>
    <n v="0"/>
    <x v="175"/>
    <d v="2023-08-06T22:56:34.000"/>
    <m/>
    <m/>
    <m/>
    <n v="1"/>
    <n v="1"/>
    <n v="1"/>
    <n v="0"/>
    <n v="0"/>
    <n v="1"/>
    <n v="11.11111111111111"/>
    <n v="0"/>
    <n v="0"/>
    <n v="3"/>
    <n v="33.333333333333336"/>
    <n v="9"/>
  </r>
  <r>
    <s v="UCWuhZOgUIJVM-uxdAzyK_nw"/>
    <s v="UCqYI3lmZgTsRs202mY15QfA"/>
    <s v="128, 128, 128"/>
    <n v="3"/>
    <m/>
    <n v="40"/>
    <m/>
    <m/>
    <m/>
    <m/>
    <s v="No"/>
    <n v="179"/>
    <m/>
    <m/>
    <s v="Commented Video"/>
    <x v="0"/>
    <s v="Said avocados the wrong way and cholesterol doesn’t matter."/>
    <s v="UCWuhZOgUIJVM-uxdAzyK_nw"/>
    <s v="PhaseSkater"/>
    <s v="http://www.youtube.com/channel/UCWuhZOgUIJVM-uxdAzyK_nw"/>
    <m/>
    <s v="5QB8QAuirzA"/>
    <s v="https://www.youtube.com/watch?v=5QB8QAuirzA"/>
    <s v="none"/>
    <n v="0"/>
    <x v="176"/>
    <d v="2023-08-07T01:49:12.000"/>
    <m/>
    <m/>
    <m/>
    <n v="1"/>
    <n v="1"/>
    <n v="1"/>
    <n v="0"/>
    <n v="0"/>
    <n v="1"/>
    <n v="10"/>
    <n v="0"/>
    <n v="0"/>
    <n v="3"/>
    <n v="30"/>
    <n v="10"/>
  </r>
  <r>
    <s v="UCUiE6wxkLRK00sgNWg6Jkcw"/>
    <s v="UCqYI3lmZgTsRs202mY15QfA"/>
    <s v="128, 128, 128"/>
    <n v="3"/>
    <m/>
    <n v="40"/>
    <m/>
    <m/>
    <m/>
    <m/>
    <s v="No"/>
    <n v="180"/>
    <m/>
    <m/>
    <s v="Commented Video"/>
    <x v="0"/>
    <s v="Simplistic. Just keep off transfats and refined sugar and you&amp;#39;ll be fine."/>
    <s v="UCUiE6wxkLRK00sgNWg6Jkcw"/>
    <s v="Andrew Green"/>
    <s v="http://www.youtube.com/channel/UCUiE6wxkLRK00sgNWg6Jkcw"/>
    <m/>
    <s v="5QB8QAuirzA"/>
    <s v="https://www.youtube.com/watch?v=5QB8QAuirzA"/>
    <s v="none"/>
    <n v="0"/>
    <x v="177"/>
    <d v="2023-08-07T01:49:16.000"/>
    <m/>
    <m/>
    <m/>
    <n v="1"/>
    <n v="1"/>
    <n v="1"/>
    <n v="2"/>
    <n v="14.285714285714286"/>
    <n v="1"/>
    <n v="7.142857142857143"/>
    <n v="0"/>
    <n v="0"/>
    <n v="4"/>
    <n v="28.571428571428573"/>
    <n v="14"/>
  </r>
  <r>
    <s v="UCUH9XHHkBCoPb9bo9b7Sw3A"/>
    <s v="UCqYI3lmZgTsRs202mY15QfA"/>
    <s v="128, 128, 128"/>
    <n v="3"/>
    <m/>
    <n v="40"/>
    <m/>
    <m/>
    <m/>
    <m/>
    <s v="No"/>
    <n v="181"/>
    <m/>
    <m/>
    <s v="Commented Video"/>
    <x v="0"/>
    <s v="I&amp;#39;ve heard that peanut oil is bad. No?"/>
    <s v="UCUH9XHHkBCoPb9bo9b7Sw3A"/>
    <s v="Corkfish1"/>
    <s v="http://www.youtube.com/channel/UCUH9XHHkBCoPb9bo9b7Sw3A"/>
    <m/>
    <s v="5QB8QAuirzA"/>
    <s v="https://www.youtube.com/watch?v=5QB8QAuirzA"/>
    <s v="none"/>
    <n v="0"/>
    <x v="178"/>
    <d v="2023-08-07T09:16:58.000"/>
    <m/>
    <m/>
    <m/>
    <n v="1"/>
    <n v="1"/>
    <n v="1"/>
    <n v="0"/>
    <n v="0"/>
    <n v="1"/>
    <n v="10"/>
    <n v="0"/>
    <n v="0"/>
    <n v="4"/>
    <n v="40"/>
    <n v="10"/>
  </r>
  <r>
    <s v="UCOE57eOfeMOOfqwjquRvzkQ"/>
    <s v="UCqYI3lmZgTsRs202mY15QfA"/>
    <s v="128, 128, 128"/>
    <n v="3"/>
    <m/>
    <n v="40"/>
    <m/>
    <m/>
    <m/>
    <m/>
    <s v="No"/>
    <n v="182"/>
    <m/>
    <m/>
    <s v="Commented Video"/>
    <x v="0"/>
    <s v="Chia seeds don&amp;#39;t work unless they are broken down not whole"/>
    <s v="UCOE57eOfeMOOfqwjquRvzkQ"/>
    <s v="quaqltagh333"/>
    <s v="http://www.youtube.com/channel/UCOE57eOfeMOOfqwjquRvzkQ"/>
    <m/>
    <s v="5QB8QAuirzA"/>
    <s v="https://www.youtube.com/watch?v=5QB8QAuirzA"/>
    <s v="none"/>
    <n v="0"/>
    <x v="179"/>
    <d v="2023-08-07T10:01:04.000"/>
    <m/>
    <m/>
    <m/>
    <n v="1"/>
    <n v="1"/>
    <n v="1"/>
    <n v="1"/>
    <n v="7.6923076923076925"/>
    <n v="1"/>
    <n v="7.6923076923076925"/>
    <n v="0"/>
    <n v="0"/>
    <n v="3"/>
    <n v="23.076923076923077"/>
    <n v="13"/>
  </r>
  <r>
    <s v="UCPoUpe3fNIBPJCRcyvoSPSg"/>
    <s v="UCqYI3lmZgTsRs202mY15QfA"/>
    <s v="128, 128, 128"/>
    <n v="3"/>
    <m/>
    <n v="40"/>
    <m/>
    <m/>
    <m/>
    <m/>
    <s v="No"/>
    <n v="183"/>
    <m/>
    <m/>
    <s v="Commented Video"/>
    <x v="0"/>
    <s v="বা"/>
    <s v="UCPoUpe3fNIBPJCRcyvoSPSg"/>
    <s v="Bojen ghosh"/>
    <s v="http://www.youtube.com/channel/UCPoUpe3fNIBPJCRcyvoSPSg"/>
    <m/>
    <s v="5QB8QAuirzA"/>
    <s v="https://www.youtube.com/watch?v=5QB8QAuirzA"/>
    <s v="none"/>
    <n v="0"/>
    <x v="180"/>
    <d v="2023-08-07T21:32:14.000"/>
    <m/>
    <m/>
    <m/>
    <n v="1"/>
    <n v="1"/>
    <n v="1"/>
    <n v="0"/>
    <n v="0"/>
    <n v="0"/>
    <n v="0"/>
    <n v="0"/>
    <n v="0"/>
    <n v="1"/>
    <n v="100"/>
    <n v="1"/>
  </r>
  <r>
    <s v="UChTy6Fa2ucd7PJkS_PU91pw"/>
    <s v="UCqYI3lmZgTsRs202mY15QfA"/>
    <s v="128, 128, 128"/>
    <n v="3"/>
    <m/>
    <n v="40"/>
    <m/>
    <m/>
    <m/>
    <m/>
    <s v="No"/>
    <n v="184"/>
    <m/>
    <m/>
    <s v="Commented Video"/>
    <x v="0"/>
    <s v="Thank you 👍♥️"/>
    <s v="UChTy6Fa2ucd7PJkS_PU91pw"/>
    <s v="Wendy Sentosa"/>
    <s v="http://www.youtube.com/channel/UChTy6Fa2ucd7PJkS_PU91pw"/>
    <m/>
    <s v="5QB8QAuirzA"/>
    <s v="https://www.youtube.com/watch?v=5QB8QAuirzA"/>
    <s v="none"/>
    <n v="0"/>
    <x v="181"/>
    <d v="2023-08-07T22:02:11.000"/>
    <m/>
    <m/>
    <m/>
    <n v="1"/>
    <n v="1"/>
    <n v="1"/>
    <n v="0"/>
    <n v="0"/>
    <n v="0"/>
    <n v="0"/>
    <n v="0"/>
    <n v="0"/>
    <n v="0"/>
    <n v="0"/>
    <n v="2"/>
  </r>
  <r>
    <s v="UCY1gtLRu8FLXAOpOyWfGv7A"/>
    <s v="UCqYI3lmZgTsRs202mY15QfA"/>
    <s v="128, 128, 128"/>
    <n v="3"/>
    <m/>
    <n v="40"/>
    <m/>
    <m/>
    <m/>
    <m/>
    <s v="No"/>
    <n v="185"/>
    <m/>
    <m/>
    <s v="Commented Video"/>
    <x v="0"/>
    <s v="And for losing your INR lol (if you take warfarin avoid kale and other leafy veggies)"/>
    <s v="UCY1gtLRu8FLXAOpOyWfGv7A"/>
    <s v="MaximumOverMuslim"/>
    <s v="http://www.youtube.com/channel/UCY1gtLRu8FLXAOpOyWfGv7A"/>
    <m/>
    <s v="5QB8QAuirzA"/>
    <s v="https://www.youtube.com/watch?v=5QB8QAuirzA"/>
    <s v="none"/>
    <n v="0"/>
    <x v="182"/>
    <d v="2023-08-07T22:55:26.000"/>
    <m/>
    <m/>
    <m/>
    <n v="1"/>
    <n v="1"/>
    <n v="1"/>
    <n v="0"/>
    <n v="0"/>
    <n v="1"/>
    <n v="6.25"/>
    <n v="0"/>
    <n v="0"/>
    <n v="7"/>
    <n v="43.75"/>
    <n v="16"/>
  </r>
  <r>
    <s v="UCWniJty321S9IogviKluAWA"/>
    <s v="UCqYI3lmZgTsRs202mY15QfA"/>
    <s v="128, 128, 128"/>
    <n v="3"/>
    <m/>
    <n v="40"/>
    <m/>
    <m/>
    <m/>
    <m/>
    <s v="No"/>
    <n v="186"/>
    <m/>
    <m/>
    <s v="Commented Video"/>
    <x v="0"/>
    <s v="Idiots at the best saying green and leafy vegetables don&amp;#39;t lower your cholesterol."/>
    <s v="UCWniJty321S9IogviKluAWA"/>
    <s v="Julian Kundargi"/>
    <s v="http://www.youtube.com/channel/UCWniJty321S9IogviKluAWA"/>
    <m/>
    <s v="5QB8QAuirzA"/>
    <s v="https://www.youtube.com/watch?v=5QB8QAuirzA"/>
    <s v="none"/>
    <n v="0"/>
    <x v="183"/>
    <d v="2023-08-08T00:03:05.000"/>
    <m/>
    <m/>
    <m/>
    <n v="1"/>
    <n v="1"/>
    <n v="1"/>
    <n v="1"/>
    <n v="6.666666666666667"/>
    <n v="1"/>
    <n v="6.666666666666667"/>
    <n v="0"/>
    <n v="0"/>
    <n v="5"/>
    <n v="33.333333333333336"/>
    <n v="15"/>
  </r>
  <r>
    <s v="UCeJ_Z2C8nVtM7LEC46GOEXw"/>
    <s v="UCqYI3lmZgTsRs202mY15QfA"/>
    <s v="128, 128, 128"/>
    <n v="3"/>
    <m/>
    <n v="40"/>
    <m/>
    <m/>
    <m/>
    <m/>
    <s v="No"/>
    <n v="187"/>
    <m/>
    <m/>
    <s v="Commented Video"/>
    <x v="0"/>
    <s v="No fish for me.Everything else❤"/>
    <s v="UCeJ_Z2C8nVtM7LEC46GOEXw"/>
    <s v="I love music"/>
    <s v="http://www.youtube.com/channel/UCeJ_Z2C8nVtM7LEC46GOEXw"/>
    <m/>
    <s v="5QB8QAuirzA"/>
    <s v="https://www.youtube.com/watch?v=5QB8QAuirzA"/>
    <s v="none"/>
    <n v="0"/>
    <x v="184"/>
    <d v="2023-08-08T12:45:14.000"/>
    <m/>
    <m/>
    <m/>
    <n v="1"/>
    <n v="1"/>
    <n v="1"/>
    <n v="0"/>
    <n v="0"/>
    <n v="0"/>
    <n v="0"/>
    <n v="0"/>
    <n v="0"/>
    <n v="1"/>
    <n v="16.666666666666668"/>
    <n v="6"/>
  </r>
  <r>
    <s v="UCYRjKcjwFNck0alXc6_rJAQ"/>
    <s v="UCqYI3lmZgTsRs202mY15QfA"/>
    <s v="128, 128, 128"/>
    <n v="3"/>
    <m/>
    <n v="40"/>
    <m/>
    <m/>
    <m/>
    <m/>
    <s v="No"/>
    <n v="188"/>
    <m/>
    <m/>
    <s v="Commented Video"/>
    <x v="0"/>
    <s v="Ya. Beans raise your sugar beans beans. Loads of carbs"/>
    <s v="UCYRjKcjwFNck0alXc6_rJAQ"/>
    <s v="Shh Tu"/>
    <s v="http://www.youtube.com/channel/UCYRjKcjwFNck0alXc6_rJAQ"/>
    <m/>
    <s v="5QB8QAuirzA"/>
    <s v="https://www.youtube.com/watch?v=5QB8QAuirzA"/>
    <s v="none"/>
    <n v="0"/>
    <x v="185"/>
    <d v="2023-08-08T13:41:09.000"/>
    <m/>
    <m/>
    <m/>
    <n v="1"/>
    <n v="1"/>
    <n v="1"/>
    <n v="0"/>
    <n v="0"/>
    <n v="0"/>
    <n v="0"/>
    <n v="0"/>
    <n v="0"/>
    <n v="7"/>
    <n v="70"/>
    <n v="10"/>
  </r>
  <r>
    <s v="UCZe61xRluV2bNs9axww2Uaw"/>
    <s v="UCqYI3lmZgTsRs202mY15QfA"/>
    <s v="128, 128, 128"/>
    <n v="3"/>
    <m/>
    <n v="40"/>
    <m/>
    <m/>
    <m/>
    <m/>
    <s v="No"/>
    <n v="189"/>
    <m/>
    <m/>
    <s v="Commented Video"/>
    <x v="0"/>
    <s v="Good quality eggs cheese and red meat"/>
    <s v="UCZe61xRluV2bNs9axww2Uaw"/>
    <s v="NGT4LIFE"/>
    <s v="http://www.youtube.com/channel/UCZe61xRluV2bNs9axww2Uaw"/>
    <m/>
    <s v="5QB8QAuirzA"/>
    <s v="https://www.youtube.com/watch?v=5QB8QAuirzA"/>
    <s v="none"/>
    <n v="0"/>
    <x v="186"/>
    <d v="2023-08-08T15:10:30.000"/>
    <m/>
    <m/>
    <m/>
    <n v="1"/>
    <n v="1"/>
    <n v="1"/>
    <n v="1"/>
    <n v="14.285714285714286"/>
    <n v="0"/>
    <n v="0"/>
    <n v="0"/>
    <n v="0"/>
    <n v="5"/>
    <n v="71.42857142857143"/>
    <n v="7"/>
  </r>
  <r>
    <s v="UCZicpsqeD5GAD4LEA8GqkBA"/>
    <s v="UCqYI3lmZgTsRs202mY15QfA"/>
    <s v="128, 128, 128"/>
    <n v="3"/>
    <m/>
    <n v="40"/>
    <m/>
    <m/>
    <m/>
    <m/>
    <s v="No"/>
    <n v="190"/>
    <m/>
    <m/>
    <s v="Commented Video"/>
    <x v="0"/>
    <s v="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
    <s v="UCZicpsqeD5GAD4LEA8GqkBA"/>
    <s v="Scott Ceffalia"/>
    <s v="http://www.youtube.com/channel/UCZicpsqeD5GAD4LEA8GqkBA"/>
    <m/>
    <s v="5QB8QAuirzA"/>
    <s v="https://www.youtube.com/watch?v=5QB8QAuirzA"/>
    <s v="none"/>
    <n v="0"/>
    <x v="187"/>
    <d v="2023-08-08T20:04:20.000"/>
    <m/>
    <m/>
    <m/>
    <n v="1"/>
    <n v="1"/>
    <n v="1"/>
    <n v="2"/>
    <n v="3.7037037037037037"/>
    <n v="4"/>
    <n v="7.407407407407407"/>
    <n v="0"/>
    <n v="0"/>
    <n v="18"/>
    <n v="33.333333333333336"/>
    <n v="54"/>
  </r>
  <r>
    <s v="UCECg3dUl5Vqyg9pJZqEL80w"/>
    <s v="UCqYI3lmZgTsRs202mY15QfA"/>
    <s v="128, 128, 128"/>
    <n v="3"/>
    <m/>
    <n v="40"/>
    <m/>
    <m/>
    <m/>
    <m/>
    <s v="No"/>
    <n v="191"/>
    <m/>
    <m/>
    <s v="Commented Video"/>
    <x v="0"/>
    <s v="How to lower triglycerides?"/>
    <s v="UCECg3dUl5Vqyg9pJZqEL80w"/>
    <s v="S B"/>
    <s v="http://www.youtube.com/channel/UCECg3dUl5Vqyg9pJZqEL80w"/>
    <m/>
    <s v="5QB8QAuirzA"/>
    <s v="https://www.youtube.com/watch?v=5QB8QAuirzA"/>
    <s v="none"/>
    <n v="0"/>
    <x v="188"/>
    <d v="2023-08-09T06:13:36.000"/>
    <m/>
    <m/>
    <m/>
    <n v="1"/>
    <n v="1"/>
    <n v="1"/>
    <n v="0"/>
    <n v="0"/>
    <n v="0"/>
    <n v="0"/>
    <n v="0"/>
    <n v="0"/>
    <n v="2"/>
    <n v="50"/>
    <n v="4"/>
  </r>
  <r>
    <s v="UCh6j_i-jA_QAK6LetczoBCw"/>
    <s v="UCqYI3lmZgTsRs202mY15QfA"/>
    <s v="128, 128, 128"/>
    <n v="3"/>
    <m/>
    <n v="40"/>
    <m/>
    <m/>
    <m/>
    <m/>
    <s v="No"/>
    <n v="192"/>
    <m/>
    <m/>
    <s v="Commented Video"/>
    <x v="0"/>
    <s v="I just had my lipid. Ldl at 203. Hdl at 39. Triglycerides at 75.  I been eating clean like really clean.. whts going on docccc"/>
    <s v="UCh6j_i-jA_QAK6LetczoBCw"/>
    <s v="blekidud"/>
    <s v="http://www.youtube.com/channel/UCh6j_i-jA_QAK6LetczoBCw"/>
    <m/>
    <s v="5QB8QAuirzA"/>
    <s v="https://www.youtube.com/watch?v=5QB8QAuirzA"/>
    <s v="none"/>
    <n v="0"/>
    <x v="189"/>
    <d v="2023-08-09T08:00:09.000"/>
    <m/>
    <m/>
    <m/>
    <n v="1"/>
    <n v="1"/>
    <n v="1"/>
    <n v="3"/>
    <n v="12"/>
    <n v="0"/>
    <n v="0"/>
    <n v="0"/>
    <n v="0"/>
    <n v="9"/>
    <n v="36"/>
    <n v="25"/>
  </r>
  <r>
    <s v="UC24YSqxrKE3mENq9qC6uRKQ"/>
    <s v="UCqYI3lmZgTsRs202mY15QfA"/>
    <s v="128, 128, 128"/>
    <n v="3"/>
    <m/>
    <n v="40"/>
    <m/>
    <m/>
    <m/>
    <m/>
    <s v="No"/>
    <n v="193"/>
    <m/>
    <m/>
    <s v="Commented Video"/>
    <x v="0"/>
    <s v="exercise lowers cholesterol"/>
    <s v="UC24YSqxrKE3mENq9qC6uRKQ"/>
    <s v="Jas Jas"/>
    <s v="http://www.youtube.com/channel/UC24YSqxrKE3mENq9qC6uRKQ"/>
    <m/>
    <s v="5QB8QAuirzA"/>
    <s v="https://www.youtube.com/watch?v=5QB8QAuirzA"/>
    <s v="none"/>
    <n v="0"/>
    <x v="190"/>
    <d v="2023-08-09T12:25:23.000"/>
    <m/>
    <m/>
    <m/>
    <n v="1"/>
    <n v="1"/>
    <n v="1"/>
    <n v="0"/>
    <n v="0"/>
    <n v="0"/>
    <n v="0"/>
    <n v="0"/>
    <n v="0"/>
    <n v="3"/>
    <n v="100"/>
    <n v="3"/>
  </r>
  <r>
    <s v="UCx06jHpdMU5F-nHyqkEJCQw"/>
    <s v="UCqYI3lmZgTsRs202mY15QfA"/>
    <s v="128, 128, 128"/>
    <n v="3"/>
    <m/>
    <n v="40"/>
    <m/>
    <m/>
    <m/>
    <m/>
    <s v="No"/>
    <n v="194"/>
    <m/>
    <m/>
    <s v="Commented Video"/>
    <x v="0"/>
    <s v="Thank you docs❤"/>
    <s v="UCx06jHpdMU5F-nHyqkEJCQw"/>
    <s v="Amig"/>
    <s v="http://www.youtube.com/channel/UCx06jHpdMU5F-nHyqkEJCQw"/>
    <m/>
    <s v="5QB8QAuirzA"/>
    <s v="https://www.youtube.com/watch?v=5QB8QAuirzA"/>
    <s v="none"/>
    <n v="0"/>
    <x v="191"/>
    <d v="2023-08-09T23:30:41.000"/>
    <m/>
    <m/>
    <m/>
    <n v="1"/>
    <n v="1"/>
    <n v="1"/>
    <n v="0"/>
    <n v="0"/>
    <n v="0"/>
    <n v="0"/>
    <n v="0"/>
    <n v="0"/>
    <n v="1"/>
    <n v="33.333333333333336"/>
    <n v="3"/>
  </r>
  <r>
    <s v="UCqD3A52h1h0jSb3rANFqv1w"/>
    <s v="UCqYI3lmZgTsRs202mY15QfA"/>
    <s v="128, 128, 128"/>
    <n v="3"/>
    <m/>
    <n v="40"/>
    <m/>
    <m/>
    <m/>
    <m/>
    <s v="No"/>
    <n v="195"/>
    <m/>
    <m/>
    <s v="Commented Video"/>
    <x v="0"/>
    <s v="Excellent excellent!  All foods that I enjoy"/>
    <s v="UCqD3A52h1h0jSb3rANFqv1w"/>
    <s v="M. Theresa"/>
    <s v="http://www.youtube.com/channel/UCqD3A52h1h0jSb3rANFqv1w"/>
    <m/>
    <s v="5QB8QAuirzA"/>
    <s v="https://www.youtube.com/watch?v=5QB8QAuirzA"/>
    <s v="none"/>
    <n v="0"/>
    <x v="192"/>
    <d v="2023-08-10T03:58:47.000"/>
    <m/>
    <m/>
    <m/>
    <n v="1"/>
    <n v="1"/>
    <n v="1"/>
    <n v="3"/>
    <n v="42.857142857142854"/>
    <n v="0"/>
    <n v="0"/>
    <n v="0"/>
    <n v="0"/>
    <n v="1"/>
    <n v="14.285714285714286"/>
    <n v="7"/>
  </r>
  <r>
    <s v="UCmmcom5caQMTS6Kckp0Jt_w"/>
    <s v="UCqYI3lmZgTsRs202mY15QfA"/>
    <s v="128, 128, 128"/>
    <n v="3"/>
    <m/>
    <n v="40"/>
    <m/>
    <m/>
    <m/>
    <m/>
    <s v="No"/>
    <n v="196"/>
    <m/>
    <m/>
    <s v="Commented Video"/>
    <x v="0"/>
    <s v="I tried all these, it only works with a strict diet, 180 LDL down to 120, then 120 went back up to 140 without strict diet"/>
    <s v="UCmmcom5caQMTS6Kckp0Jt_w"/>
    <s v="lahuryder"/>
    <s v="http://www.youtube.com/channel/UCmmcom5caQMTS6Kckp0Jt_w"/>
    <m/>
    <s v="5QB8QAuirzA"/>
    <s v="https://www.youtube.com/watch?v=5QB8QAuirzA"/>
    <s v="none"/>
    <n v="0"/>
    <x v="193"/>
    <d v="2023-08-10T06:20:24.000"/>
    <m/>
    <m/>
    <m/>
    <n v="1"/>
    <n v="1"/>
    <n v="1"/>
    <n v="1"/>
    <n v="3.8461538461538463"/>
    <n v="2"/>
    <n v="7.6923076923076925"/>
    <n v="0"/>
    <n v="0"/>
    <n v="8"/>
    <n v="30.76923076923077"/>
    <n v="26"/>
  </r>
  <r>
    <s v="UCwzGlzLIo7UrarduC4C_aZw"/>
    <s v="UCqYI3lmZgTsRs202mY15QfA"/>
    <s v="128, 128, 128"/>
    <n v="3"/>
    <m/>
    <n v="40"/>
    <m/>
    <m/>
    <m/>
    <m/>
    <s v="No"/>
    <n v="197"/>
    <m/>
    <m/>
    <s v="Commented Video"/>
    <x v="0"/>
    <s v="Avacado very good to reduce your bank balance 😂"/>
    <s v="UCwzGlzLIo7UrarduC4C_aZw"/>
    <s v="The One"/>
    <s v="http://www.youtube.com/channel/UCwzGlzLIo7UrarduC4C_aZw"/>
    <m/>
    <s v="5QB8QAuirzA"/>
    <s v="https://www.youtube.com/watch?v=5QB8QAuirzA"/>
    <s v="none"/>
    <n v="0"/>
    <x v="194"/>
    <d v="2023-08-11T03:00:34.000"/>
    <m/>
    <m/>
    <m/>
    <n v="1"/>
    <n v="1"/>
    <n v="1"/>
    <n v="1"/>
    <n v="12.5"/>
    <n v="0"/>
    <n v="0"/>
    <n v="0"/>
    <n v="0"/>
    <n v="4"/>
    <n v="50"/>
    <n v="8"/>
  </r>
  <r>
    <s v="UCM21IbEfPiy-ntIODvhCSIA"/>
    <s v="UCqYI3lmZgTsRs202mY15QfA"/>
    <s v="128, 128, 128"/>
    <n v="3"/>
    <m/>
    <n v="40"/>
    <m/>
    <m/>
    <m/>
    <m/>
    <s v="No"/>
    <n v="198"/>
    <m/>
    <m/>
    <s v="Commented Video"/>
    <x v="0"/>
    <s v="Steak"/>
    <s v="UCM21IbEfPiy-ntIODvhCSIA"/>
    <s v="Jimmy Conner"/>
    <s v="http://www.youtube.com/channel/UCM21IbEfPiy-ntIODvhCSIA"/>
    <m/>
    <s v="5QB8QAuirzA"/>
    <s v="https://www.youtube.com/watch?v=5QB8QAuirzA"/>
    <s v="none"/>
    <n v="0"/>
    <x v="195"/>
    <d v="2023-08-11T06:58:58.000"/>
    <m/>
    <m/>
    <m/>
    <n v="1"/>
    <n v="1"/>
    <n v="1"/>
    <n v="0"/>
    <n v="0"/>
    <n v="0"/>
    <n v="0"/>
    <n v="0"/>
    <n v="0"/>
    <n v="1"/>
    <n v="100"/>
    <n v="1"/>
  </r>
  <r>
    <s v="UC8PaiC2YsE3rda3ZQUL-gcw"/>
    <s v="UCqYI3lmZgTsRs202mY15QfA"/>
    <s v="128, 128, 128"/>
    <n v="3"/>
    <m/>
    <n v="40"/>
    <m/>
    <m/>
    <m/>
    <m/>
    <s v="No"/>
    <n v="199"/>
    <m/>
    <m/>
    <s v="Commented Video"/>
    <x v="0"/>
    <s v="Cool"/>
    <s v="UC8PaiC2YsE3rda3ZQUL-gcw"/>
    <s v="Pat Nisbert"/>
    <s v="http://www.youtube.com/channel/UC8PaiC2YsE3rda3ZQUL-gcw"/>
    <m/>
    <s v="5QB8QAuirzA"/>
    <s v="https://www.youtube.com/watch?v=5QB8QAuirzA"/>
    <s v="none"/>
    <n v="0"/>
    <x v="196"/>
    <d v="2023-08-12T00:06:43.000"/>
    <m/>
    <m/>
    <m/>
    <n v="1"/>
    <n v="1"/>
    <n v="1"/>
    <n v="1"/>
    <n v="100"/>
    <n v="0"/>
    <n v="0"/>
    <n v="0"/>
    <n v="0"/>
    <n v="0"/>
    <n v="0"/>
    <n v="1"/>
  </r>
  <r>
    <s v="UCdvR7iV4G-vnMvu0NI4zWhA"/>
    <s v="UCqYI3lmZgTsRs202mY15QfA"/>
    <s v="128, 128, 128"/>
    <n v="3"/>
    <m/>
    <n v="40"/>
    <m/>
    <m/>
    <m/>
    <m/>
    <s v="No"/>
    <n v="200"/>
    <m/>
    <m/>
    <s v="Commented Video"/>
    <x v="0"/>
    <s v="Can you please tell me about sugar patient female age around 35 to 40😢"/>
    <s v="UCdvR7iV4G-vnMvu0NI4zWhA"/>
    <s v="Abdul Shakoor"/>
    <s v="http://www.youtube.com/channel/UCdvR7iV4G-vnMvu0NI4zWhA"/>
    <m/>
    <s v="5QB8QAuirzA"/>
    <s v="https://www.youtube.com/watch?v=5QB8QAuirzA"/>
    <s v="none"/>
    <n v="0"/>
    <x v="197"/>
    <d v="2023-08-12T05:49:17.000"/>
    <m/>
    <m/>
    <m/>
    <n v="1"/>
    <n v="1"/>
    <n v="1"/>
    <n v="1"/>
    <n v="7.142857142857143"/>
    <n v="0"/>
    <n v="0"/>
    <n v="0"/>
    <n v="0"/>
    <n v="5"/>
    <n v="35.714285714285715"/>
    <n v="14"/>
  </r>
  <r>
    <s v="UCAVJG0fxaA_kPUINLhmfA-w"/>
    <s v="UCqYI3lmZgTsRs202mY15QfA"/>
    <s v="128, 128, 128"/>
    <n v="3"/>
    <m/>
    <n v="40"/>
    <m/>
    <m/>
    <m/>
    <m/>
    <s v="No"/>
    <n v="201"/>
    <m/>
    <m/>
    <s v="Commented Video"/>
    <x v="0"/>
    <s v="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quot;https://youtu.be/oTccIyHjxVU&quot;&gt;https://youtu.be/oTccIyHjxVU&lt;/a&gt;"/>
    <s v="UCAVJG0fxaA_kPUINLhmfA-w"/>
    <s v="FilmSetView"/>
    <s v="http://www.youtube.com/channel/UCAVJG0fxaA_kPUINLhmfA-w"/>
    <m/>
    <s v="5QB8QAuirzA"/>
    <s v="https://www.youtube.com/watch?v=5QB8QAuirzA"/>
    <s v="none"/>
    <n v="0"/>
    <x v="198"/>
    <d v="2023-08-13T03:42:09.000"/>
    <s v="https://youtu.be/oTccIyHjxVU https://youtu.be/oTccIyHjxVU"/>
    <s v="youtu.be youtu.be"/>
    <m/>
    <n v="1"/>
    <n v="1"/>
    <n v="1"/>
    <n v="0"/>
    <n v="0"/>
    <n v="0"/>
    <n v="0"/>
    <n v="0"/>
    <n v="0"/>
    <n v="21"/>
    <n v="31.34328358208955"/>
    <n v="67"/>
  </r>
  <r>
    <s v="UC0k06fmk6sT_VHAbedR5VQw"/>
    <s v="UCqYI3lmZgTsRs202mY15QfA"/>
    <s v="128, 128, 128"/>
    <n v="3"/>
    <m/>
    <n v="40"/>
    <m/>
    <m/>
    <m/>
    <m/>
    <s v="No"/>
    <n v="202"/>
    <m/>
    <m/>
    <s v="Commented Video"/>
    <x v="0"/>
    <s v="Straight from big food and pharma handbook 😂.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
    <s v="UC0k06fmk6sT_VHAbedR5VQw"/>
    <s v="This Carnivorish Life"/>
    <s v="http://www.youtube.com/channel/UC0k06fmk6sT_VHAbedR5VQw"/>
    <m/>
    <s v="5QB8QAuirzA"/>
    <s v="https://www.youtube.com/watch?v=5QB8QAuirzA"/>
    <s v="none"/>
    <n v="0"/>
    <x v="199"/>
    <d v="2023-08-13T06:33:00.000"/>
    <m/>
    <m/>
    <m/>
    <n v="1"/>
    <n v="1"/>
    <n v="1"/>
    <n v="7"/>
    <n v="2.7777777777777777"/>
    <n v="11"/>
    <n v="4.365079365079365"/>
    <n v="0"/>
    <n v="0"/>
    <n v="79"/>
    <n v="31.349206349206348"/>
    <n v="252"/>
  </r>
  <r>
    <s v="UCz7toGDN_Fd4eoM7uumJFYw"/>
    <s v="UCqYI3lmZgTsRs202mY15QfA"/>
    <s v="128, 128, 128"/>
    <n v="3"/>
    <m/>
    <n v="40"/>
    <m/>
    <m/>
    <m/>
    <m/>
    <s v="No"/>
    <n v="203"/>
    <m/>
    <m/>
    <s v="Commented Video"/>
    <x v="0"/>
    <s v="MD&amp;#39;s dont know whats healthy. They promote pharma and are in the sick care business, not health care."/>
    <s v="UCz7toGDN_Fd4eoM7uumJFYw"/>
    <s v="MasterCarguy44"/>
    <s v="http://www.youtube.com/channel/UCz7toGDN_Fd4eoM7uumJFYw"/>
    <m/>
    <s v="5QB8QAuirzA"/>
    <s v="https://www.youtube.com/watch?v=5QB8QAuirzA"/>
    <s v="none"/>
    <n v="0"/>
    <x v="200"/>
    <d v="2023-08-13T09:35:38.000"/>
    <m/>
    <m/>
    <m/>
    <n v="1"/>
    <n v="1"/>
    <n v="1"/>
    <n v="1"/>
    <n v="5"/>
    <n v="1"/>
    <n v="5"/>
    <n v="0"/>
    <n v="0"/>
    <n v="7"/>
    <n v="35"/>
    <n v="20"/>
  </r>
  <r>
    <s v="UC0ZASB-kRxfZJ2JOp3JvK0A"/>
    <s v="UCqYI3lmZgTsRs202mY15QfA"/>
    <s v="128, 128, 128"/>
    <n v="3"/>
    <m/>
    <n v="40"/>
    <m/>
    <m/>
    <m/>
    <m/>
    <s v="No"/>
    <n v="204"/>
    <m/>
    <m/>
    <s v="Commented Video"/>
    <x v="0"/>
    <s v="The psyllium husk by yerba prima that&amp;#39;s all I take.... Steel-cut oatmeal with strawberries blueberries blackberries once a day... That&amp;#39;s it. &lt;br&gt;&lt;br&gt;Easy peaay"/>
    <s v="UC0ZASB-kRxfZJ2JOp3JvK0A"/>
    <s v="D"/>
    <s v="http://www.youtube.com/channel/UC0ZASB-kRxfZJ2JOp3JvK0A"/>
    <m/>
    <s v="5QB8QAuirzA"/>
    <s v="https://www.youtube.com/watch?v=5QB8QAuirzA"/>
    <s v="none"/>
    <n v="0"/>
    <x v="201"/>
    <d v="2023-08-13T14:26:04.000"/>
    <m/>
    <m/>
    <m/>
    <n v="1"/>
    <n v="1"/>
    <n v="1"/>
    <n v="1"/>
    <n v="3.3333333333333335"/>
    <n v="0"/>
    <n v="0"/>
    <n v="0"/>
    <n v="0"/>
    <n v="11"/>
    <n v="36.666666666666664"/>
    <n v="30"/>
  </r>
  <r>
    <s v="UCYoJZQPtv6zVLIrCY__Oy3w"/>
    <s v="UCqYI3lmZgTsRs202mY15QfA"/>
    <s v="128, 128, 128"/>
    <n v="3"/>
    <m/>
    <n v="40"/>
    <m/>
    <m/>
    <m/>
    <m/>
    <s v="No"/>
    <n v="205"/>
    <m/>
    <m/>
    <s v="Commented Video"/>
    <x v="0"/>
    <s v="That you used the word superfood makes me suspicious"/>
    <s v="UCYoJZQPtv6zVLIrCY__Oy3w"/>
    <s v="439801RS"/>
    <s v="http://www.youtube.com/channel/UCYoJZQPtv6zVLIrCY__Oy3w"/>
    <m/>
    <s v="5QB8QAuirzA"/>
    <s v="https://www.youtube.com/watch?v=5QB8QAuirzA"/>
    <s v="none"/>
    <n v="0"/>
    <x v="202"/>
    <d v="2023-08-13T14:56:29.000"/>
    <m/>
    <m/>
    <m/>
    <n v="1"/>
    <n v="1"/>
    <n v="1"/>
    <n v="0"/>
    <n v="0"/>
    <n v="1"/>
    <n v="11.11111111111111"/>
    <n v="0"/>
    <n v="0"/>
    <n v="2"/>
    <n v="22.22222222222222"/>
    <n v="9"/>
  </r>
  <r>
    <s v="UCPmxv3vx1NWwTxkS5MnN1mw"/>
    <s v="UCqYI3lmZgTsRs202mY15QfA"/>
    <s v="128, 128, 128"/>
    <n v="3"/>
    <m/>
    <n v="40"/>
    <m/>
    <m/>
    <m/>
    <m/>
    <s v="No"/>
    <n v="206"/>
    <m/>
    <m/>
    <s v="Commented Video"/>
    <x v="0"/>
    <s v="what avocado hass or no hass."/>
    <s v="UCPmxv3vx1NWwTxkS5MnN1mw"/>
    <s v="John Souza"/>
    <s v="http://www.youtube.com/channel/UCPmxv3vx1NWwTxkS5MnN1mw"/>
    <m/>
    <s v="5QB8QAuirzA"/>
    <s v="https://www.youtube.com/watch?v=5QB8QAuirzA"/>
    <s v="none"/>
    <n v="0"/>
    <x v="203"/>
    <d v="2023-08-15T14:20:58.000"/>
    <m/>
    <m/>
    <m/>
    <n v="1"/>
    <n v="1"/>
    <n v="1"/>
    <n v="0"/>
    <n v="0"/>
    <n v="0"/>
    <n v="0"/>
    <n v="0"/>
    <n v="0"/>
    <n v="3"/>
    <n v="50"/>
    <n v="6"/>
  </r>
  <r>
    <s v="UCnVOZByeAVNoZ9qU3mnBggg"/>
    <s v="UCqYI3lmZgTsRs202mY15QfA"/>
    <s v="128, 128, 128"/>
    <n v="3"/>
    <m/>
    <n v="40"/>
    <m/>
    <m/>
    <m/>
    <m/>
    <s v="No"/>
    <n v="207"/>
    <m/>
    <m/>
    <s v="Commented Video"/>
    <x v="0"/>
    <s v="Is canned wild caught salmon also good? It is difficult to find fresh salmon here."/>
    <s v="UCnVOZByeAVNoZ9qU3mnBggg"/>
    <s v="Richard Cooper"/>
    <s v="http://www.youtube.com/channel/UCnVOZByeAVNoZ9qU3mnBggg"/>
    <m/>
    <s v="5QB8QAuirzA"/>
    <s v="https://www.youtube.com/watch?v=5QB8QAuirzA"/>
    <s v="none"/>
    <n v="1"/>
    <x v="204"/>
    <d v="2023-08-24T20:56:34.000"/>
    <m/>
    <m/>
    <m/>
    <n v="1"/>
    <n v="1"/>
    <n v="1"/>
    <n v="2"/>
    <n v="13.333333333333334"/>
    <n v="2"/>
    <n v="13.333333333333334"/>
    <n v="0"/>
    <n v="0"/>
    <n v="4"/>
    <n v="26.666666666666668"/>
    <n v="15"/>
  </r>
  <r>
    <s v="UCVwXSn1A_C4VjQlFOdiPeSQ"/>
    <s v="UCqYI3lmZgTsRs202mY15QfA"/>
    <s v="128, 128, 128"/>
    <n v="3"/>
    <m/>
    <n v="40"/>
    <m/>
    <m/>
    <m/>
    <m/>
    <s v="No"/>
    <n v="208"/>
    <m/>
    <m/>
    <s v="Commented Video"/>
    <x v="0"/>
    <s v="High blood pressure is BAD ASS it makes me feel like a hydraulic press whenever I move and nothin and I mean nothing is manlier than a hydraulic press!"/>
    <s v="UCVwXSn1A_C4VjQlFOdiPeSQ"/>
    <s v="Mericanmuskles 420"/>
    <s v="http://www.youtube.com/channel/UCVwXSn1A_C4VjQlFOdiPeSQ"/>
    <m/>
    <s v="5QB8QAuirzA"/>
    <s v="https://www.youtube.com/watch?v=5QB8QAuirzA"/>
    <s v="none"/>
    <n v="0"/>
    <x v="205"/>
    <d v="2023-08-16T05:35:20.000"/>
    <m/>
    <m/>
    <m/>
    <n v="1"/>
    <n v="1"/>
    <n v="1"/>
    <n v="1"/>
    <n v="3.4482758620689653"/>
    <n v="1"/>
    <n v="3.4482758620689653"/>
    <n v="0"/>
    <n v="0"/>
    <n v="11"/>
    <n v="37.93103448275862"/>
    <n v="29"/>
  </r>
  <r>
    <s v="UCD46RdLs8Q37Avnc5bm7KUA"/>
    <s v="UCqYI3lmZgTsRs202mY15QfA"/>
    <s v="128, 128, 128"/>
    <n v="3"/>
    <m/>
    <n v="40"/>
    <m/>
    <m/>
    <m/>
    <m/>
    <s v="No"/>
    <n v="209"/>
    <m/>
    <m/>
    <s v="Commented Video"/>
    <x v="0"/>
    <s v="DARK CHOCOLATE, &lt;br&gt;GREEN LEAFY VEGETABLE,&lt;br&gt;BEANS- CHICKPEAS, LENTILS&lt;br&gt; NUTS, &lt;br&gt;GRAPES, BLUE BERRIES&lt;br&gt;SILIUM HUSK,&lt;br&gt; FISH, OATS &amp;amp; BARLEY&lt;br&gt;&lt;br&gt;no thanks."/>
    <s v="UCD46RdLs8Q37Avnc5bm7KUA"/>
    <s v="VAIBHAV GARG"/>
    <s v="http://www.youtube.com/channel/UCD46RdLs8Q37Avnc5bm7KUA"/>
    <m/>
    <s v="5QB8QAuirzA"/>
    <s v="https://www.youtube.com/watch?v=5QB8QAuirzA"/>
    <s v="none"/>
    <n v="0"/>
    <x v="206"/>
    <d v="2023-08-16T14:07:12.000"/>
    <m/>
    <m/>
    <m/>
    <n v="1"/>
    <n v="1"/>
    <n v="1"/>
    <n v="0"/>
    <n v="0"/>
    <n v="1"/>
    <n v="3.5714285714285716"/>
    <n v="0"/>
    <n v="0"/>
    <n v="16"/>
    <n v="57.142857142857146"/>
    <n v="28"/>
  </r>
  <r>
    <s v="UC7C1PF4RNOpISxcGFW1eIKg"/>
    <s v="UCqYI3lmZgTsRs202mY15QfA"/>
    <s v="128, 128, 128"/>
    <n v="3"/>
    <m/>
    <n v="40"/>
    <m/>
    <m/>
    <m/>
    <m/>
    <s v="No"/>
    <n v="210"/>
    <m/>
    <m/>
    <s v="Commented Video"/>
    <x v="0"/>
    <s v="They forgot to mention deeznuts"/>
    <s v="UC7C1PF4RNOpISxcGFW1eIKg"/>
    <s v="Mayuangeloo"/>
    <s v="http://www.youtube.com/channel/UC7C1PF4RNOpISxcGFW1eIKg"/>
    <m/>
    <s v="5QB8QAuirzA"/>
    <s v="https://www.youtube.com/watch?v=5QB8QAuirzA"/>
    <s v="none"/>
    <n v="0"/>
    <x v="207"/>
    <d v="2023-08-17T00:23:33.000"/>
    <m/>
    <m/>
    <m/>
    <n v="1"/>
    <n v="1"/>
    <n v="1"/>
    <n v="0"/>
    <n v="0"/>
    <n v="0"/>
    <n v="0"/>
    <n v="0"/>
    <n v="0"/>
    <n v="3"/>
    <n v="60"/>
    <n v="5"/>
  </r>
  <r>
    <s v="UCwR4ZB_SV2yq14iSslrVsqg"/>
    <s v="UCqYI3lmZgTsRs202mY15QfA"/>
    <s v="128, 128, 128"/>
    <n v="3"/>
    <m/>
    <n v="40"/>
    <m/>
    <m/>
    <m/>
    <m/>
    <s v="No"/>
    <n v="211"/>
    <m/>
    <m/>
    <s v="Commented Video"/>
    <x v="0"/>
    <s v="I want to add , if you ever take statins - it&amp;#39;s kind of a lifelong thing , you should continue it.."/>
    <s v="UCwR4ZB_SV2yq14iSslrVsqg"/>
    <s v="GreenSquirrel"/>
    <s v="http://www.youtube.com/channel/UCwR4ZB_SV2yq14iSslrVsqg"/>
    <m/>
    <s v="5QB8QAuirzA"/>
    <s v="https://www.youtube.com/watch?v=5QB8QAuirzA"/>
    <s v="none"/>
    <n v="0"/>
    <x v="208"/>
    <d v="2023-08-17T02:14:09.000"/>
    <m/>
    <m/>
    <m/>
    <n v="1"/>
    <n v="1"/>
    <n v="1"/>
    <n v="0"/>
    <n v="0"/>
    <n v="0"/>
    <n v="0"/>
    <n v="0"/>
    <n v="0"/>
    <n v="6"/>
    <n v="28.571428571428573"/>
    <n v="21"/>
  </r>
  <r>
    <s v="UCJeWto0CRaGbkUfySvK4eug"/>
    <s v="UCqYI3lmZgTsRs202mY15QfA"/>
    <s v="128, 128, 128"/>
    <n v="3"/>
    <m/>
    <n v="40"/>
    <m/>
    <m/>
    <m/>
    <m/>
    <s v="No"/>
    <n v="212"/>
    <m/>
    <m/>
    <s v="Commented Video"/>
    <x v="0"/>
    <s v="I ate this way for 2.5 years...never changed my cholesterol.  It is not true for all people.  40mg/day Crestor and I&amp;#39;m in the midrange"/>
    <s v="UCJeWto0CRaGbkUfySvK4eug"/>
    <s v="Nostromo"/>
    <s v="http://www.youtube.com/channel/UCJeWto0CRaGbkUfySvK4eug"/>
    <m/>
    <s v="5QB8QAuirzA"/>
    <s v="https://www.youtube.com/watch?v=5QB8QAuirzA"/>
    <s v="none"/>
    <n v="0"/>
    <x v="209"/>
    <d v="2023-08-17T18:43:40.000"/>
    <m/>
    <m/>
    <m/>
    <n v="1"/>
    <n v="1"/>
    <n v="1"/>
    <n v="0"/>
    <n v="0"/>
    <n v="0"/>
    <n v="0"/>
    <n v="0"/>
    <n v="0"/>
    <n v="8"/>
    <n v="27.586206896551722"/>
    <n v="29"/>
  </r>
  <r>
    <s v="UCusLqY2duB79blA0ExlIRNg"/>
    <s v="UCqYI3lmZgTsRs202mY15QfA"/>
    <s v="128, 128, 128"/>
    <n v="3"/>
    <m/>
    <n v="40"/>
    <m/>
    <m/>
    <m/>
    <m/>
    <s v="No"/>
    <n v="213"/>
    <m/>
    <m/>
    <s v="Commented Video"/>
    <x v="0"/>
    <s v="Love you guys, you are the greatest."/>
    <s v="UCusLqY2duB79blA0ExlIRNg"/>
    <s v="Rasmuhamed nasr"/>
    <s v="http://www.youtube.com/channel/UCusLqY2duB79blA0ExlIRNg"/>
    <m/>
    <s v="5QB8QAuirzA"/>
    <s v="https://www.youtube.com/watch?v=5QB8QAuirzA"/>
    <s v="none"/>
    <n v="0"/>
    <x v="210"/>
    <d v="2023-08-18T15:16:02.000"/>
    <m/>
    <m/>
    <m/>
    <n v="1"/>
    <n v="1"/>
    <n v="1"/>
    <n v="2"/>
    <n v="28.571428571428573"/>
    <n v="0"/>
    <n v="0"/>
    <n v="0"/>
    <n v="0"/>
    <n v="1"/>
    <n v="14.285714285714286"/>
    <n v="7"/>
  </r>
  <r>
    <s v="UClRx6tZ0lKmli1P8Pvs9MFw"/>
    <s v="UCqYI3lmZgTsRs202mY15QfA"/>
    <s v="128, 128, 128"/>
    <n v="3"/>
    <m/>
    <n v="40"/>
    <m/>
    <m/>
    <m/>
    <m/>
    <s v="No"/>
    <n v="214"/>
    <m/>
    <m/>
    <s v="Commented Video"/>
    <x v="0"/>
    <s v="Thank you&lt;br&gt;Very clear presentation😊👍"/>
    <s v="UClRx6tZ0lKmli1P8Pvs9MFw"/>
    <s v="Simona Simona"/>
    <s v="http://www.youtube.com/channel/UClRx6tZ0lKmli1P8Pvs9MFw"/>
    <m/>
    <s v="5QB8QAuirzA"/>
    <s v="https://www.youtube.com/watch?v=5QB8QAuirzA"/>
    <s v="none"/>
    <n v="0"/>
    <x v="211"/>
    <d v="2023-08-18T20:46:59.000"/>
    <m/>
    <m/>
    <m/>
    <n v="1"/>
    <n v="1"/>
    <n v="1"/>
    <n v="0"/>
    <n v="0"/>
    <n v="0"/>
    <n v="0"/>
    <n v="0"/>
    <n v="0"/>
    <n v="1"/>
    <n v="16.666666666666668"/>
    <n v="6"/>
  </r>
  <r>
    <s v="UCKgs_BNbfmya6BkcdE_oPcw"/>
    <s v="UCqYI3lmZgTsRs202mY15QfA"/>
    <s v="128, 128, 128"/>
    <n v="3"/>
    <m/>
    <n v="40"/>
    <m/>
    <m/>
    <m/>
    <m/>
    <s v="No"/>
    <n v="215"/>
    <m/>
    <m/>
    <s v="Commented Video"/>
    <x v="0"/>
    <s v="🎉🎉I admire you, finally DRS talking what is right ❤"/>
    <s v="UCKgs_BNbfmya6BkcdE_oPcw"/>
    <s v="Rossana Mendez"/>
    <s v="http://www.youtube.com/channel/UCKgs_BNbfmya6BkcdE_oPcw"/>
    <m/>
    <s v="5QB8QAuirzA"/>
    <s v="https://www.youtube.com/watch?v=5QB8QAuirzA"/>
    <s v="none"/>
    <n v="0"/>
    <x v="212"/>
    <d v="2023-08-20T13:59:28.000"/>
    <m/>
    <m/>
    <m/>
    <n v="1"/>
    <n v="1"/>
    <n v="1"/>
    <n v="2"/>
    <n v="22.22222222222222"/>
    <n v="0"/>
    <n v="0"/>
    <n v="0"/>
    <n v="0"/>
    <n v="3"/>
    <n v="33.333333333333336"/>
    <n v="9"/>
  </r>
  <r>
    <s v="UC9gMY6UUybdpUkoXWEhMabw"/>
    <s v="UCqYI3lmZgTsRs202mY15QfA"/>
    <s v="128, 128, 128"/>
    <n v="3"/>
    <m/>
    <n v="40"/>
    <m/>
    <m/>
    <m/>
    <m/>
    <s v="No"/>
    <n v="216"/>
    <m/>
    <m/>
    <s v="Commented Video"/>
    <x v="0"/>
    <s v="Too Low cholesterol is more dangerous than high cholesterol"/>
    <s v="UC9gMY6UUybdpUkoXWEhMabw"/>
    <s v="SlamBarnhill"/>
    <s v="http://www.youtube.com/channel/UC9gMY6UUybdpUkoXWEhMabw"/>
    <m/>
    <s v="5QB8QAuirzA"/>
    <s v="https://www.youtube.com/watch?v=5QB8QAuirzA"/>
    <s v="none"/>
    <n v="0"/>
    <x v="213"/>
    <d v="2023-08-22T01:36:41.000"/>
    <m/>
    <m/>
    <m/>
    <n v="1"/>
    <n v="1"/>
    <n v="1"/>
    <n v="0"/>
    <n v="0"/>
    <n v="1"/>
    <n v="11.11111111111111"/>
    <n v="0"/>
    <n v="0"/>
    <n v="3"/>
    <n v="33.333333333333336"/>
    <n v="9"/>
  </r>
  <r>
    <s v="UCKenFpZWc7jp7yKFT1IRoUw"/>
    <s v="UCqYI3lmZgTsRs202mY15QfA"/>
    <s v="128, 128, 128"/>
    <n v="3"/>
    <m/>
    <n v="40"/>
    <m/>
    <m/>
    <m/>
    <m/>
    <s v="No"/>
    <n v="217"/>
    <m/>
    <m/>
    <s v="Commented Video"/>
    <x v="0"/>
    <s v="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
    <s v="UCKenFpZWc7jp7yKFT1IRoUw"/>
    <s v="Tim Rowland"/>
    <s v="http://www.youtube.com/channel/UCKenFpZWc7jp7yKFT1IRoUw"/>
    <m/>
    <s v="5QB8QAuirzA"/>
    <s v="https://www.youtube.com/watch?v=5QB8QAuirzA"/>
    <s v="none"/>
    <n v="0"/>
    <x v="214"/>
    <d v="2023-08-22T22:27:47.000"/>
    <m/>
    <m/>
    <m/>
    <n v="1"/>
    <n v="1"/>
    <n v="1"/>
    <n v="2"/>
    <n v="2.1052631578947367"/>
    <n v="2"/>
    <n v="2.1052631578947367"/>
    <n v="0"/>
    <n v="0"/>
    <n v="38"/>
    <n v="40"/>
    <n v="95"/>
  </r>
  <r>
    <s v="UC5PLpWow_bS6RCSlqi30mFA"/>
    <s v="UCqYI3lmZgTsRs202mY15QfA"/>
    <s v="128, 128, 128"/>
    <n v="3"/>
    <m/>
    <n v="40"/>
    <m/>
    <m/>
    <m/>
    <m/>
    <s v="No"/>
    <n v="218"/>
    <m/>
    <m/>
    <s v="Commented Video"/>
    <x v="0"/>
    <s v="Questions : Should I take Butter or margarine to reduce cholesterol?"/>
    <s v="UC5PLpWow_bS6RCSlqi30mFA"/>
    <s v="Panda Gultom"/>
    <s v="http://www.youtube.com/channel/UC5PLpWow_bS6RCSlqi30mFA"/>
    <m/>
    <s v="5QB8QAuirzA"/>
    <s v="https://www.youtube.com/watch?v=5QB8QAuirzA"/>
    <s v="none"/>
    <n v="0"/>
    <x v="215"/>
    <d v="2023-08-25T09:21:23.000"/>
    <m/>
    <m/>
    <m/>
    <n v="1"/>
    <n v="1"/>
    <n v="1"/>
    <n v="0"/>
    <n v="0"/>
    <n v="0"/>
    <n v="0"/>
    <n v="0"/>
    <n v="0"/>
    <n v="5"/>
    <n v="50"/>
    <n v="10"/>
  </r>
  <r>
    <s v="UCcoHMcDPXGII1cYArRQ3dGg"/>
    <s v="UCqYI3lmZgTsRs202mY15QfA"/>
    <s v="128, 128, 128"/>
    <n v="3"/>
    <m/>
    <n v="40"/>
    <m/>
    <m/>
    <m/>
    <m/>
    <s v="No"/>
    <n v="219"/>
    <m/>
    <m/>
    <s v="Commented Video"/>
    <x v="0"/>
    <s v="Since you mention almonds, will almond milk do the same?"/>
    <s v="UCcoHMcDPXGII1cYArRQ3dGg"/>
    <s v="JW🎃"/>
    <s v="http://www.youtube.com/channel/UCcoHMcDPXGII1cYArRQ3dGg"/>
    <m/>
    <s v="5QB8QAuirzA"/>
    <s v="https://www.youtube.com/watch?v=5QB8QAuirzA"/>
    <s v="none"/>
    <n v="0"/>
    <x v="216"/>
    <d v="2023-08-26T20:49:04.000"/>
    <m/>
    <m/>
    <m/>
    <n v="1"/>
    <n v="1"/>
    <n v="1"/>
    <n v="0"/>
    <n v="0"/>
    <n v="0"/>
    <n v="0"/>
    <n v="0"/>
    <n v="0"/>
    <n v="4"/>
    <n v="40"/>
    <n v="10"/>
  </r>
  <r>
    <s v="UCMdUzXw4MRp7GyXe38igHkQ"/>
    <s v="UCqYI3lmZgTsRs202mY15QfA"/>
    <s v="128, 128, 128"/>
    <n v="3"/>
    <m/>
    <n v="40"/>
    <m/>
    <m/>
    <m/>
    <m/>
    <s v="No"/>
    <n v="220"/>
    <m/>
    <m/>
    <s v="Commented Video"/>
    <x v="0"/>
    <s v="I dont eat leafs and seeds"/>
    <s v="UCMdUzXw4MRp7GyXe38igHkQ"/>
    <s v="Juan Sanchez"/>
    <s v="http://www.youtube.com/channel/UCMdUzXw4MRp7GyXe38igHkQ"/>
    <m/>
    <s v="5QB8QAuirzA"/>
    <s v="https://www.youtube.com/watch?v=5QB8QAuirzA"/>
    <s v="none"/>
    <n v="0"/>
    <x v="217"/>
    <d v="2023-08-27T02:36:35.000"/>
    <m/>
    <m/>
    <m/>
    <n v="1"/>
    <n v="1"/>
    <n v="1"/>
    <n v="0"/>
    <n v="0"/>
    <n v="0"/>
    <n v="0"/>
    <n v="0"/>
    <n v="0"/>
    <n v="3"/>
    <n v="50"/>
    <n v="6"/>
  </r>
  <r>
    <s v="UCFgAkK6bDrlZq5JioDeFifw"/>
    <s v="UCqYI3lmZgTsRs202mY15QfA"/>
    <s v="141, 115, 115"/>
    <n v="6.5"/>
    <m/>
    <n v="27.5"/>
    <m/>
    <m/>
    <m/>
    <m/>
    <s v="No"/>
    <n v="221"/>
    <m/>
    <m/>
    <s v="Commented Video"/>
    <x v="0"/>
    <s v="Great video, very snappy and to the point, no waffling on"/>
    <s v="UCFgAkK6bDrlZq5JioDeFifw"/>
    <s v="Tom Bowler"/>
    <s v="http://www.youtube.com/channel/UCFgAkK6bDrlZq5JioDeFifw"/>
    <m/>
    <s v="5QB8QAuirzA"/>
    <s v="https://www.youtube.com/watch?v=5QB8QAuirzA"/>
    <s v="none"/>
    <n v="0"/>
    <x v="218"/>
    <d v="2023-08-27T14:31:53.000"/>
    <m/>
    <m/>
    <m/>
    <n v="4"/>
    <n v="1"/>
    <n v="1"/>
    <n v="2"/>
    <n v="18.181818181818183"/>
    <n v="0"/>
    <n v="0"/>
    <n v="0"/>
    <n v="0"/>
    <n v="1"/>
    <n v="9.090909090909092"/>
    <n v="11"/>
  </r>
  <r>
    <s v="UCXSh0I1rmNQgzbcuBJzQSGw"/>
    <s v="UCqYI3lmZgTsRs202mY15QfA"/>
    <s v="128, 128, 128"/>
    <n v="3"/>
    <m/>
    <n v="40"/>
    <m/>
    <m/>
    <m/>
    <m/>
    <s v="No"/>
    <n v="222"/>
    <m/>
    <m/>
    <s v="Commented Video"/>
    <x v="0"/>
    <s v="Hate fish.  😂 every thing else sounds good."/>
    <s v="UCXSh0I1rmNQgzbcuBJzQSGw"/>
    <s v="Sylvia Ivie"/>
    <s v="http://www.youtube.com/channel/UCXSh0I1rmNQgzbcuBJzQSGw"/>
    <m/>
    <s v="5QB8QAuirzA"/>
    <s v="https://www.youtube.com/watch?v=5QB8QAuirzA"/>
    <s v="none"/>
    <n v="0"/>
    <x v="219"/>
    <d v="2023-08-28T01:50:55.000"/>
    <m/>
    <m/>
    <m/>
    <n v="1"/>
    <n v="1"/>
    <n v="1"/>
    <n v="1"/>
    <n v="14.285714285714286"/>
    <n v="1"/>
    <n v="14.285714285714286"/>
    <n v="0"/>
    <n v="0"/>
    <n v="3"/>
    <n v="42.857142857142854"/>
    <n v="7"/>
  </r>
  <r>
    <s v="UC_QFn-f-ssY6LU0BXUWv5xw"/>
    <s v="UCqYI3lmZgTsRs202mY15QfA"/>
    <s v="128, 128, 128"/>
    <n v="3"/>
    <m/>
    <n v="40"/>
    <m/>
    <m/>
    <m/>
    <m/>
    <s v="No"/>
    <n v="223"/>
    <m/>
    <m/>
    <s v="Commented Video"/>
    <x v="0"/>
    <s v="Fantastic short informative video ...&lt;br&gt;My level is 207, should i be worried 🤷‍♀️"/>
    <s v="UC_QFn-f-ssY6LU0BXUWv5xw"/>
    <s v="Diana Coulson"/>
    <s v="http://www.youtube.com/channel/UC_QFn-f-ssY6LU0BXUWv5xw"/>
    <m/>
    <s v="5QB8QAuirzA"/>
    <s v="https://www.youtube.com/watch?v=5QB8QAuirzA"/>
    <s v="none"/>
    <n v="0"/>
    <x v="220"/>
    <d v="2023-09-02T18:20:18.000"/>
    <m/>
    <m/>
    <m/>
    <n v="1"/>
    <n v="1"/>
    <n v="1"/>
    <n v="1"/>
    <n v="7.6923076923076925"/>
    <n v="1"/>
    <n v="7.6923076923076925"/>
    <n v="0"/>
    <n v="0"/>
    <n v="4"/>
    <n v="30.76923076923077"/>
    <n v="13"/>
  </r>
  <r>
    <s v="UCtRleeJcrur_SqIt5rABzmA"/>
    <s v="UCqYI3lmZgTsRs202mY15QfA"/>
    <s v="128, 128, 128"/>
    <n v="3"/>
    <m/>
    <n v="40"/>
    <m/>
    <m/>
    <m/>
    <m/>
    <s v="No"/>
    <n v="224"/>
    <m/>
    <m/>
    <s v="Commented Video"/>
    <x v="0"/>
    <s v="All foods that cause IBS except Fish 😂"/>
    <s v="UCtRleeJcrur_SqIt5rABzmA"/>
    <s v="Biscayne Beast"/>
    <s v="http://www.youtube.com/channel/UCtRleeJcrur_SqIt5rABzmA"/>
    <m/>
    <s v="5QB8QAuirzA"/>
    <s v="https://www.youtube.com/watch?v=5QB8QAuirzA"/>
    <s v="none"/>
    <n v="0"/>
    <x v="221"/>
    <d v="2023-09-04T19:34:00.000"/>
    <m/>
    <m/>
    <m/>
    <n v="1"/>
    <n v="1"/>
    <n v="1"/>
    <n v="0"/>
    <n v="0"/>
    <n v="0"/>
    <n v="0"/>
    <n v="0"/>
    <n v="0"/>
    <n v="3"/>
    <n v="42.857142857142854"/>
    <n v="7"/>
  </r>
  <r>
    <s v="UC9GABISrBWFvUQJsScXcKwQ"/>
    <s v="UCqYI3lmZgTsRs202mY15QfA"/>
    <s v="128, 128, 128"/>
    <n v="3"/>
    <m/>
    <n v="40"/>
    <m/>
    <m/>
    <m/>
    <m/>
    <s v="No"/>
    <n v="225"/>
    <m/>
    <m/>
    <s v="Commented Video"/>
    <x v="0"/>
    <s v="My mum lowered hers by switching to soy milk. Hers is a genetic one, shes super skinny like 36 or 37kg and her levels are through the roof. Shes a very healthy eater, gluten free, sugar free."/>
    <s v="UC9GABISrBWFvUQJsScXcKwQ"/>
    <s v="Kelly K."/>
    <s v="http://www.youtube.com/channel/UC9GABISrBWFvUQJsScXcKwQ"/>
    <m/>
    <s v="5QB8QAuirzA"/>
    <s v="https://www.youtube.com/watch?v=5QB8QAuirzA"/>
    <s v="none"/>
    <n v="0"/>
    <x v="222"/>
    <d v="2023-09-05T13:01:41.000"/>
    <m/>
    <m/>
    <m/>
    <n v="1"/>
    <n v="1"/>
    <n v="1"/>
    <n v="3"/>
    <n v="8.108108108108109"/>
    <n v="1"/>
    <n v="2.7027027027027026"/>
    <n v="0"/>
    <n v="0"/>
    <n v="12"/>
    <n v="32.432432432432435"/>
    <n v="37"/>
  </r>
  <r>
    <s v="UCgi8CWGXMt6kuYzhDvw3AVw"/>
    <s v="UCqYI3lmZgTsRs202mY15QfA"/>
    <s v="128, 128, 128"/>
    <n v="3"/>
    <m/>
    <n v="40"/>
    <m/>
    <m/>
    <m/>
    <m/>
    <s v="No"/>
    <n v="226"/>
    <m/>
    <m/>
    <s v="Commented Video"/>
    <x v="0"/>
    <s v="Ewwwww green leafy vegetables!!! How gross they have cooties. That&amp;#39;s what you sound like when you preface it the way you did"/>
    <s v="UCgi8CWGXMt6kuYzhDvw3AVw"/>
    <s v="Asher"/>
    <s v="http://www.youtube.com/channel/UCgi8CWGXMt6kuYzhDvw3AVw"/>
    <m/>
    <s v="5QB8QAuirzA"/>
    <s v="https://www.youtube.com/watch?v=5QB8QAuirzA"/>
    <s v="none"/>
    <n v="0"/>
    <x v="223"/>
    <d v="2023-09-07T18:18:10.000"/>
    <m/>
    <m/>
    <m/>
    <n v="1"/>
    <n v="1"/>
    <n v="1"/>
    <n v="1"/>
    <n v="4.166666666666667"/>
    <n v="1"/>
    <n v="4.166666666666667"/>
    <n v="0"/>
    <n v="0"/>
    <n v="7"/>
    <n v="29.166666666666668"/>
    <n v="24"/>
  </r>
  <r>
    <s v="UC9e7Brrmb4DeG9KMe4bkmww"/>
    <s v="UCqYI3lmZgTsRs202mY15QfA"/>
    <s v="128, 128, 128"/>
    <n v="3"/>
    <m/>
    <n v="40"/>
    <m/>
    <m/>
    <m/>
    <m/>
    <s v="No"/>
    <n v="227"/>
    <m/>
    <m/>
    <s v="Commented Video"/>
    <x v="0"/>
    <s v="Are chia seeds safe to eat every day? i heard seeds can put u at risk for diverticulitis as we get older"/>
    <s v="UC9e7Brrmb4DeG9KMe4bkmww"/>
    <s v="laura INFINITY"/>
    <s v="http://www.youtube.com/channel/UC9e7Brrmb4DeG9KMe4bkmww"/>
    <m/>
    <s v="5QB8QAuirzA"/>
    <s v="https://www.youtube.com/watch?v=5QB8QAuirzA"/>
    <s v="none"/>
    <n v="0"/>
    <x v="224"/>
    <d v="2023-09-08T20:51:17.000"/>
    <m/>
    <m/>
    <m/>
    <n v="1"/>
    <n v="1"/>
    <n v="1"/>
    <n v="1"/>
    <n v="4.545454545454546"/>
    <n v="1"/>
    <n v="4.545454545454546"/>
    <n v="0"/>
    <n v="0"/>
    <n v="6"/>
    <n v="27.272727272727273"/>
    <n v="22"/>
  </r>
  <r>
    <s v="UClV_1ftKEKSAbVvgKKCH2yg"/>
    <s v="UCqYI3lmZgTsRs202mY15QfA"/>
    <s v="128, 128, 128"/>
    <n v="3"/>
    <m/>
    <n v="40"/>
    <m/>
    <m/>
    <m/>
    <m/>
    <s v="No"/>
    <n v="228"/>
    <m/>
    <m/>
    <s v="Commented Video"/>
    <x v="0"/>
    <s v="👍👍"/>
    <s v="UClV_1ftKEKSAbVvgKKCH2yg"/>
    <s v="J"/>
    <s v="http://www.youtube.com/channel/UClV_1ftKEKSAbVvgKKCH2yg"/>
    <m/>
    <s v="5QB8QAuirzA"/>
    <s v="https://www.youtube.com/watch?v=5QB8QAuirzA"/>
    <s v="none"/>
    <n v="0"/>
    <x v="225"/>
    <d v="2023-09-10T00:16:43.000"/>
    <m/>
    <m/>
    <m/>
    <n v="1"/>
    <n v="1"/>
    <n v="1"/>
    <n v="0"/>
    <n v="0"/>
    <n v="0"/>
    <n v="0"/>
    <n v="0"/>
    <n v="0"/>
    <n v="0"/>
    <n v="0"/>
    <n v="0"/>
  </r>
  <r>
    <s v="UC1wVZz6tDtOev68E5dOaXRA"/>
    <s v="UCqYI3lmZgTsRs202mY15QfA"/>
    <s v="128, 128, 128"/>
    <n v="3"/>
    <m/>
    <n v="40"/>
    <m/>
    <m/>
    <m/>
    <m/>
    <s v="No"/>
    <n v="229"/>
    <m/>
    <m/>
    <s v="Commented Video"/>
    <x v="0"/>
    <s v="Here&amp;#39;s the list:&lt;br&gt;Brazil Nuts&lt;br&gt;Almonds&lt;br&gt;Beans&lt;br&gt;Chickpeas &lt;br&gt;Lentils&lt;br&gt;Avocado&lt;br&gt;Dark Chocolate&lt;br&gt;Kale&lt;br&gt;Spinach&lt;br&gt;Fresh Fish&lt;br&gt;Oats&lt;br&gt;Barley&lt;br&gt;Grapes&lt;br&gt;Psyllium Husk &lt;br&gt;Chia Seeds"/>
    <s v="UC1wVZz6tDtOev68E5dOaXRA"/>
    <s v="icebreaketh"/>
    <s v="http://www.youtube.com/channel/UC1wVZz6tDtOev68E5dOaXRA"/>
    <m/>
    <s v="5QB8QAuirzA"/>
    <s v="https://www.youtube.com/watch?v=5QB8QAuirzA"/>
    <s v="none"/>
    <n v="0"/>
    <x v="226"/>
    <d v="2023-09-10T11:29:32.000"/>
    <m/>
    <m/>
    <m/>
    <n v="1"/>
    <n v="1"/>
    <n v="1"/>
    <n v="1"/>
    <n v="2.5"/>
    <n v="1"/>
    <n v="2.5"/>
    <n v="0"/>
    <n v="0"/>
    <n v="19"/>
    <n v="47.5"/>
    <n v="40"/>
  </r>
  <r>
    <s v="UCwnGWfLRtyU6q5o7RQGLcvg"/>
    <s v="UCqYI3lmZgTsRs202mY15QfA"/>
    <s v="128, 128, 128"/>
    <n v="3"/>
    <m/>
    <n v="40"/>
    <m/>
    <m/>
    <m/>
    <m/>
    <s v="No"/>
    <n v="230"/>
    <m/>
    <m/>
    <s v="Commented Video"/>
    <x v="0"/>
    <s v="Which LDL particle do these foods lower small dense or large buoyant LDL particle?"/>
    <s v="UCwnGWfLRtyU6q5o7RQGLcvg"/>
    <s v="Sandman_9"/>
    <s v="http://www.youtube.com/channel/UCwnGWfLRtyU6q5o7RQGLcvg"/>
    <m/>
    <s v="5QB8QAuirzA"/>
    <s v="https://www.youtube.com/watch?v=5QB8QAuirzA"/>
    <s v="none"/>
    <n v="0"/>
    <x v="227"/>
    <d v="2023-09-12T14:35:04.000"/>
    <m/>
    <m/>
    <m/>
    <n v="1"/>
    <n v="1"/>
    <n v="1"/>
    <n v="1"/>
    <n v="7.142857142857143"/>
    <n v="1"/>
    <n v="7.142857142857143"/>
    <n v="0"/>
    <n v="0"/>
    <n v="7"/>
    <n v="50"/>
    <n v="14"/>
  </r>
  <r>
    <s v="UCDkkELtKMdIt9W207n2gkIQ"/>
    <s v="UCqYI3lmZgTsRs202mY15QfA"/>
    <s v="128, 128, 128"/>
    <n v="3"/>
    <m/>
    <n v="40"/>
    <m/>
    <m/>
    <m/>
    <m/>
    <s v="No"/>
    <n v="231"/>
    <m/>
    <m/>
    <s v="Commented Video"/>
    <x v="0"/>
    <s v="Raw broccoli 🥦 and Hope brand Hummus made with EVOO.  ❤"/>
    <s v="UCDkkELtKMdIt9W207n2gkIQ"/>
    <s v="Smith Family YouTube"/>
    <s v="http://www.youtube.com/channel/UCDkkELtKMdIt9W207n2gkIQ"/>
    <m/>
    <s v="5QB8QAuirzA"/>
    <s v="https://www.youtube.com/watch?v=5QB8QAuirzA"/>
    <s v="none"/>
    <n v="0"/>
    <x v="228"/>
    <d v="2023-09-13T23:54:12.000"/>
    <m/>
    <m/>
    <m/>
    <n v="1"/>
    <n v="1"/>
    <n v="1"/>
    <n v="0"/>
    <n v="0"/>
    <n v="0"/>
    <n v="0"/>
    <n v="0"/>
    <n v="0"/>
    <n v="6"/>
    <n v="66.66666666666667"/>
    <n v="9"/>
  </r>
  <r>
    <s v="UCdMLfgflOd8sQbyeYNnzDtw"/>
    <s v="UCqYI3lmZgTsRs202mY15QfA"/>
    <s v="128, 128, 128"/>
    <n v="3"/>
    <m/>
    <n v="40"/>
    <m/>
    <m/>
    <m/>
    <m/>
    <s v="No"/>
    <n v="232"/>
    <m/>
    <m/>
    <s v="Commented Video"/>
    <x v="0"/>
    <s v="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
    <s v="UCdMLfgflOd8sQbyeYNnzDtw"/>
    <s v="okay nope"/>
    <s v="http://www.youtube.com/channel/UCdMLfgflOd8sQbyeYNnzDtw"/>
    <m/>
    <s v="5QB8QAuirzA"/>
    <s v="https://www.youtube.com/watch?v=5QB8QAuirzA"/>
    <s v="none"/>
    <n v="0"/>
    <x v="229"/>
    <d v="2023-09-14T07:48:31.000"/>
    <m/>
    <m/>
    <m/>
    <n v="1"/>
    <n v="1"/>
    <n v="1"/>
    <n v="0"/>
    <n v="0"/>
    <n v="2"/>
    <n v="3.7735849056603774"/>
    <n v="0"/>
    <n v="0"/>
    <n v="19"/>
    <n v="35.84905660377358"/>
    <n v="53"/>
  </r>
  <r>
    <s v="UC85zxiH5BjwQrjawrgMIrtQ"/>
    <s v="UCqYI3lmZgTsRs202mY15QfA"/>
    <s v="128, 128, 128"/>
    <n v="3"/>
    <m/>
    <n v="40"/>
    <m/>
    <m/>
    <m/>
    <m/>
    <s v="No"/>
    <n v="233"/>
    <m/>
    <m/>
    <s v="Commented Video"/>
    <x v="0"/>
    <s v="Beans beans good for your heart the more u eat the more u fart😂"/>
    <s v="UC85zxiH5BjwQrjawrgMIrtQ"/>
    <s v="Adapt or Die"/>
    <s v="http://www.youtube.com/channel/UC85zxiH5BjwQrjawrgMIrtQ"/>
    <m/>
    <s v="5QB8QAuirzA"/>
    <s v="https://www.youtube.com/watch?v=5QB8QAuirzA"/>
    <s v="none"/>
    <n v="0"/>
    <x v="230"/>
    <d v="2023-09-15T00:39:18.000"/>
    <m/>
    <m/>
    <m/>
    <n v="1"/>
    <n v="1"/>
    <n v="1"/>
    <n v="1"/>
    <n v="7.142857142857143"/>
    <n v="0"/>
    <n v="0"/>
    <n v="0"/>
    <n v="0"/>
    <n v="5"/>
    <n v="35.714285714285715"/>
    <n v="14"/>
  </r>
  <r>
    <s v="UCgHO0kiaS0wESP3plRDYA5w"/>
    <s v="UCqYI3lmZgTsRs202mY15QfA"/>
    <s v="128, 128, 128"/>
    <n v="3"/>
    <m/>
    <n v="40"/>
    <m/>
    <m/>
    <m/>
    <m/>
    <s v="No"/>
    <n v="234"/>
    <m/>
    <m/>
    <s v="Commented Video"/>
    <x v="0"/>
    <s v="You dont need to lower cholesterol.  Thats a myth and they know it.&lt;br&gt;Cholesterol supports your brain , hormones your sex hormones.  Ill pass on it"/>
    <s v="UCgHO0kiaS0wESP3plRDYA5w"/>
    <s v="Paul Sidaway"/>
    <s v="http://www.youtube.com/channel/UCgHO0kiaS0wESP3plRDYA5w"/>
    <m/>
    <s v="5QB8QAuirzA"/>
    <s v="https://www.youtube.com/watch?v=5QB8QAuirzA"/>
    <s v="none"/>
    <n v="0"/>
    <x v="231"/>
    <d v="2023-09-16T17:41:14.000"/>
    <m/>
    <m/>
    <m/>
    <n v="1"/>
    <n v="1"/>
    <n v="1"/>
    <n v="1"/>
    <n v="3.8461538461538463"/>
    <n v="1"/>
    <n v="3.8461538461538463"/>
    <n v="0"/>
    <n v="0"/>
    <n v="9"/>
    <n v="34.61538461538461"/>
    <n v="26"/>
  </r>
  <r>
    <s v="UC4hpGiMQzB0TIoVA3h07xHw"/>
    <s v="UCqYI3lmZgTsRs202mY15QfA"/>
    <s v="128, 128, 128"/>
    <n v="3"/>
    <m/>
    <n v="40"/>
    <m/>
    <m/>
    <m/>
    <m/>
    <s v="No"/>
    <n v="235"/>
    <m/>
    <m/>
    <s v="Commented Video"/>
    <x v="0"/>
    <s v="Berberine"/>
    <s v="UC4hpGiMQzB0TIoVA3h07xHw"/>
    <s v="Faith"/>
    <s v="http://www.youtube.com/channel/UC4hpGiMQzB0TIoVA3h07xHw"/>
    <m/>
    <s v="5QB8QAuirzA"/>
    <s v="https://www.youtube.com/watch?v=5QB8QAuirzA"/>
    <s v="none"/>
    <n v="0"/>
    <x v="232"/>
    <d v="2023-09-18T03:54:24.000"/>
    <m/>
    <m/>
    <m/>
    <n v="1"/>
    <n v="1"/>
    <n v="1"/>
    <n v="0"/>
    <n v="0"/>
    <n v="0"/>
    <n v="0"/>
    <n v="0"/>
    <n v="0"/>
    <n v="1"/>
    <n v="100"/>
    <n v="1"/>
  </r>
  <r>
    <s v="UCYNntWoBQNmwamwt2_h6zSQ"/>
    <s v="UCNI0qOojpkhsUtaQ4_2NUhQ"/>
    <s v="128, 128, 128"/>
    <n v="3"/>
    <m/>
    <n v="40"/>
    <m/>
    <m/>
    <m/>
    <m/>
    <s v="No"/>
    <n v="236"/>
    <m/>
    <m/>
    <s v="Commented Video"/>
    <x v="0"/>
    <s v="Better watch the entire thing and don&amp;#39;t jump to conclusions. 😅"/>
    <s v="UCYNntWoBQNmwamwt2_h6zSQ"/>
    <s v="Binoy Mathew"/>
    <s v="http://www.youtube.com/channel/UCYNntWoBQNmwamwt2_h6zSQ"/>
    <m/>
    <s v="SKknfAC3PD0"/>
    <s v="https://www.youtube.com/watch?v=SKknfAC3PD0"/>
    <s v="none"/>
    <n v="3"/>
    <x v="233"/>
    <d v="2023-02-18T23:21:29.000"/>
    <m/>
    <m/>
    <m/>
    <n v="1"/>
    <n v="8"/>
    <n v="8"/>
    <n v="1"/>
    <n v="8.333333333333334"/>
    <n v="0"/>
    <n v="0"/>
    <n v="0"/>
    <n v="0"/>
    <n v="4"/>
    <n v="33.333333333333336"/>
    <n v="12"/>
  </r>
  <r>
    <s v="UCRzCAdoaQeiKD9Nk4mKGMYw"/>
    <s v="UCNI0qOojpkhsUtaQ4_2NUhQ"/>
    <s v="128, 128, 128"/>
    <n v="3"/>
    <m/>
    <n v="40"/>
    <m/>
    <m/>
    <m/>
    <m/>
    <s v="No"/>
    <n v="237"/>
    <m/>
    <m/>
    <s v="Commented Video"/>
    <x v="0"/>
    <s v="Correction, for part 3: condoms can decrease your risk of contracting herpes. However, even while wearing a condom you can still get genital herpes."/>
    <s v="UCRzCAdoaQeiKD9Nk4mKGMYw"/>
    <s v="EyeWatchU2B"/>
    <s v="http://www.youtube.com/channel/UCRzCAdoaQeiKD9Nk4mKGMYw"/>
    <m/>
    <s v="SKknfAC3PD0"/>
    <s v="https://www.youtube.com/watch?v=SKknfAC3PD0"/>
    <s v="none"/>
    <n v="9"/>
    <x v="234"/>
    <d v="2023-02-27T02:03:11.000"/>
    <m/>
    <m/>
    <m/>
    <n v="1"/>
    <n v="8"/>
    <n v="8"/>
    <n v="0"/>
    <n v="0"/>
    <n v="1"/>
    <n v="4.166666666666667"/>
    <n v="0"/>
    <n v="0"/>
    <n v="10"/>
    <n v="41.666666666666664"/>
    <n v="24"/>
  </r>
  <r>
    <s v="UCfIsz6jRLv-VT011JVgbJEw"/>
    <s v="UCNI0qOojpkhsUtaQ4_2NUhQ"/>
    <s v="128, 128, 128"/>
    <n v="3"/>
    <m/>
    <n v="40"/>
    <m/>
    <m/>
    <m/>
    <m/>
    <s v="No"/>
    <n v="238"/>
    <m/>
    <m/>
    <s v="Commented Video"/>
    <x v="0"/>
    <s v="Penis inner thigh lol"/>
    <s v="UCfIsz6jRLv-VT011JVgbJEw"/>
    <s v="Da Hunters Trophy"/>
    <s v="http://www.youtube.com/channel/UCfIsz6jRLv-VT011JVgbJEw"/>
    <m/>
    <s v="SKknfAC3PD0"/>
    <s v="https://www.youtube.com/watch?v=SKknfAC3PD0"/>
    <s v="none"/>
    <n v="0"/>
    <x v="235"/>
    <d v="2023-08-06T04:08:38.000"/>
    <m/>
    <m/>
    <m/>
    <n v="1"/>
    <n v="8"/>
    <n v="8"/>
    <n v="0"/>
    <n v="0"/>
    <n v="0"/>
    <n v="0"/>
    <n v="0"/>
    <n v="0"/>
    <n v="3"/>
    <n v="75"/>
    <n v="4"/>
  </r>
  <r>
    <s v="UCf33NQt2P-7FFKhrrNfH1Nw"/>
    <s v="UCNI0qOojpkhsUtaQ4_2NUhQ"/>
    <s v="128, 128, 128"/>
    <n v="3"/>
    <m/>
    <n v="40"/>
    <m/>
    <m/>
    <m/>
    <m/>
    <s v="No"/>
    <n v="239"/>
    <m/>
    <m/>
    <s v="Commented Video"/>
    <x v="0"/>
    <s v="I have them at my back im scared lol"/>
    <s v="UCf33NQt2P-7FFKhrrNfH1Nw"/>
    <s v="Danai Gwatsvaira"/>
    <s v="http://www.youtube.com/channel/UCf33NQt2P-7FFKhrrNfH1Nw"/>
    <m/>
    <s v="SKknfAC3PD0"/>
    <s v="https://www.youtube.com/watch?v=SKknfAC3PD0"/>
    <s v="none"/>
    <n v="0"/>
    <x v="236"/>
    <d v="2023-08-09T23:23:22.000"/>
    <m/>
    <m/>
    <m/>
    <n v="1"/>
    <n v="8"/>
    <n v="8"/>
    <n v="0"/>
    <n v="0"/>
    <n v="1"/>
    <n v="11.11111111111111"/>
    <n v="0"/>
    <n v="0"/>
    <n v="1"/>
    <n v="11.11111111111111"/>
    <n v="9"/>
  </r>
  <r>
    <s v="UCFBKvki1427rKbVsgX3CrCQ"/>
    <s v="UCNI0qOojpkhsUtaQ4_2NUhQ"/>
    <s v="128, 128, 128"/>
    <n v="3"/>
    <m/>
    <n v="40"/>
    <m/>
    <m/>
    <m/>
    <m/>
    <s v="No"/>
    <n v="240"/>
    <m/>
    <m/>
    <s v="Commented Video"/>
    <x v="0"/>
    <s v="Hw bout bumbs in viginal how to remove it?"/>
    <s v="UCFBKvki1427rKbVsgX3CrCQ"/>
    <s v="Jessa Mae Lauzon"/>
    <s v="http://www.youtube.com/channel/UCFBKvki1427rKbVsgX3CrCQ"/>
    <m/>
    <s v="SKknfAC3PD0"/>
    <s v="https://www.youtube.com/watch?v=SKknfAC3PD0"/>
    <s v="none"/>
    <n v="0"/>
    <x v="237"/>
    <d v="2023-08-14T13:15:58.000"/>
    <m/>
    <m/>
    <m/>
    <n v="1"/>
    <n v="8"/>
    <n v="8"/>
    <n v="0"/>
    <n v="0"/>
    <n v="0"/>
    <n v="0"/>
    <n v="0"/>
    <n v="0"/>
    <n v="5"/>
    <n v="55.55555555555556"/>
    <n v="9"/>
  </r>
  <r>
    <s v="UC4ibNnkQqtD8nJorr30dMYA"/>
    <s v="UCNI0qOojpkhsUtaQ4_2NUhQ"/>
    <s v="128, 128, 128"/>
    <n v="3"/>
    <m/>
    <n v="40"/>
    <m/>
    <m/>
    <m/>
    <m/>
    <s v="No"/>
    <n v="241"/>
    <m/>
    <m/>
    <s v="Commented Video"/>
    <x v="0"/>
    <s v="This is worldwide pandamic disease  Thank yoa for Advic"/>
    <s v="UC4ibNnkQqtD8nJorr30dMYA"/>
    <s v="Ram Sita"/>
    <s v="http://www.youtube.com/channel/UC4ibNnkQqtD8nJorr30dMYA"/>
    <m/>
    <s v="SKknfAC3PD0"/>
    <s v="https://www.youtube.com/watch?v=SKknfAC3PD0"/>
    <s v="none"/>
    <n v="0"/>
    <x v="238"/>
    <d v="2023-08-15T10:44:16.000"/>
    <m/>
    <m/>
    <m/>
    <n v="1"/>
    <n v="8"/>
    <n v="8"/>
    <n v="0"/>
    <n v="0"/>
    <n v="0"/>
    <n v="0"/>
    <n v="0"/>
    <n v="0"/>
    <n v="5"/>
    <n v="55.55555555555556"/>
    <n v="9"/>
  </r>
  <r>
    <s v="UCQVZYXYVW37FV3FiOuzY71g"/>
    <s v="UCNI0qOojpkhsUtaQ4_2NUhQ"/>
    <s v="128, 128, 128"/>
    <n v="3"/>
    <m/>
    <n v="40"/>
    <m/>
    <m/>
    <m/>
    <m/>
    <s v="No"/>
    <n v="242"/>
    <m/>
    <m/>
    <s v="Commented Video"/>
    <x v="0"/>
    <s v="When he said “penis” 👁️👄👁️"/>
    <s v="UCQVZYXYVW37FV3FiOuzY71g"/>
    <s v="Ella_kwok2000"/>
    <s v="http://www.youtube.com/channel/UCQVZYXYVW37FV3FiOuzY71g"/>
    <m/>
    <s v="SKknfAC3PD0"/>
    <s v="https://www.youtube.com/watch?v=SKknfAC3PD0"/>
    <s v="none"/>
    <n v="0"/>
    <x v="239"/>
    <d v="2023-08-25T21:24:30.000"/>
    <m/>
    <m/>
    <m/>
    <n v="1"/>
    <n v="8"/>
    <n v="8"/>
    <n v="0"/>
    <n v="0"/>
    <n v="0"/>
    <n v="0"/>
    <n v="0"/>
    <n v="0"/>
    <n v="1"/>
    <n v="25"/>
    <n v="4"/>
  </r>
  <r>
    <s v="UCNI0qOojpkhsUtaQ4_2NUhQ"/>
    <s v="UCNI0qOojpkhsUtaQ4_2NUhQ"/>
    <s v="128, 128, 128"/>
    <n v="3"/>
    <m/>
    <n v="40"/>
    <m/>
    <m/>
    <m/>
    <m/>
    <s v="No"/>
    <n v="243"/>
    <m/>
    <m/>
    <s v="Posted Video"/>
    <x v="1"/>
    <m/>
    <m/>
    <m/>
    <m/>
    <m/>
    <s v="SKknfAC3PD0"/>
    <s v="https://www.youtube.com/watch?v=SKknfAC3PD0"/>
    <m/>
    <m/>
    <x v="240"/>
    <m/>
    <m/>
    <m/>
    <m/>
    <n v="1"/>
    <n v="8"/>
    <n v="8"/>
    <m/>
    <m/>
    <m/>
    <m/>
    <m/>
    <m/>
    <m/>
    <m/>
    <m/>
  </r>
  <r>
    <s v="UCCRzkLPT5honwun_A0zHHzA"/>
    <s v="UCNI0qOojpkhsUtaQ4_2NUhQ"/>
    <s v="128, 128, 128"/>
    <n v="3"/>
    <m/>
    <n v="40"/>
    <m/>
    <m/>
    <m/>
    <m/>
    <s v="No"/>
    <n v="244"/>
    <m/>
    <m/>
    <s v="Commented Video"/>
    <x v="0"/>
    <s v="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
    <s v="UCCRzkLPT5honwun_A0zHHzA"/>
    <s v="Rik-key Music"/>
    <s v="http://www.youtube.com/channel/UCCRzkLPT5honwun_A0zHHzA"/>
    <m/>
    <s v="SKknfAC3PD0"/>
    <s v="https://www.youtube.com/watch?v=SKknfAC3PD0"/>
    <s v="none"/>
    <n v="0"/>
    <x v="241"/>
    <d v="2023-08-31T22:16:41.000"/>
    <m/>
    <m/>
    <m/>
    <n v="1"/>
    <n v="8"/>
    <n v="8"/>
    <n v="1"/>
    <n v="1.1904761904761905"/>
    <n v="4"/>
    <n v="4.761904761904762"/>
    <n v="0"/>
    <n v="0"/>
    <n v="13"/>
    <n v="15.476190476190476"/>
    <n v="84"/>
  </r>
  <r>
    <s v="UCKTBdGmQqBc7YXzJtybyxRA"/>
    <s v="UCknLrEdhRCp1aegoMqRaCZg"/>
    <s v="128, 128, 128"/>
    <n v="3"/>
    <m/>
    <n v="40"/>
    <m/>
    <m/>
    <m/>
    <m/>
    <s v="No"/>
    <n v="245"/>
    <m/>
    <m/>
    <s v="Commented Video"/>
    <x v="0"/>
    <s v="Very good 👍 ❤"/>
    <s v="UCKTBdGmQqBc7YXzJtybyxRA"/>
    <s v="Ramthian Thomson"/>
    <s v="http://www.youtube.com/channel/UCKTBdGmQqBc7YXzJtybyxRA"/>
    <m/>
    <s v="w6BMPN07BOM"/>
    <s v="https://www.youtube.com/watch?v=w6BMPN07BOM"/>
    <s v="none"/>
    <n v="8"/>
    <x v="242"/>
    <d v="2022-09-25T19:03:10.000"/>
    <m/>
    <m/>
    <m/>
    <n v="1"/>
    <n v="2"/>
    <n v="2"/>
    <n v="1"/>
    <n v="50"/>
    <n v="0"/>
    <n v="0"/>
    <n v="0"/>
    <n v="0"/>
    <n v="0"/>
    <n v="0"/>
    <n v="2"/>
  </r>
  <r>
    <s v="UCKGhgcGVrjsrJXY9wtbG_sA"/>
    <s v="UCknLrEdhRCp1aegoMqRaCZg"/>
    <s v="128, 128, 128"/>
    <n v="3"/>
    <m/>
    <n v="40"/>
    <m/>
    <m/>
    <m/>
    <m/>
    <s v="No"/>
    <n v="246"/>
    <m/>
    <m/>
    <s v="Commented Video"/>
    <x v="0"/>
    <s v="Damage control"/>
    <s v="UCKGhgcGVrjsrJXY9wtbG_sA"/>
    <s v="Mikael Arhelger"/>
    <s v="http://www.youtube.com/channel/UCKGhgcGVrjsrJXY9wtbG_sA"/>
    <m/>
    <s v="w6BMPN07BOM"/>
    <s v="https://www.youtube.com/watch?v=w6BMPN07BOM"/>
    <s v="none"/>
    <n v="0"/>
    <x v="243"/>
    <d v="2022-09-25T19:04:11.000"/>
    <m/>
    <m/>
    <m/>
    <n v="1"/>
    <n v="2"/>
    <n v="2"/>
    <n v="0"/>
    <n v="0"/>
    <n v="1"/>
    <n v="50"/>
    <n v="0"/>
    <n v="0"/>
    <n v="1"/>
    <n v="50"/>
    <n v="2"/>
  </r>
  <r>
    <s v="UCDtc6LRPWG6BznONo5-2BrA"/>
    <s v="UCknLrEdhRCp1aegoMqRaCZg"/>
    <s v="128, 128, 128"/>
    <n v="3"/>
    <m/>
    <n v="40"/>
    <m/>
    <m/>
    <m/>
    <m/>
    <s v="No"/>
    <n v="247"/>
    <m/>
    <m/>
    <s v="Commented Video"/>
    <x v="0"/>
    <s v="Sounds good"/>
    <s v="UCDtc6LRPWG6BznONo5-2BrA"/>
    <s v="ItzYourFashionCeleb"/>
    <s v="http://www.youtube.com/channel/UCDtc6LRPWG6BznONo5-2BrA"/>
    <m/>
    <s v="w6BMPN07BOM"/>
    <s v="https://www.youtube.com/watch?v=w6BMPN07BOM"/>
    <s v="none"/>
    <n v="4"/>
    <x v="244"/>
    <d v="2022-09-25T19:06:00.000"/>
    <m/>
    <m/>
    <m/>
    <n v="1"/>
    <n v="2"/>
    <n v="2"/>
    <n v="1"/>
    <n v="50"/>
    <n v="0"/>
    <n v="0"/>
    <n v="0"/>
    <n v="0"/>
    <n v="1"/>
    <n v="50"/>
    <n v="2"/>
  </r>
  <r>
    <s v="UCFyVBHOSYAkrzkGhEvbkNEQ"/>
    <s v="UCknLrEdhRCp1aegoMqRaCZg"/>
    <s v="128, 128, 128"/>
    <n v="3"/>
    <m/>
    <n v="40"/>
    <m/>
    <m/>
    <m/>
    <m/>
    <s v="No"/>
    <n v="248"/>
    <m/>
    <m/>
    <s v="Commented Video"/>
    <x v="0"/>
    <s v="Keep it up Africa!"/>
    <s v="UCFyVBHOSYAkrzkGhEvbkNEQ"/>
    <s v="Jefff"/>
    <s v="http://www.youtube.com/channel/UCFyVBHOSYAkrzkGhEvbkNEQ"/>
    <m/>
    <s v="w6BMPN07BOM"/>
    <s v="https://www.youtube.com/watch?v=w6BMPN07BOM"/>
    <s v="none"/>
    <n v="14"/>
    <x v="245"/>
    <d v="2022-09-25T19:06:03.000"/>
    <m/>
    <m/>
    <m/>
    <n v="1"/>
    <n v="2"/>
    <n v="2"/>
    <n v="0"/>
    <n v="0"/>
    <n v="0"/>
    <n v="0"/>
    <n v="0"/>
    <n v="0"/>
    <n v="2"/>
    <n v="50"/>
    <n v="4"/>
  </r>
  <r>
    <s v="UCu_BkaIC_61Sr26JlPp7Q8Q"/>
    <s v="UCknLrEdhRCp1aegoMqRaCZg"/>
    <s v="128, 128, 128"/>
    <n v="3"/>
    <m/>
    <n v="40"/>
    <m/>
    <m/>
    <m/>
    <m/>
    <s v="No"/>
    <n v="249"/>
    <m/>
    <m/>
    <s v="Commented Video"/>
    <x v="0"/>
    <s v="Well this is all good although according to IPCC projections the continent will be nearly uninhabitable in a couple of decades"/>
    <s v="UCu_BkaIC_61Sr26JlPp7Q8Q"/>
    <s v="Mep. Stance"/>
    <s v="http://www.youtube.com/channel/UCu_BkaIC_61Sr26JlPp7Q8Q"/>
    <m/>
    <s v="w6BMPN07BOM"/>
    <s v="https://www.youtube.com/watch?v=w6BMPN07BOM"/>
    <s v="none"/>
    <n v="0"/>
    <x v="246"/>
    <d v="2022-09-25T19:07:13.000"/>
    <m/>
    <m/>
    <m/>
    <n v="1"/>
    <n v="2"/>
    <n v="2"/>
    <n v="2"/>
    <n v="9.523809523809524"/>
    <n v="0"/>
    <n v="0"/>
    <n v="0"/>
    <n v="0"/>
    <n v="6"/>
    <n v="28.571428571428573"/>
    <n v="21"/>
  </r>
  <r>
    <s v="UCO0BNEzxeBuFqIwp4AUoIXw"/>
    <s v="UCknLrEdhRCp1aegoMqRaCZg"/>
    <s v="128, 128, 128"/>
    <n v="3"/>
    <m/>
    <n v="40"/>
    <m/>
    <m/>
    <m/>
    <m/>
    <s v="No"/>
    <n v="250"/>
    <m/>
    <m/>
    <s v="Commented Video"/>
    <x v="0"/>
    <s v="&amp;quot;The meek shall inherit the earth&amp;quot;.&lt;br&gt;Somebody said that one time."/>
    <s v="UCO0BNEzxeBuFqIwp4AUoIXw"/>
    <s v="E4T6"/>
    <s v="http://www.youtube.com/channel/UCO0BNEzxeBuFqIwp4AUoIXw"/>
    <m/>
    <s v="w6BMPN07BOM"/>
    <s v="https://www.youtube.com/watch?v=w6BMPN07BOM"/>
    <s v="none"/>
    <n v="2"/>
    <x v="247"/>
    <d v="2022-09-25T19:07:32.000"/>
    <m/>
    <m/>
    <m/>
    <n v="1"/>
    <n v="2"/>
    <n v="2"/>
    <n v="0"/>
    <n v="0"/>
    <n v="0"/>
    <n v="0"/>
    <n v="0"/>
    <n v="0"/>
    <n v="4"/>
    <n v="28.571428571428573"/>
    <n v="14"/>
  </r>
  <r>
    <s v="UCTySEEsEqeKxGjkyv8x2Z6g"/>
    <s v="UCknLrEdhRCp1aegoMqRaCZg"/>
    <s v="128, 128, 128"/>
    <n v="3"/>
    <m/>
    <n v="40"/>
    <m/>
    <m/>
    <m/>
    <m/>
    <s v="No"/>
    <n v="251"/>
    <m/>
    <m/>
    <s v="Commented Video"/>
    <x v="0"/>
    <s v="Thank God for this innovative talented African doctor 👏🏾👏🏾👏🏾👏🏾"/>
    <s v="UCTySEEsEqeKxGjkyv8x2Z6g"/>
    <s v="N G"/>
    <s v="http://www.youtube.com/channel/UCTySEEsEqeKxGjkyv8x2Z6g"/>
    <m/>
    <s v="w6BMPN07BOM"/>
    <s v="https://www.youtube.com/watch?v=w6BMPN07BOM"/>
    <s v="none"/>
    <n v="12"/>
    <x v="248"/>
    <d v="2022-09-25T19:08:56.000"/>
    <m/>
    <m/>
    <m/>
    <n v="1"/>
    <n v="2"/>
    <n v="2"/>
    <n v="2"/>
    <n v="25"/>
    <n v="0"/>
    <n v="0"/>
    <n v="0"/>
    <n v="0"/>
    <n v="3"/>
    <n v="37.5"/>
    <n v="8"/>
  </r>
  <r>
    <s v="UCBmWKEEMwlDz1i-HHKJCeMQ"/>
    <s v="UCknLrEdhRCp1aegoMqRaCZg"/>
    <s v="128, 128, 128"/>
    <n v="3"/>
    <m/>
    <n v="40"/>
    <m/>
    <m/>
    <m/>
    <m/>
    <s v="No"/>
    <n v="252"/>
    <m/>
    <m/>
    <s v="Commented Video"/>
    <x v="0"/>
    <s v="The Wests life expectacy has gone down and excess deaths are up 15%."/>
    <s v="UCBmWKEEMwlDz1i-HHKJCeMQ"/>
    <s v="James Watt"/>
    <s v="http://www.youtube.com/channel/UCBmWKEEMwlDz1i-HHKJCeMQ"/>
    <m/>
    <s v="w6BMPN07BOM"/>
    <s v="https://www.youtube.com/watch?v=w6BMPN07BOM"/>
    <s v="none"/>
    <n v="0"/>
    <x v="249"/>
    <d v="2022-09-25T19:11:31.000"/>
    <m/>
    <m/>
    <m/>
    <n v="1"/>
    <n v="2"/>
    <n v="2"/>
    <n v="0"/>
    <n v="0"/>
    <n v="0"/>
    <n v="0"/>
    <n v="0"/>
    <n v="0"/>
    <n v="7"/>
    <n v="53.84615384615385"/>
    <n v="13"/>
  </r>
  <r>
    <s v="UCesr7dzVRMQZXDhLYOMemdw"/>
    <s v="UCknLrEdhRCp1aegoMqRaCZg"/>
    <s v="128, 128, 128"/>
    <n v="3"/>
    <m/>
    <n v="40"/>
    <m/>
    <m/>
    <m/>
    <m/>
    <s v="No"/>
    <n v="253"/>
    <m/>
    <m/>
    <s v="Commented Video"/>
    <x v="0"/>
    <s v="Finally some positive news, good work Africa!"/>
    <s v="UCesr7dzVRMQZXDhLYOMemdw"/>
    <s v="默"/>
    <s v="http://www.youtube.com/channel/UCesr7dzVRMQZXDhLYOMemdw"/>
    <m/>
    <s v="w6BMPN07BOM"/>
    <s v="https://www.youtube.com/watch?v=w6BMPN07BOM"/>
    <s v="none"/>
    <n v="17"/>
    <x v="250"/>
    <d v="2022-09-25T19:12:06.000"/>
    <m/>
    <m/>
    <m/>
    <n v="1"/>
    <n v="2"/>
    <n v="2"/>
    <n v="3"/>
    <n v="42.857142857142854"/>
    <n v="0"/>
    <n v="0"/>
    <n v="0"/>
    <n v="0"/>
    <n v="3"/>
    <n v="42.857142857142854"/>
    <n v="7"/>
  </r>
  <r>
    <s v="UCiksh6zhhprJ_1IrsSVhQkw"/>
    <s v="UCknLrEdhRCp1aegoMqRaCZg"/>
    <s v="128, 128, 128"/>
    <n v="3"/>
    <m/>
    <n v="40"/>
    <m/>
    <m/>
    <m/>
    <m/>
    <s v="No"/>
    <n v="254"/>
    <m/>
    <m/>
    <s v="Commented Video"/>
    <x v="0"/>
    <s v="56 is terrible, guys."/>
    <s v="UCiksh6zhhprJ_1IrsSVhQkw"/>
    <s v="d"/>
    <s v="http://www.youtube.com/channel/UCiksh6zhhprJ_1IrsSVhQkw"/>
    <m/>
    <s v="w6BMPN07BOM"/>
    <s v="https://www.youtube.com/watch?v=w6BMPN07BOM"/>
    <s v="none"/>
    <n v="3"/>
    <x v="251"/>
    <d v="2022-09-25T19:12:20.000"/>
    <m/>
    <m/>
    <m/>
    <n v="1"/>
    <n v="2"/>
    <n v="2"/>
    <n v="0"/>
    <n v="0"/>
    <n v="1"/>
    <n v="25"/>
    <n v="0"/>
    <n v="0"/>
    <n v="2"/>
    <n v="50"/>
    <n v="4"/>
  </r>
  <r>
    <s v="UCgmhQcKZZmrmT6Iyo-q_TqQ"/>
    <s v="UCknLrEdhRCp1aegoMqRaCZg"/>
    <s v="128, 128, 128"/>
    <n v="3"/>
    <m/>
    <n v="40"/>
    <m/>
    <m/>
    <m/>
    <m/>
    <s v="No"/>
    <n v="255"/>
    <m/>
    <m/>
    <s v="Commented Video"/>
    <x v="0"/>
    <s v="That&amp;#39;s a pity..."/>
    <s v="UCgmhQcKZZmrmT6Iyo-q_TqQ"/>
    <s v="My Guitar Method"/>
    <s v="http://www.youtube.com/channel/UCgmhQcKZZmrmT6Iyo-q_TqQ"/>
    <m/>
    <s v="w6BMPN07BOM"/>
    <s v="https://www.youtube.com/watch?v=w6BMPN07BOM"/>
    <s v="none"/>
    <n v="1"/>
    <x v="252"/>
    <d v="2022-09-25T19:13:34.000"/>
    <m/>
    <m/>
    <m/>
    <n v="1"/>
    <n v="2"/>
    <n v="2"/>
    <n v="0"/>
    <n v="0"/>
    <n v="1"/>
    <n v="20"/>
    <n v="0"/>
    <n v="0"/>
    <n v="0"/>
    <n v="0"/>
    <n v="5"/>
  </r>
  <r>
    <s v="UC8cuBSCHjs5hqSd8oot3oOw"/>
    <s v="UCknLrEdhRCp1aegoMqRaCZg"/>
    <s v="128, 128, 128"/>
    <n v="3"/>
    <m/>
    <n v="40"/>
    <m/>
    <m/>
    <m/>
    <m/>
    <s v="No"/>
    <n v="256"/>
    <m/>
    <m/>
    <s v="Commented Video"/>
    <x v="0"/>
    <s v="Thats still too low!"/>
    <s v="UC8cuBSCHjs5hqSd8oot3oOw"/>
    <s v="martytube821"/>
    <s v="http://www.youtube.com/channel/UC8cuBSCHjs5hqSd8oot3oOw"/>
    <m/>
    <s v="w6BMPN07BOM"/>
    <s v="https://www.youtube.com/watch?v=w6BMPN07BOM"/>
    <s v="none"/>
    <n v="2"/>
    <x v="253"/>
    <d v="2022-09-25T19:14:56.000"/>
    <m/>
    <m/>
    <m/>
    <n v="1"/>
    <n v="2"/>
    <n v="2"/>
    <n v="0"/>
    <n v="0"/>
    <n v="0"/>
    <n v="0"/>
    <n v="0"/>
    <n v="0"/>
    <n v="0"/>
    <n v="0"/>
    <n v="4"/>
  </r>
  <r>
    <s v="UCU9uc1YB8hLQ91tsDw4o_Hg"/>
    <s v="UCknLrEdhRCp1aegoMqRaCZg"/>
    <s v="128, 128, 128"/>
    <n v="3"/>
    <m/>
    <n v="40"/>
    <m/>
    <m/>
    <m/>
    <m/>
    <s v="No"/>
    <n v="257"/>
    <m/>
    <m/>
    <s v="Commented Video"/>
    <x v="0"/>
    <s v="Glory to God on the Highest for the breakthrough in Africa 🌍 🙏 🕊⚘."/>
    <s v="UCU9uc1YB8hLQ91tsDw4o_Hg"/>
    <s v="GABRIELE EA"/>
    <s v="http://www.youtube.com/channel/UCU9uc1YB8hLQ91tsDw4o_Hg"/>
    <m/>
    <s v="w6BMPN07BOM"/>
    <s v="https://www.youtube.com/watch?v=w6BMPN07BOM"/>
    <s v="none"/>
    <n v="6"/>
    <x v="254"/>
    <d v="2022-09-25T19:16:21.000"/>
    <m/>
    <m/>
    <m/>
    <n v="1"/>
    <n v="2"/>
    <n v="2"/>
    <n v="2"/>
    <n v="18.181818181818183"/>
    <n v="0"/>
    <n v="0"/>
    <n v="0"/>
    <n v="0"/>
    <n v="3"/>
    <n v="27.272727272727273"/>
    <n v="11"/>
  </r>
  <r>
    <s v="UCLaiDqRG0JKXYvcSmQDVsvQ"/>
    <s v="UCknLrEdhRCp1aegoMqRaCZg"/>
    <s v="128, 128, 128"/>
    <n v="3"/>
    <m/>
    <n v="40"/>
    <m/>
    <m/>
    <m/>
    <m/>
    <s v="No"/>
    <n v="258"/>
    <m/>
    <m/>
    <s v="Commented Video"/>
    <x v="0"/>
    <s v="In some countries, this is true.  Africa is a Continent of Countries.  You would provide a better service by reporting on those where issues are improving, but also bringing attention to the countries that are not.  Life expectancies elsewhere are reported by Country, not by Continent."/>
    <s v="UCLaiDqRG0JKXYvcSmQDVsvQ"/>
    <s v="Joe O'Neill"/>
    <s v="http://www.youtube.com/channel/UCLaiDqRG0JKXYvcSmQDVsvQ"/>
    <m/>
    <s v="w6BMPN07BOM"/>
    <s v="https://www.youtube.com/watch?v=w6BMPN07BOM"/>
    <s v="none"/>
    <n v="40"/>
    <x v="255"/>
    <d v="2022-09-25T19:18:07.000"/>
    <m/>
    <m/>
    <m/>
    <n v="1"/>
    <n v="2"/>
    <n v="2"/>
    <n v="2"/>
    <n v="4.3478260869565215"/>
    <n v="1"/>
    <n v="2.1739130434782608"/>
    <n v="0"/>
    <n v="0"/>
    <n v="16"/>
    <n v="34.78260869565217"/>
    <n v="46"/>
  </r>
  <r>
    <s v="UCqCznLnYsBtWdjHdjci_gmg"/>
    <s v="UCknLrEdhRCp1aegoMqRaCZg"/>
    <s v="128, 128, 128"/>
    <n v="3"/>
    <m/>
    <n v="40"/>
    <m/>
    <m/>
    <m/>
    <m/>
    <s v="No"/>
    <n v="259"/>
    <m/>
    <m/>
    <s v="Commented Video"/>
    <x v="0"/>
    <s v="Amen n Amen.. Thank u Lord Jesus for answered my prayer for Africa. GOD BLESS AFRICA ✝️👑♥️♥️♥️"/>
    <s v="UCqCznLnYsBtWdjHdjci_gmg"/>
    <s v="Faith"/>
    <s v="http://www.youtube.com/channel/UCqCznLnYsBtWdjHdjci_gmg"/>
    <m/>
    <s v="w6BMPN07BOM"/>
    <s v="https://www.youtube.com/watch?v=w6BMPN07BOM"/>
    <s v="none"/>
    <n v="3"/>
    <x v="256"/>
    <d v="2022-09-25T19:25:45.000"/>
    <m/>
    <m/>
    <m/>
    <n v="1"/>
    <n v="2"/>
    <n v="2"/>
    <n v="1"/>
    <n v="6.25"/>
    <n v="0"/>
    <n v="0"/>
    <n v="0"/>
    <n v="0"/>
    <n v="9"/>
    <n v="56.25"/>
    <n v="16"/>
  </r>
  <r>
    <s v="UCgGbmVKvLW4Ti8UrONXUYgQ"/>
    <s v="UCknLrEdhRCp1aegoMqRaCZg"/>
    <s v="128, 128, 128"/>
    <n v="3"/>
    <m/>
    <n v="40"/>
    <m/>
    <m/>
    <m/>
    <m/>
    <s v="No"/>
    <n v="260"/>
    <m/>
    <m/>
    <s v="Commented Video"/>
    <x v="0"/>
    <s v="Only 56!!!!!!! &lt;br&gt;How is this good news?"/>
    <s v="UCgGbmVKvLW4Ti8UrONXUYgQ"/>
    <s v="Stella Elkhenizy"/>
    <s v="http://www.youtube.com/channel/UCgGbmVKvLW4Ti8UrONXUYgQ"/>
    <m/>
    <s v="w6BMPN07BOM"/>
    <s v="https://www.youtube.com/watch?v=w6BMPN07BOM"/>
    <s v="none"/>
    <n v="1"/>
    <x v="257"/>
    <d v="2022-09-25T19:26:54.000"/>
    <m/>
    <m/>
    <m/>
    <n v="1"/>
    <n v="2"/>
    <n v="2"/>
    <n v="1"/>
    <n v="12.5"/>
    <n v="0"/>
    <n v="0"/>
    <n v="0"/>
    <n v="0"/>
    <n v="2"/>
    <n v="25"/>
    <n v="8"/>
  </r>
  <r>
    <s v="UCxvf6Oqrp2X6Mf-YqcmxYOQ"/>
    <s v="UCknLrEdhRCp1aegoMqRaCZg"/>
    <s v="128, 128, 128"/>
    <n v="3"/>
    <m/>
    <n v="40"/>
    <m/>
    <m/>
    <m/>
    <m/>
    <s v="No"/>
    <n v="261"/>
    <m/>
    <m/>
    <s v="Commented Video"/>
    <x v="0"/>
    <s v="So children die bloated a bit later? Noice"/>
    <s v="UCxvf6Oqrp2X6Mf-YqcmxYOQ"/>
    <s v="Stupifying Stupedity"/>
    <s v="http://www.youtube.com/channel/UCxvf6Oqrp2X6Mf-YqcmxYOQ"/>
    <m/>
    <s v="w6BMPN07BOM"/>
    <s v="https://www.youtube.com/watch?v=w6BMPN07BOM"/>
    <s v="none"/>
    <n v="0"/>
    <x v="258"/>
    <d v="2022-09-25T19:29:10.000"/>
    <m/>
    <m/>
    <m/>
    <n v="1"/>
    <n v="2"/>
    <n v="2"/>
    <n v="0"/>
    <n v="0"/>
    <n v="2"/>
    <n v="25"/>
    <n v="0"/>
    <n v="0"/>
    <n v="3"/>
    <n v="37.5"/>
    <n v="8"/>
  </r>
  <r>
    <s v="UCWIYAN0rYkeGXZPkqSPP2Hw"/>
    <s v="UCknLrEdhRCp1aegoMqRaCZg"/>
    <s v="128, 128, 128"/>
    <n v="3"/>
    <m/>
    <n v="40"/>
    <m/>
    <m/>
    <m/>
    <m/>
    <s v="No"/>
    <n v="262"/>
    <m/>
    <m/>
    <s v="Commented Video"/>
    <x v="0"/>
    <s v="That gynecologist looking nice"/>
    <s v="UCWIYAN0rYkeGXZPkqSPP2Hw"/>
    <s v="Matifi"/>
    <s v="http://www.youtube.com/channel/UCWIYAN0rYkeGXZPkqSPP2Hw"/>
    <m/>
    <s v="w6BMPN07BOM"/>
    <s v="https://www.youtube.com/watch?v=w6BMPN07BOM"/>
    <s v="none"/>
    <n v="0"/>
    <x v="259"/>
    <d v="2022-09-25T19:29:19.000"/>
    <m/>
    <m/>
    <m/>
    <n v="1"/>
    <n v="2"/>
    <n v="2"/>
    <n v="1"/>
    <n v="25"/>
    <n v="0"/>
    <n v="0"/>
    <n v="0"/>
    <n v="0"/>
    <n v="1"/>
    <n v="25"/>
    <n v="4"/>
  </r>
  <r>
    <s v="UC0cd_aC-zIv-T6X4Q1uMyBg"/>
    <s v="UCknLrEdhRCp1aegoMqRaCZg"/>
    <s v="128, 128, 128"/>
    <n v="3"/>
    <m/>
    <n v="40"/>
    <m/>
    <m/>
    <m/>
    <m/>
    <s v="No"/>
    <n v="263"/>
    <m/>
    <m/>
    <s v="Commented Video"/>
    <x v="0"/>
    <s v="Africa shall &lt;b&gt;RISE AGAIN&lt;/b&gt;&lt;br&gt;Never give up, Africans 🙏"/>
    <s v="UC0cd_aC-zIv-T6X4Q1uMyBg"/>
    <s v="World Citizen 🌍"/>
    <s v="http://www.youtube.com/channel/UC0cd_aC-zIv-T6X4Q1uMyBg"/>
    <m/>
    <s v="w6BMPN07BOM"/>
    <s v="https://www.youtube.com/watch?v=w6BMPN07BOM"/>
    <s v="none"/>
    <n v="8"/>
    <x v="260"/>
    <d v="2022-09-25T19:31:58.000"/>
    <m/>
    <m/>
    <m/>
    <n v="1"/>
    <n v="2"/>
    <n v="2"/>
    <n v="0"/>
    <n v="0"/>
    <n v="0"/>
    <n v="0"/>
    <n v="0"/>
    <n v="0"/>
    <n v="3"/>
    <n v="27.272727272727273"/>
    <n v="11"/>
  </r>
  <r>
    <s v="UCiYgq1Tu6IlmyMhGX5sbT6Q"/>
    <s v="UCknLrEdhRCp1aegoMqRaCZg"/>
    <s v="128, 128, 128"/>
    <n v="3"/>
    <m/>
    <n v="40"/>
    <m/>
    <m/>
    <m/>
    <m/>
    <s v="No"/>
    <n v="264"/>
    <m/>
    <m/>
    <s v="Commented Video"/>
    <x v="0"/>
    <s v="Great now Africans can stay in their homeland"/>
    <s v="UCiYgq1Tu6IlmyMhGX5sbT6Q"/>
    <s v="TA KH"/>
    <s v="http://www.youtube.com/channel/UCiYgq1Tu6IlmyMhGX5sbT6Q"/>
    <m/>
    <s v="w6BMPN07BOM"/>
    <s v="https://www.youtube.com/watch?v=w6BMPN07BOM"/>
    <s v="none"/>
    <n v="1"/>
    <x v="261"/>
    <d v="2022-09-25T19:32:29.000"/>
    <m/>
    <m/>
    <m/>
    <n v="1"/>
    <n v="2"/>
    <n v="2"/>
    <n v="1"/>
    <n v="12.5"/>
    <n v="0"/>
    <n v="0"/>
    <n v="0"/>
    <n v="0"/>
    <n v="3"/>
    <n v="37.5"/>
    <n v="8"/>
  </r>
  <r>
    <s v="UCujfuuCQE7pcm1sqYsXv87g"/>
    <s v="UCknLrEdhRCp1aegoMqRaCZg"/>
    <s v="128, 128, 128"/>
    <n v="3"/>
    <m/>
    <n v="40"/>
    <m/>
    <m/>
    <m/>
    <m/>
    <s v="No"/>
    <n v="265"/>
    <m/>
    <m/>
    <s v="Commented Video"/>
    <x v="0"/>
    <s v="An increase in life expectancy in developing countries &lt;br&gt;is partly due to Innovations in technology."/>
    <s v="UCujfuuCQE7pcm1sqYsXv87g"/>
    <s v="Poo Pootin"/>
    <s v="http://www.youtube.com/channel/UCujfuuCQE7pcm1sqYsXv87g"/>
    <m/>
    <s v="w6BMPN07BOM"/>
    <s v="https://www.youtube.com/watch?v=w6BMPN07BOM"/>
    <s v="none"/>
    <n v="6"/>
    <x v="262"/>
    <d v="2022-09-25T19:36:56.000"/>
    <m/>
    <m/>
    <m/>
    <n v="1"/>
    <n v="2"/>
    <n v="2"/>
    <n v="0"/>
    <n v="0"/>
    <n v="0"/>
    <n v="0"/>
    <n v="0"/>
    <n v="0"/>
    <n v="8"/>
    <n v="50"/>
    <n v="16"/>
  </r>
  <r>
    <s v="UCARuxXgPYc9hNVFTn5GiaKg"/>
    <s v="UCknLrEdhRCp1aegoMqRaCZg"/>
    <s v="128, 128, 128"/>
    <n v="3"/>
    <m/>
    <n v="40"/>
    <m/>
    <m/>
    <m/>
    <m/>
    <s v="No"/>
    <n v="266"/>
    <m/>
    <m/>
    <s v="Commented Video"/>
    <x v="0"/>
    <s v="&amp;quot;Dramatic increase&amp;quot; seriously! That&amp;#39;s a very disturbing choice of wording but again coming from a german tv channel I&amp;#39;m not surprised."/>
    <s v="UCARuxXgPYc9hNVFTn5GiaKg"/>
    <s v="loolikyl0005"/>
    <s v="http://www.youtube.com/channel/UCARuxXgPYc9hNVFTn5GiaKg"/>
    <m/>
    <s v="w6BMPN07BOM"/>
    <s v="https://www.youtube.com/watch?v=w6BMPN07BOM"/>
    <s v="none"/>
    <n v="4"/>
    <x v="263"/>
    <d v="2022-09-25T19:38:42.000"/>
    <m/>
    <m/>
    <m/>
    <n v="1"/>
    <n v="2"/>
    <n v="2"/>
    <n v="0"/>
    <n v="0"/>
    <n v="1"/>
    <n v="3.7037037037037037"/>
    <n v="0"/>
    <n v="0"/>
    <n v="8"/>
    <n v="29.62962962962963"/>
    <n v="27"/>
  </r>
  <r>
    <s v="UCrvqxV3SwriXq9ktQe71N8g"/>
    <s v="UCknLrEdhRCp1aegoMqRaCZg"/>
    <s v="128, 128, 128"/>
    <n v="3"/>
    <m/>
    <n v="40"/>
    <m/>
    <m/>
    <m/>
    <m/>
    <s v="No"/>
    <n v="267"/>
    <m/>
    <m/>
    <s v="Commented Video"/>
    <x v="0"/>
    <s v="Africa has been a troubled continent for ages. Where has human development stagnated if they haven&amp;#39;t learned it to this day?"/>
    <s v="UCrvqxV3SwriXq9ktQe71N8g"/>
    <s v="Sequero"/>
    <s v="http://www.youtube.com/channel/UCrvqxV3SwriXq9ktQe71N8g"/>
    <m/>
    <s v="w6BMPN07BOM"/>
    <s v="https://www.youtube.com/watch?v=w6BMPN07BOM"/>
    <s v="none"/>
    <n v="0"/>
    <x v="264"/>
    <d v="2022-09-25T19:40:42.000"/>
    <m/>
    <m/>
    <m/>
    <n v="1"/>
    <n v="2"/>
    <n v="2"/>
    <n v="0"/>
    <n v="0"/>
    <n v="1"/>
    <n v="4.3478260869565215"/>
    <n v="0"/>
    <n v="0"/>
    <n v="7"/>
    <n v="30.434782608695652"/>
    <n v="23"/>
  </r>
  <r>
    <s v="UCxFOzDYX1QkGBYhE4wkV-aA"/>
    <s v="UCknLrEdhRCp1aegoMqRaCZg"/>
    <s v="128, 128, 128"/>
    <n v="3"/>
    <m/>
    <n v="40"/>
    <m/>
    <m/>
    <m/>
    <m/>
    <s v="No"/>
    <n v="268"/>
    <m/>
    <m/>
    <s v="Commented Video"/>
    <x v="0"/>
    <s v="Dr. Tankou 👊🏿👊🏿👊🏿👊🏿"/>
    <s v="UCxFOzDYX1QkGBYhE4wkV-aA"/>
    <s v="Marcus"/>
    <s v="http://www.youtube.com/channel/UCxFOzDYX1QkGBYhE4wkV-aA"/>
    <m/>
    <s v="w6BMPN07BOM"/>
    <s v="https://www.youtube.com/watch?v=w6BMPN07BOM"/>
    <s v="none"/>
    <n v="2"/>
    <x v="265"/>
    <d v="2022-09-25T19:42:15.000"/>
    <m/>
    <m/>
    <m/>
    <n v="1"/>
    <n v="2"/>
    <n v="2"/>
    <n v="0"/>
    <n v="0"/>
    <n v="0"/>
    <n v="0"/>
    <n v="0"/>
    <n v="0"/>
    <n v="2"/>
    <n v="100"/>
    <n v="2"/>
  </r>
  <r>
    <s v="UCfj9WRnlzba_26zFp5eVjUw"/>
    <s v="UCknLrEdhRCp1aegoMqRaCZg"/>
    <s v="128, 128, 128"/>
    <n v="3"/>
    <m/>
    <n v="40"/>
    <m/>
    <m/>
    <m/>
    <m/>
    <s v="No"/>
    <n v="269"/>
    <m/>
    <m/>
    <s v="Commented Video"/>
    <x v="0"/>
    <s v="Lowest vaccination rates"/>
    <s v="UCfj9WRnlzba_26zFp5eVjUw"/>
    <s v="Paolito"/>
    <s v="http://www.youtube.com/channel/UCfj9WRnlzba_26zFp5eVjUw"/>
    <m/>
    <s v="w6BMPN07BOM"/>
    <s v="https://www.youtube.com/watch?v=w6BMPN07BOM"/>
    <s v="none"/>
    <n v="0"/>
    <x v="266"/>
    <d v="2022-09-25T19:46:04.000"/>
    <m/>
    <m/>
    <m/>
    <n v="1"/>
    <n v="2"/>
    <n v="2"/>
    <n v="0"/>
    <n v="0"/>
    <n v="0"/>
    <n v="0"/>
    <n v="0"/>
    <n v="0"/>
    <n v="3"/>
    <n v="100"/>
    <n v="3"/>
  </r>
  <r>
    <s v="UCCoUV9TjLC98KijS45QgfTw"/>
    <s v="UCknLrEdhRCp1aegoMqRaCZg"/>
    <s v="128, 128, 128"/>
    <n v="3"/>
    <m/>
    <n v="40"/>
    <m/>
    <m/>
    <m/>
    <m/>
    <s v="No"/>
    <n v="270"/>
    <m/>
    <m/>
    <s v="Commented Video"/>
    <x v="0"/>
    <s v="We need more Africans especially in Europe!!! Great news!!!"/>
    <s v="UCCoUV9TjLC98KijS45QgfTw"/>
    <s v="Ruslan Arslanov"/>
    <s v="http://www.youtube.com/channel/UCCoUV9TjLC98KijS45QgfTw"/>
    <m/>
    <s v="w6BMPN07BOM"/>
    <s v="https://www.youtube.com/watch?v=w6BMPN07BOM"/>
    <s v="none"/>
    <n v="1"/>
    <x v="267"/>
    <d v="2022-09-25T19:52:25.000"/>
    <m/>
    <m/>
    <m/>
    <n v="1"/>
    <n v="2"/>
    <n v="2"/>
    <n v="1"/>
    <n v="11.11111111111111"/>
    <n v="0"/>
    <n v="0"/>
    <n v="0"/>
    <n v="0"/>
    <n v="3"/>
    <n v="33.333333333333336"/>
    <n v="9"/>
  </r>
  <r>
    <s v="UCt4EWW8xBw16DEXh2PsKJCg"/>
    <s v="UCknLrEdhRCp1aegoMqRaCZg"/>
    <s v="128, 128, 128"/>
    <n v="3"/>
    <m/>
    <n v="40"/>
    <m/>
    <m/>
    <m/>
    <m/>
    <s v="No"/>
    <n v="271"/>
    <m/>
    <m/>
    <s v="Commented Video"/>
    <x v="0"/>
    <s v="Due to this there will be increase in poverty"/>
    <s v="UCt4EWW8xBw16DEXh2PsKJCg"/>
    <s v="FIRE FOCUS"/>
    <s v="http://www.youtube.com/channel/UCt4EWW8xBw16DEXh2PsKJCg"/>
    <m/>
    <s v="w6BMPN07BOM"/>
    <s v="https://www.youtube.com/watch?v=w6BMPN07BOM"/>
    <s v="none"/>
    <n v="1"/>
    <x v="268"/>
    <d v="2022-09-25T19:52:42.000"/>
    <m/>
    <m/>
    <m/>
    <n v="1"/>
    <n v="2"/>
    <n v="2"/>
    <n v="0"/>
    <n v="0"/>
    <n v="1"/>
    <n v="11.11111111111111"/>
    <n v="0"/>
    <n v="0"/>
    <n v="1"/>
    <n v="11.11111111111111"/>
    <n v="9"/>
  </r>
  <r>
    <s v="UCMAjL0o21SEiBRDgTedgXmw"/>
    <s v="UCknLrEdhRCp1aegoMqRaCZg"/>
    <s v="128, 128, 128"/>
    <n v="3"/>
    <m/>
    <n v="40"/>
    <m/>
    <m/>
    <m/>
    <m/>
    <s v="No"/>
    <n v="272"/>
    <m/>
    <m/>
    <s v="Commented Video"/>
    <x v="0"/>
    <s v="Life expectancy in Africa increases from 46 to 56 and it shows the advancement of technology usage in medical field"/>
    <s v="UCMAjL0o21SEiBRDgTedgXmw"/>
    <s v="Hendra Sutika"/>
    <s v="http://www.youtube.com/channel/UCMAjL0o21SEiBRDgTedgXmw"/>
    <m/>
    <s v="w6BMPN07BOM"/>
    <s v="https://www.youtube.com/watch?v=w6BMPN07BOM"/>
    <s v="none"/>
    <n v="11"/>
    <x v="269"/>
    <d v="2022-09-25T19:54:32.000"/>
    <m/>
    <m/>
    <m/>
    <n v="1"/>
    <n v="2"/>
    <n v="2"/>
    <n v="0"/>
    <n v="0"/>
    <n v="0"/>
    <n v="0"/>
    <n v="0"/>
    <n v="0"/>
    <n v="12"/>
    <n v="60"/>
    <n v="20"/>
  </r>
  <r>
    <s v="UCtd3wRenfaDiQ3U5zyBkcFg"/>
    <s v="UCknLrEdhRCp1aegoMqRaCZg"/>
    <s v="128, 128, 128"/>
    <n v="3"/>
    <m/>
    <n v="40"/>
    <m/>
    <m/>
    <m/>
    <m/>
    <s v="No"/>
    <n v="273"/>
    <m/>
    <m/>
    <s v="Commented Video"/>
    <x v="0"/>
    <s v="It&amp;#39;s because of Chinese investments...."/>
    <s v="UCtd3wRenfaDiQ3U5zyBkcFg"/>
    <s v="kick Ass"/>
    <s v="http://www.youtube.com/channel/UCtd3wRenfaDiQ3U5zyBkcFg"/>
    <m/>
    <s v="w6BMPN07BOM"/>
    <s v="https://www.youtube.com/watch?v=w6BMPN07BOM"/>
    <s v="none"/>
    <n v="2"/>
    <x v="270"/>
    <d v="2022-09-25T19:54:47.000"/>
    <m/>
    <m/>
    <m/>
    <n v="1"/>
    <n v="2"/>
    <n v="2"/>
    <n v="0"/>
    <n v="0"/>
    <n v="0"/>
    <n v="0"/>
    <n v="0"/>
    <n v="0"/>
    <n v="2"/>
    <n v="28.571428571428573"/>
    <n v="7"/>
  </r>
  <r>
    <s v="UCtdg3sbCGTOLdiGBuFJXmDA"/>
    <s v="UCknLrEdhRCp1aegoMqRaCZg"/>
    <s v="128, 128, 128"/>
    <n v="3"/>
    <m/>
    <n v="40"/>
    <m/>
    <m/>
    <m/>
    <m/>
    <s v="No"/>
    <n v="274"/>
    <m/>
    <m/>
    <s v="Commented Video"/>
    <x v="0"/>
    <s v="This is healthy life expectancy which means till what age they can be expected to live healthy lives. This is not the same as total life expectancy which most people are aware of. DW should have emphasized this distinction in their reporting."/>
    <s v="UCtdg3sbCGTOLdiGBuFJXmDA"/>
    <s v="Fang Plays"/>
    <s v="http://www.youtube.com/channel/UCtdg3sbCGTOLdiGBuFJXmDA"/>
    <m/>
    <s v="w6BMPN07BOM"/>
    <s v="https://www.youtube.com/watch?v=w6BMPN07BOM"/>
    <s v="none"/>
    <n v="2"/>
    <x v="271"/>
    <d v="2022-09-25T19:58:44.000"/>
    <m/>
    <m/>
    <m/>
    <n v="1"/>
    <n v="2"/>
    <n v="2"/>
    <n v="3"/>
    <n v="7.142857142857143"/>
    <n v="0"/>
    <n v="0"/>
    <n v="0"/>
    <n v="0"/>
    <n v="14"/>
    <n v="33.333333333333336"/>
    <n v="42"/>
  </r>
  <r>
    <s v="UCPKnvbtQzhFGp2-XLqNTGTw"/>
    <s v="UCknLrEdhRCp1aegoMqRaCZg"/>
    <s v="128, 128, 128"/>
    <n v="3"/>
    <m/>
    <n v="40"/>
    <m/>
    <m/>
    <m/>
    <m/>
    <s v="No"/>
    <n v="275"/>
    <m/>
    <m/>
    <s v="Commented Video"/>
    <x v="0"/>
    <s v="European government and NATO leaders want world peoplke dead all to Protect Ukrainians live"/>
    <s v="UCPKnvbtQzhFGp2-XLqNTGTw"/>
    <s v="dung nguyen"/>
    <s v="http://www.youtube.com/channel/UCPKnvbtQzhFGp2-XLqNTGTw"/>
    <m/>
    <s v="w6BMPN07BOM"/>
    <s v="https://www.youtube.com/watch?v=w6BMPN07BOM"/>
    <s v="none"/>
    <n v="0"/>
    <x v="272"/>
    <d v="2022-09-25T20:03:14.000"/>
    <m/>
    <m/>
    <m/>
    <n v="1"/>
    <n v="2"/>
    <n v="2"/>
    <n v="1"/>
    <n v="7.142857142857143"/>
    <n v="1"/>
    <n v="7.142857142857143"/>
    <n v="0"/>
    <n v="0"/>
    <n v="8"/>
    <n v="57.142857142857146"/>
    <n v="14"/>
  </r>
  <r>
    <s v="UCu5bxEeqk0-PKsOcTNPM91w"/>
    <s v="UCknLrEdhRCp1aegoMqRaCZg"/>
    <s v="128, 128, 128"/>
    <n v="3"/>
    <m/>
    <n v="40"/>
    <m/>
    <m/>
    <m/>
    <m/>
    <s v="No"/>
    <n v="276"/>
    <m/>
    <m/>
    <s v="Commented Video"/>
    <x v="0"/>
    <s v="No thanks to their past colonizers."/>
    <s v="UCu5bxEeqk0-PKsOcTNPM91w"/>
    <s v="N Bell"/>
    <s v="http://www.youtube.com/channel/UCu5bxEeqk0-PKsOcTNPM91w"/>
    <m/>
    <s v="w6BMPN07BOM"/>
    <s v="https://www.youtube.com/watch?v=w6BMPN07BOM"/>
    <s v="none"/>
    <n v="0"/>
    <x v="273"/>
    <d v="2022-09-25T20:06:46.000"/>
    <m/>
    <m/>
    <m/>
    <n v="1"/>
    <n v="2"/>
    <n v="2"/>
    <n v="0"/>
    <n v="0"/>
    <n v="0"/>
    <n v="0"/>
    <n v="0"/>
    <n v="0"/>
    <n v="2"/>
    <n v="33.333333333333336"/>
    <n v="6"/>
  </r>
  <r>
    <s v="UCABmc2URl-4aM3f3xoV_cKA"/>
    <s v="UCknLrEdhRCp1aegoMqRaCZg"/>
    <s v="128, 128, 128"/>
    <n v="3"/>
    <m/>
    <n v="40"/>
    <m/>
    <m/>
    <m/>
    <m/>
    <s v="No"/>
    <n v="277"/>
    <m/>
    <m/>
    <s v="Commented Video"/>
    <x v="0"/>
    <s v="The world needs to liberate Iran woman"/>
    <s v="UCABmc2URl-4aM3f3xoV_cKA"/>
    <s v="Busch’s Kush"/>
    <s v="http://www.youtube.com/channel/UCABmc2URl-4aM3f3xoV_cKA"/>
    <m/>
    <s v="w6BMPN07BOM"/>
    <s v="https://www.youtube.com/watch?v=w6BMPN07BOM"/>
    <s v="none"/>
    <n v="0"/>
    <x v="274"/>
    <d v="2022-09-25T20:08:03.000"/>
    <m/>
    <m/>
    <m/>
    <n v="1"/>
    <n v="2"/>
    <n v="2"/>
    <n v="1"/>
    <n v="14.285714285714286"/>
    <n v="0"/>
    <n v="0"/>
    <n v="0"/>
    <n v="0"/>
    <n v="3"/>
    <n v="42.857142857142854"/>
    <n v="7"/>
  </r>
  <r>
    <s v="UChNsjqOlxib_QEjdOrvFoKQ"/>
    <s v="UCknLrEdhRCp1aegoMqRaCZg"/>
    <s v="128, 128, 128"/>
    <n v="3"/>
    <m/>
    <n v="40"/>
    <m/>
    <m/>
    <m/>
    <m/>
    <s v="No"/>
    <n v="278"/>
    <m/>
    <m/>
    <s v="Commented Video"/>
    <x v="0"/>
    <s v="More mouths to feed."/>
    <s v="UChNsjqOlxib_QEjdOrvFoKQ"/>
    <s v="R6ex"/>
    <s v="http://www.youtube.com/channel/UChNsjqOlxib_QEjdOrvFoKQ"/>
    <m/>
    <s v="w6BMPN07BOM"/>
    <s v="https://www.youtube.com/watch?v=w6BMPN07BOM"/>
    <s v="none"/>
    <n v="2"/>
    <x v="275"/>
    <d v="2022-09-25T20:08:17.000"/>
    <m/>
    <m/>
    <m/>
    <n v="1"/>
    <n v="2"/>
    <n v="2"/>
    <n v="0"/>
    <n v="0"/>
    <n v="0"/>
    <n v="0"/>
    <n v="0"/>
    <n v="0"/>
    <n v="2"/>
    <n v="50"/>
    <n v="4"/>
  </r>
  <r>
    <s v="UCUFw03RsMPzf-FYc8Ro3jLw"/>
    <s v="UCknLrEdhRCp1aegoMqRaCZg"/>
    <s v="128, 128, 128"/>
    <n v="3"/>
    <m/>
    <n v="40"/>
    <m/>
    <m/>
    <m/>
    <m/>
    <s v="No"/>
    <n v="279"/>
    <m/>
    <m/>
    <s v="Commented Video"/>
    <x v="0"/>
    <s v="Economic growth is actually good"/>
    <s v="UCUFw03RsMPzf-FYc8Ro3jLw"/>
    <s v="jouvert alandwa"/>
    <s v="http://www.youtube.com/channel/UCUFw03RsMPzf-FYc8Ro3jLw"/>
    <m/>
    <s v="w6BMPN07BOM"/>
    <s v="https://www.youtube.com/watch?v=w6BMPN07BOM"/>
    <s v="none"/>
    <n v="1"/>
    <x v="276"/>
    <d v="2022-09-25T20:11:37.000"/>
    <m/>
    <m/>
    <m/>
    <n v="1"/>
    <n v="2"/>
    <n v="2"/>
    <n v="1"/>
    <n v="20"/>
    <n v="0"/>
    <n v="0"/>
    <n v="0"/>
    <n v="0"/>
    <n v="2"/>
    <n v="40"/>
    <n v="5"/>
  </r>
  <r>
    <s v="UCoi61Fuq1yLvee1oxpBgpZQ"/>
    <s v="UCknLrEdhRCp1aegoMqRaCZg"/>
    <s v="128, 128, 128"/>
    <n v="3"/>
    <m/>
    <n v="40"/>
    <m/>
    <m/>
    <m/>
    <m/>
    <s v="No"/>
    <n v="280"/>
    <m/>
    <m/>
    <s v="Commented Video"/>
    <x v="0"/>
    <s v="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
    <s v="UCoi61Fuq1yLvee1oxpBgpZQ"/>
    <s v="Jon E"/>
    <s v="http://www.youtube.com/channel/UCoi61Fuq1yLvee1oxpBgpZQ"/>
    <m/>
    <s v="w6BMPN07BOM"/>
    <s v="https://www.youtube.com/watch?v=w6BMPN07BOM"/>
    <s v="none"/>
    <n v="1"/>
    <x v="277"/>
    <d v="2022-09-25T20:29:48.000"/>
    <m/>
    <m/>
    <m/>
    <n v="1"/>
    <n v="2"/>
    <n v="2"/>
    <n v="3"/>
    <n v="5.357142857142857"/>
    <n v="1"/>
    <n v="1.7857142857142858"/>
    <n v="0"/>
    <n v="0"/>
    <n v="25"/>
    <n v="44.642857142857146"/>
    <n v="56"/>
  </r>
  <r>
    <s v="UCcBW5wEyhL7tw8Xgb3VJozw"/>
    <s v="UCknLrEdhRCp1aegoMqRaCZg"/>
    <s v="128, 128, 128"/>
    <n v="3"/>
    <m/>
    <n v="40"/>
    <m/>
    <m/>
    <m/>
    <m/>
    <s v="No"/>
    <n v="281"/>
    <m/>
    <m/>
    <s v="Commented Video"/>
    <x v="0"/>
    <s v="Thank you for presenting some positive news."/>
    <s v="UCcBW5wEyhL7tw8Xgb3VJozw"/>
    <s v="Michele McGlone"/>
    <s v="http://www.youtube.com/channel/UCcBW5wEyhL7tw8Xgb3VJozw"/>
    <m/>
    <s v="w6BMPN07BOM"/>
    <s v="https://www.youtube.com/watch?v=w6BMPN07BOM"/>
    <s v="none"/>
    <n v="6"/>
    <x v="278"/>
    <d v="2022-09-25T20:38:05.000"/>
    <m/>
    <m/>
    <m/>
    <n v="1"/>
    <n v="2"/>
    <n v="2"/>
    <n v="1"/>
    <n v="14.285714285714286"/>
    <n v="0"/>
    <n v="0"/>
    <n v="0"/>
    <n v="0"/>
    <n v="2"/>
    <n v="28.571428571428573"/>
    <n v="7"/>
  </r>
  <r>
    <s v="UCGLUqQCF5lu-Wt-QHpby0uw"/>
    <s v="UCknLrEdhRCp1aegoMqRaCZg"/>
    <s v="128, 128, 128"/>
    <n v="3"/>
    <m/>
    <n v="40"/>
    <m/>
    <m/>
    <m/>
    <m/>
    <s v="No"/>
    <n v="282"/>
    <m/>
    <m/>
    <s v="Commented Video"/>
    <x v="0"/>
    <s v="The earth does not need a long life expectancy of too many africans ... how can this be reversed ?"/>
    <s v="UCGLUqQCF5lu-Wt-QHpby0uw"/>
    <s v="Mausi Lugner"/>
    <s v="http://www.youtube.com/channel/UCGLUqQCF5lu-Wt-QHpby0uw"/>
    <m/>
    <s v="w6BMPN07BOM"/>
    <s v="https://www.youtube.com/watch?v=w6BMPN07BOM"/>
    <s v="none"/>
    <n v="0"/>
    <x v="279"/>
    <d v="2022-09-25T20:46:23.000"/>
    <m/>
    <m/>
    <m/>
    <n v="1"/>
    <n v="2"/>
    <n v="2"/>
    <n v="0"/>
    <n v="0"/>
    <n v="0"/>
    <n v="0"/>
    <n v="0"/>
    <n v="0"/>
    <n v="6"/>
    <n v="33.333333333333336"/>
    <n v="18"/>
  </r>
  <r>
    <s v="UCNi6O1MZiQuNEHm1Dxl0ZsQ"/>
    <s v="UCknLrEdhRCp1aegoMqRaCZg"/>
    <s v="128, 128, 128"/>
    <n v="3"/>
    <m/>
    <n v="40"/>
    <m/>
    <m/>
    <m/>
    <m/>
    <s v="No"/>
    <n v="283"/>
    <m/>
    <m/>
    <s v="Commented Video"/>
    <x v="0"/>
    <s v="What happens when the population, out grow&amp;#39;s the amount of food the continent can provide for themselves?."/>
    <s v="UCNi6O1MZiQuNEHm1Dxl0ZsQ"/>
    <s v="John Collins"/>
    <s v="http://www.youtube.com/channel/UCNi6O1MZiQuNEHm1Dxl0ZsQ"/>
    <m/>
    <s v="w6BMPN07BOM"/>
    <s v="https://www.youtube.com/watch?v=w6BMPN07BOM"/>
    <s v="none"/>
    <n v="0"/>
    <x v="280"/>
    <d v="2022-09-25T20:49:44.000"/>
    <m/>
    <m/>
    <m/>
    <n v="1"/>
    <n v="2"/>
    <n v="2"/>
    <n v="0"/>
    <n v="0"/>
    <n v="0"/>
    <n v="0"/>
    <n v="0"/>
    <n v="0"/>
    <n v="6"/>
    <n v="31.57894736842105"/>
    <n v="19"/>
  </r>
  <r>
    <s v="UC52PwLmabCcTtfozOucTlhg"/>
    <s v="UCknLrEdhRCp1aegoMqRaCZg"/>
    <s v="128, 128, 128"/>
    <n v="3"/>
    <m/>
    <n v="40"/>
    <m/>
    <m/>
    <m/>
    <m/>
    <s v="No"/>
    <n v="284"/>
    <m/>
    <m/>
    <s v="Commented Video"/>
    <x v="0"/>
    <s v="EU needs more African work force since their natality is dropping to boost economy"/>
    <s v="UC52PwLmabCcTtfozOucTlhg"/>
    <s v="m. k."/>
    <s v="http://www.youtube.com/channel/UC52PwLmabCcTtfozOucTlhg"/>
    <m/>
    <s v="w6BMPN07BOM"/>
    <s v="https://www.youtube.com/watch?v=w6BMPN07BOM"/>
    <s v="none"/>
    <n v="0"/>
    <x v="281"/>
    <d v="2022-09-25T20:54:39.000"/>
    <m/>
    <m/>
    <m/>
    <n v="1"/>
    <n v="2"/>
    <n v="2"/>
    <n v="2"/>
    <n v="14.285714285714286"/>
    <n v="0"/>
    <n v="0"/>
    <n v="0"/>
    <n v="0"/>
    <n v="6"/>
    <n v="42.857142857142854"/>
    <n v="14"/>
  </r>
  <r>
    <s v="UC2dc3LQHoOgR83z5i2hFMgA"/>
    <s v="UCknLrEdhRCp1aegoMqRaCZg"/>
    <s v="128, 128, 128"/>
    <n v="3"/>
    <m/>
    <n v="40"/>
    <m/>
    <m/>
    <m/>
    <m/>
    <s v="No"/>
    <n v="285"/>
    <m/>
    <m/>
    <s v="Commented Video"/>
    <x v="0"/>
    <s v="Go to Russia .. Siberia needs people."/>
    <s v="UC2dc3LQHoOgR83z5i2hFMgA"/>
    <s v="Principe Maquiavelo"/>
    <s v="http://www.youtube.com/channel/UC2dc3LQHoOgR83z5i2hFMgA"/>
    <m/>
    <s v="w6BMPN07BOM"/>
    <s v="https://www.youtube.com/watch?v=w6BMPN07BOM"/>
    <s v="none"/>
    <n v="0"/>
    <x v="282"/>
    <d v="2022-09-25T20:55:49.000"/>
    <m/>
    <m/>
    <m/>
    <n v="1"/>
    <n v="2"/>
    <n v="2"/>
    <n v="0"/>
    <n v="0"/>
    <n v="0"/>
    <n v="0"/>
    <n v="0"/>
    <n v="0"/>
    <n v="3"/>
    <n v="50"/>
    <n v="6"/>
  </r>
  <r>
    <s v="UCUKexRyXS2HSuQvLAhp42Tw"/>
    <s v="UCknLrEdhRCp1aegoMqRaCZg"/>
    <s v="128, 128, 128"/>
    <n v="3"/>
    <m/>
    <n v="40"/>
    <m/>
    <m/>
    <m/>
    <m/>
    <s v="No"/>
    <n v="286"/>
    <m/>
    <m/>
    <s v="Commented Video"/>
    <x v="0"/>
    <s v="Great news. Life expectancy will certainly increase in countries where all you need to do is eat and screw. White people have to work like slaves just to survive."/>
    <s v="UCUKexRyXS2HSuQvLAhp42Tw"/>
    <s v="Miami Trancemissions"/>
    <s v="http://www.youtube.com/channel/UCUKexRyXS2HSuQvLAhp42Tw"/>
    <m/>
    <s v="w6BMPN07BOM"/>
    <s v="https://www.youtube.com/watch?v=w6BMPN07BOM"/>
    <s v="none"/>
    <n v="1"/>
    <x v="283"/>
    <d v="2022-09-25T21:01:46.000"/>
    <m/>
    <m/>
    <m/>
    <n v="1"/>
    <n v="2"/>
    <n v="2"/>
    <n v="3"/>
    <n v="10.344827586206897"/>
    <n v="1"/>
    <n v="3.4482758620689653"/>
    <n v="0"/>
    <n v="0"/>
    <n v="10"/>
    <n v="34.48275862068966"/>
    <n v="29"/>
  </r>
  <r>
    <s v="UC60nwKcOgEyf80YUuCLLdJQ"/>
    <s v="UCknLrEdhRCp1aegoMqRaCZg"/>
    <s v="128, 128, 128"/>
    <n v="3"/>
    <m/>
    <n v="40"/>
    <m/>
    <m/>
    <m/>
    <m/>
    <s v="No"/>
    <n v="287"/>
    <m/>
    <m/>
    <s v="Commented Video"/>
    <x v="0"/>
    <s v="Africa the place where humanity started but human has done most brutal artichokes here"/>
    <s v="UC60nwKcOgEyf80YUuCLLdJQ"/>
    <s v="Aman"/>
    <s v="http://www.youtube.com/channel/UC60nwKcOgEyf80YUuCLLdJQ"/>
    <m/>
    <s v="w6BMPN07BOM"/>
    <s v="https://www.youtube.com/watch?v=w6BMPN07BOM"/>
    <s v="none"/>
    <n v="0"/>
    <x v="284"/>
    <d v="2022-09-25T21:13:39.000"/>
    <m/>
    <m/>
    <m/>
    <n v="1"/>
    <n v="2"/>
    <n v="2"/>
    <n v="0"/>
    <n v="0"/>
    <n v="1"/>
    <n v="7.142857142857143"/>
    <n v="0"/>
    <n v="0"/>
    <n v="6"/>
    <n v="42.857142857142854"/>
    <n v="14"/>
  </r>
  <r>
    <s v="UCGtoANzUVfayDBzkfHamfpw"/>
    <s v="UCknLrEdhRCp1aegoMqRaCZg"/>
    <s v="128, 128, 128"/>
    <n v="3"/>
    <m/>
    <n v="40"/>
    <m/>
    <m/>
    <m/>
    <m/>
    <s v="No"/>
    <n v="288"/>
    <m/>
    <m/>
    <s v="Commented Video"/>
    <x v="0"/>
    <s v="Woww! Blind football team?!&lt;br&gt;That’s interesting.&lt;br&gt;And I believe in neuroplasticity where your other senses get sharper when one sense is gone."/>
    <s v="UCGtoANzUVfayDBzkfHamfpw"/>
    <s v="Thorissa"/>
    <s v="http://www.youtube.com/channel/UCGtoANzUVfayDBzkfHamfpw"/>
    <m/>
    <s v="w6BMPN07BOM"/>
    <s v="https://www.youtube.com/watch?v=w6BMPN07BOM"/>
    <s v="none"/>
    <n v="1"/>
    <x v="285"/>
    <d v="2022-09-25T21:16:16.000"/>
    <m/>
    <m/>
    <m/>
    <n v="1"/>
    <n v="2"/>
    <n v="2"/>
    <n v="2"/>
    <n v="8"/>
    <n v="1"/>
    <n v="4"/>
    <n v="0"/>
    <n v="0"/>
    <n v="7"/>
    <n v="28"/>
    <n v="25"/>
  </r>
  <r>
    <s v="UCfmVMwdFkCFdmflzgwXtOCg"/>
    <s v="UCknLrEdhRCp1aegoMqRaCZg"/>
    <s v="128, 128, 128"/>
    <n v="3"/>
    <m/>
    <n v="40"/>
    <m/>
    <m/>
    <m/>
    <m/>
    <s v="No"/>
    <n v="289"/>
    <m/>
    <m/>
    <s v="Commented Video"/>
    <x v="0"/>
    <s v="Congratulations Africa From America 🇺🇸 Keep going Strong"/>
    <s v="UCfmVMwdFkCFdmflzgwXtOCg"/>
    <s v="east_coast_ceo"/>
    <s v="http://www.youtube.com/channel/UCfmVMwdFkCFdmflzgwXtOCg"/>
    <m/>
    <s v="w6BMPN07BOM"/>
    <s v="https://www.youtube.com/watch?v=w6BMPN07BOM"/>
    <s v="none"/>
    <n v="6"/>
    <x v="286"/>
    <d v="2022-09-25T21:38:48.000"/>
    <m/>
    <m/>
    <m/>
    <n v="1"/>
    <n v="2"/>
    <n v="2"/>
    <n v="2"/>
    <n v="28.571428571428573"/>
    <n v="0"/>
    <n v="0"/>
    <n v="0"/>
    <n v="0"/>
    <n v="3"/>
    <n v="42.857142857142854"/>
    <n v="7"/>
  </r>
  <r>
    <s v="UCOLKv4Q4IiYXK3q_0K76qlA"/>
    <s v="UCknLrEdhRCp1aegoMqRaCZg"/>
    <s v="128, 128, 128"/>
    <n v="3"/>
    <m/>
    <n v="40"/>
    <m/>
    <m/>
    <m/>
    <m/>
    <s v="No"/>
    <n v="290"/>
    <m/>
    <m/>
    <s v="Commented Video"/>
    <x v="0"/>
    <s v="Thank you india! For helping Africa!"/>
    <s v="UCOLKv4Q4IiYXK3q_0K76qlA"/>
    <s v="WVW"/>
    <s v="http://www.youtube.com/channel/UCOLKv4Q4IiYXK3q_0K76qlA"/>
    <m/>
    <s v="w6BMPN07BOM"/>
    <s v="https://www.youtube.com/watch?v=w6BMPN07BOM"/>
    <s v="none"/>
    <n v="0"/>
    <x v="287"/>
    <d v="2022-09-25T21:41:11.000"/>
    <m/>
    <m/>
    <m/>
    <n v="1"/>
    <n v="2"/>
    <n v="2"/>
    <n v="1"/>
    <n v="16.666666666666668"/>
    <n v="0"/>
    <n v="0"/>
    <n v="0"/>
    <n v="0"/>
    <n v="2"/>
    <n v="33.333333333333336"/>
    <n v="6"/>
  </r>
  <r>
    <s v="UCvi6nnSst0EXfRUa7ABdRNg"/>
    <s v="UCknLrEdhRCp1aegoMqRaCZg"/>
    <s v="128, 128, 128"/>
    <n v="3"/>
    <m/>
    <n v="40"/>
    <m/>
    <m/>
    <m/>
    <m/>
    <s v="No"/>
    <n v="291"/>
    <m/>
    <m/>
    <s v="Commented Video"/>
    <x v="0"/>
    <s v="Education and birth control are key to reducing poverty and hunger.&lt;br&gt;Having a child that you can not provide for yourself is cruel and irresponsible."/>
    <s v="UCvi6nnSst0EXfRUa7ABdRNg"/>
    <s v="Kenz300 x"/>
    <s v="http://www.youtube.com/channel/UCvi6nnSst0EXfRUa7ABdRNg"/>
    <m/>
    <s v="w6BMPN07BOM"/>
    <s v="https://www.youtube.com/watch?v=w6BMPN07BOM"/>
    <s v="none"/>
    <n v="4"/>
    <x v="288"/>
    <d v="2022-09-25T22:32:55.000"/>
    <m/>
    <m/>
    <m/>
    <n v="1"/>
    <n v="2"/>
    <n v="2"/>
    <n v="0"/>
    <n v="0"/>
    <n v="3"/>
    <n v="11.538461538461538"/>
    <n v="0"/>
    <n v="0"/>
    <n v="8"/>
    <n v="30.76923076923077"/>
    <n v="26"/>
  </r>
  <r>
    <s v="UCw2Q_WsvOnhMcBQ4qWtl5iA"/>
    <s v="UCknLrEdhRCp1aegoMqRaCZg"/>
    <s v="128, 128, 128"/>
    <n v="3"/>
    <m/>
    <n v="40"/>
    <m/>
    <m/>
    <m/>
    <m/>
    <s v="No"/>
    <n v="292"/>
    <m/>
    <m/>
    <s v="Commented Video"/>
    <x v="0"/>
    <s v="This Makes zero sense, sense covid supposedly lowered it everywhere else 🤔😒"/>
    <s v="UCw2Q_WsvOnhMcBQ4qWtl5iA"/>
    <s v="This Old School"/>
    <s v="http://www.youtube.com/channel/UCw2Q_WsvOnhMcBQ4qWtl5iA"/>
    <m/>
    <s v="w6BMPN07BOM"/>
    <s v="https://www.youtube.com/watch?v=w6BMPN07BOM"/>
    <s v="none"/>
    <n v="0"/>
    <x v="289"/>
    <d v="2022-09-25T22:33:55.000"/>
    <m/>
    <m/>
    <m/>
    <n v="1"/>
    <n v="2"/>
    <n v="2"/>
    <n v="0"/>
    <n v="0"/>
    <n v="0"/>
    <n v="0"/>
    <n v="0"/>
    <n v="0"/>
    <n v="6"/>
    <n v="54.54545454545455"/>
    <n v="11"/>
  </r>
  <r>
    <s v="UC1KoxDzK1bD1Jry2R87oOpg"/>
    <s v="UCknLrEdhRCp1aegoMqRaCZg"/>
    <s v="128, 128, 128"/>
    <n v="3"/>
    <m/>
    <n v="40"/>
    <m/>
    <m/>
    <m/>
    <m/>
    <s v="No"/>
    <n v="293"/>
    <m/>
    <m/>
    <s v="Commented Video"/>
    <x v="0"/>
    <s v="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
    <s v="UC1KoxDzK1bD1Jry2R87oOpg"/>
    <s v="Dan Spencer"/>
    <s v="http://www.youtube.com/channel/UC1KoxDzK1bD1Jry2R87oOpg"/>
    <m/>
    <s v="w6BMPN07BOM"/>
    <s v="https://www.youtube.com/watch?v=w6BMPN07BOM"/>
    <s v="none"/>
    <n v="0"/>
    <x v="290"/>
    <d v="2022-09-25T22:49:05.000"/>
    <m/>
    <m/>
    <m/>
    <n v="1"/>
    <n v="2"/>
    <n v="2"/>
    <n v="1"/>
    <n v="1.9230769230769231"/>
    <n v="2"/>
    <n v="3.8461538461538463"/>
    <n v="0"/>
    <n v="0"/>
    <n v="20"/>
    <n v="38.46153846153846"/>
    <n v="52"/>
  </r>
  <r>
    <s v="UC85CHtE35ZdwXAmQWUbeMTQ"/>
    <s v="UCknLrEdhRCp1aegoMqRaCZg"/>
    <s v="128, 128, 128"/>
    <n v="3"/>
    <m/>
    <n v="40"/>
    <m/>
    <m/>
    <m/>
    <m/>
    <s v="No"/>
    <n v="294"/>
    <m/>
    <m/>
    <s v="Commented Video"/>
    <x v="0"/>
    <s v="More good news stories please."/>
    <s v="UC85CHtE35ZdwXAmQWUbeMTQ"/>
    <s v="iceman"/>
    <s v="http://www.youtube.com/channel/UC85CHtE35ZdwXAmQWUbeMTQ"/>
    <m/>
    <s v="w6BMPN07BOM"/>
    <s v="https://www.youtube.com/watch?v=w6BMPN07BOM"/>
    <s v="none"/>
    <n v="2"/>
    <x v="291"/>
    <d v="2022-09-25T22:49:43.000"/>
    <m/>
    <m/>
    <m/>
    <n v="1"/>
    <n v="2"/>
    <n v="2"/>
    <n v="1"/>
    <n v="20"/>
    <n v="0"/>
    <n v="0"/>
    <n v="0"/>
    <n v="0"/>
    <n v="2"/>
    <n v="40"/>
    <n v="5"/>
  </r>
  <r>
    <s v="UCS0sR5VZi4XH6lTASBzAEVA"/>
    <s v="UCknLrEdhRCp1aegoMqRaCZg"/>
    <s v="128, 128, 128"/>
    <n v="3"/>
    <m/>
    <n v="40"/>
    <m/>
    <m/>
    <m/>
    <m/>
    <s v="No"/>
    <n v="295"/>
    <m/>
    <m/>
    <s v="Commented Video"/>
    <x v="0"/>
    <s v="We have to help blind people and make for all of them artificial eyes (like bionic eyes or sth similar). This should be a part of our system. It is the worst to lose that sense... 💔"/>
    <s v="UCS0sR5VZi4XH6lTASBzAEVA"/>
    <s v="Patrycja Planeta"/>
    <s v="http://www.youtube.com/channel/UCS0sR5VZi4XH6lTASBzAEVA"/>
    <m/>
    <s v="w6BMPN07BOM"/>
    <s v="https://www.youtube.com/watch?v=w6BMPN07BOM"/>
    <s v="none"/>
    <n v="4"/>
    <x v="292"/>
    <d v="2022-09-25T23:05:12.000"/>
    <m/>
    <m/>
    <m/>
    <n v="1"/>
    <n v="2"/>
    <n v="2"/>
    <n v="1"/>
    <n v="2.7777777777777777"/>
    <n v="3"/>
    <n v="8.333333333333334"/>
    <n v="0"/>
    <n v="0"/>
    <n v="10"/>
    <n v="27.77777777777778"/>
    <n v="36"/>
  </r>
  <r>
    <s v="UCCuzh05wf-gk9iAFFSe7n-A"/>
    <s v="UCknLrEdhRCp1aegoMqRaCZg"/>
    <s v="128, 128, 128"/>
    <n v="3"/>
    <m/>
    <n v="40"/>
    <m/>
    <m/>
    <m/>
    <m/>
    <s v="No"/>
    <n v="296"/>
    <m/>
    <m/>
    <s v="Commented Video"/>
    <x v="0"/>
    <s v="Wow happy to hear that. May African population blooming after long times of high mortalities."/>
    <s v="UCCuzh05wf-gk9iAFFSe7n-A"/>
    <s v="Riza-kun"/>
    <s v="http://www.youtube.com/channel/UCCuzh05wf-gk9iAFFSe7n-A"/>
    <m/>
    <s v="w6BMPN07BOM"/>
    <s v="https://www.youtube.com/watch?v=w6BMPN07BOM"/>
    <s v="none"/>
    <n v="1"/>
    <x v="293"/>
    <d v="2022-09-25T23:05:17.000"/>
    <m/>
    <m/>
    <m/>
    <n v="1"/>
    <n v="2"/>
    <n v="2"/>
    <n v="2"/>
    <n v="13.333333333333334"/>
    <n v="0"/>
    <n v="0"/>
    <n v="0"/>
    <n v="0"/>
    <n v="8"/>
    <n v="53.333333333333336"/>
    <n v="15"/>
  </r>
  <r>
    <s v="UCHVYjdjDomgr-b-IKIwgMOQ"/>
    <s v="UCknLrEdhRCp1aegoMqRaCZg"/>
    <s v="128, 128, 128"/>
    <n v="3"/>
    <m/>
    <n v="40"/>
    <m/>
    <m/>
    <m/>
    <m/>
    <s v="No"/>
    <n v="297"/>
    <m/>
    <m/>
    <s v="Commented Video"/>
    <x v="0"/>
    <s v="This good news has consequences. Without terrible premature deaths, the population will grow. Where is the extra food, jobs, housing, energy coming from?"/>
    <s v="UCHVYjdjDomgr-b-IKIwgMOQ"/>
    <s v="De Vroom Bagchus"/>
    <s v="http://www.youtube.com/channel/UCHVYjdjDomgr-b-IKIwgMOQ"/>
    <m/>
    <s v="w6BMPN07BOM"/>
    <s v="https://www.youtube.com/watch?v=w6BMPN07BOM"/>
    <s v="none"/>
    <n v="2"/>
    <x v="294"/>
    <d v="2022-09-25T23:46:11.000"/>
    <m/>
    <m/>
    <m/>
    <n v="1"/>
    <n v="2"/>
    <n v="2"/>
    <n v="1"/>
    <n v="4.3478260869565215"/>
    <n v="1"/>
    <n v="4.3478260869565215"/>
    <n v="0"/>
    <n v="0"/>
    <n v="12"/>
    <n v="52.17391304347826"/>
    <n v="23"/>
  </r>
  <r>
    <s v="UCZOEY-B9NCIiCzv2-3UoLcQ"/>
    <s v="UCknLrEdhRCp1aegoMqRaCZg"/>
    <s v="128, 128, 128"/>
    <n v="3"/>
    <m/>
    <n v="40"/>
    <m/>
    <m/>
    <m/>
    <m/>
    <s v="No"/>
    <n v="298"/>
    <m/>
    <m/>
    <s v="Commented Video"/>
    <x v="0"/>
    <s v="Now more of them will come"/>
    <s v="UCZOEY-B9NCIiCzv2-3UoLcQ"/>
    <s v="X N"/>
    <s v="http://www.youtube.com/channel/UCZOEY-B9NCIiCzv2-3UoLcQ"/>
    <m/>
    <s v="w6BMPN07BOM"/>
    <s v="https://www.youtube.com/watch?v=w6BMPN07BOM"/>
    <s v="none"/>
    <n v="0"/>
    <x v="295"/>
    <d v="2022-09-25T23:51:53.000"/>
    <m/>
    <m/>
    <m/>
    <n v="1"/>
    <n v="2"/>
    <n v="2"/>
    <n v="0"/>
    <n v="0"/>
    <n v="0"/>
    <n v="0"/>
    <n v="0"/>
    <n v="0"/>
    <n v="0"/>
    <n v="0"/>
    <n v="6"/>
  </r>
  <r>
    <s v="UCsHFIY1wJaSdx7y-yS-fQQg"/>
    <s v="UCknLrEdhRCp1aegoMqRaCZg"/>
    <s v="128, 128, 128"/>
    <n v="3"/>
    <m/>
    <n v="40"/>
    <m/>
    <m/>
    <m/>
    <m/>
    <s v="No"/>
    <n v="299"/>
    <m/>
    <m/>
    <s v="Commented Video"/>
    <x v="0"/>
    <s v="Improved life expectancy leads to lower birth rates.  This is the way"/>
    <s v="UCsHFIY1wJaSdx7y-yS-fQQg"/>
    <s v="K N"/>
    <s v="http://www.youtube.com/channel/UCsHFIY1wJaSdx7y-yS-fQQg"/>
    <m/>
    <s v="w6BMPN07BOM"/>
    <s v="https://www.youtube.com/watch?v=w6BMPN07BOM"/>
    <s v="none"/>
    <n v="2"/>
    <x v="296"/>
    <d v="2022-09-25T23:57:56.000"/>
    <m/>
    <m/>
    <m/>
    <n v="1"/>
    <n v="2"/>
    <n v="2"/>
    <n v="2"/>
    <n v="16.666666666666668"/>
    <n v="0"/>
    <n v="0"/>
    <n v="0"/>
    <n v="0"/>
    <n v="5"/>
    <n v="41.666666666666664"/>
    <n v="12"/>
  </r>
  <r>
    <s v="UC2MXgtSiyIQqSB8OpqVEfkQ"/>
    <s v="UCknLrEdhRCp1aegoMqRaCZg"/>
    <s v="128, 128, 128"/>
    <n v="3"/>
    <m/>
    <n v="40"/>
    <m/>
    <m/>
    <m/>
    <m/>
    <s v="No"/>
    <n v="300"/>
    <m/>
    <m/>
    <s v="Commented Video"/>
    <x v="0"/>
    <s v="If they got of religion that might be 80 years old."/>
    <s v="UC2MXgtSiyIQqSB8OpqVEfkQ"/>
    <s v="Mr Whitman"/>
    <s v="http://www.youtube.com/channel/UC2MXgtSiyIQqSB8OpqVEfkQ"/>
    <m/>
    <s v="w6BMPN07BOM"/>
    <s v="https://www.youtube.com/watch?v=w6BMPN07BOM"/>
    <s v="none"/>
    <n v="0"/>
    <x v="297"/>
    <d v="2022-09-26T00:13:26.000"/>
    <m/>
    <m/>
    <m/>
    <n v="1"/>
    <n v="2"/>
    <n v="2"/>
    <n v="0"/>
    <n v="0"/>
    <n v="0"/>
    <n v="0"/>
    <n v="0"/>
    <n v="0"/>
    <n v="2"/>
    <n v="18.181818181818183"/>
    <n v="11"/>
  </r>
  <r>
    <s v="UCRYpWX1y1pgRq1EFqKz-HDA"/>
    <s v="UCknLrEdhRCp1aegoMqRaCZg"/>
    <s v="128, 128, 128"/>
    <n v="3"/>
    <m/>
    <n v="40"/>
    <m/>
    <m/>
    <m/>
    <m/>
    <s v="No"/>
    <n v="301"/>
    <m/>
    <m/>
    <s v="Commented Video"/>
    <x v="0"/>
    <s v="This is nice!"/>
    <s v="UCRYpWX1y1pgRq1EFqKz-HDA"/>
    <s v="Spaghetti is Yummy."/>
    <s v="http://www.youtube.com/channel/UCRYpWX1y1pgRq1EFqKz-HDA"/>
    <m/>
    <s v="w6BMPN07BOM"/>
    <s v="https://www.youtube.com/watch?v=w6BMPN07BOM"/>
    <s v="none"/>
    <n v="0"/>
    <x v="298"/>
    <d v="2022-09-26T00:51:24.000"/>
    <m/>
    <m/>
    <m/>
    <n v="1"/>
    <n v="2"/>
    <n v="2"/>
    <n v="1"/>
    <n v="33.333333333333336"/>
    <n v="0"/>
    <n v="0"/>
    <n v="0"/>
    <n v="0"/>
    <n v="0"/>
    <n v="0"/>
    <n v="3"/>
  </r>
  <r>
    <s v="UCwe--ARnPExOnY_Vp2L_7wQ"/>
    <s v="UCknLrEdhRCp1aegoMqRaCZg"/>
    <s v="128, 128, 128"/>
    <n v="3"/>
    <m/>
    <n v="40"/>
    <m/>
    <m/>
    <m/>
    <m/>
    <s v="No"/>
    <n v="302"/>
    <m/>
    <m/>
    <s v="Commented Video"/>
    <x v="0"/>
    <s v="&lt;b&gt;AFRICANS have been knowing this for quite long time, LIFE have changed for the better, (war zones not included) we dont need DW to tell us...&lt;/b&gt;"/>
    <s v="UCwe--ARnPExOnY_Vp2L_7wQ"/>
    <s v="buravan15"/>
    <s v="http://www.youtube.com/channel/UCwe--ARnPExOnY_Vp2L_7wQ"/>
    <m/>
    <s v="w6BMPN07BOM"/>
    <s v="https://www.youtube.com/watch?v=w6BMPN07BOM"/>
    <s v="none"/>
    <n v="0"/>
    <x v="299"/>
    <d v="2022-09-26T01:24:24.000"/>
    <m/>
    <m/>
    <m/>
    <n v="1"/>
    <n v="2"/>
    <n v="2"/>
    <n v="1"/>
    <n v="3.5714285714285716"/>
    <n v="0"/>
    <n v="0"/>
    <n v="0"/>
    <n v="0"/>
    <n v="10"/>
    <n v="35.714285714285715"/>
    <n v="28"/>
  </r>
  <r>
    <s v="UC2XCZCn1_IKgmCS0pBoRiqQ"/>
    <s v="UCknLrEdhRCp1aegoMqRaCZg"/>
    <s v="128, 128, 128"/>
    <n v="3"/>
    <m/>
    <n v="40"/>
    <m/>
    <m/>
    <m/>
    <m/>
    <s v="No"/>
    <n v="303"/>
    <m/>
    <m/>
    <s v="Commented Video"/>
    <x v="0"/>
    <s v="As an African from northern Nigeria, Kano state in particular, I say congratulations to us the Africans. We need to more innovative minds explore the talents Africans have and prove the west wrong of their malicious perspective and negatively acceptance we received"/>
    <s v="UC2XCZCn1_IKgmCS0pBoRiqQ"/>
    <s v="Abubakar Sadisu Muktar"/>
    <s v="http://www.youtube.com/channel/UC2XCZCn1_IKgmCS0pBoRiqQ"/>
    <m/>
    <s v="w6BMPN07BOM"/>
    <s v="https://www.youtube.com/watch?v=w6BMPN07BOM"/>
    <s v="none"/>
    <n v="7"/>
    <x v="300"/>
    <d v="2022-09-26T01:26:30.000"/>
    <m/>
    <m/>
    <m/>
    <n v="1"/>
    <n v="2"/>
    <n v="2"/>
    <n v="3"/>
    <n v="7.142857142857143"/>
    <n v="2"/>
    <n v="4.761904761904762"/>
    <n v="0"/>
    <n v="0"/>
    <n v="15"/>
    <n v="35.714285714285715"/>
    <n v="42"/>
  </r>
  <r>
    <s v="UCPlu0BIOe0bLj6FHhmNTfmg"/>
    <s v="UCknLrEdhRCp1aegoMqRaCZg"/>
    <s v="128, 128, 128"/>
    <n v="3"/>
    <m/>
    <n v="40"/>
    <m/>
    <m/>
    <m/>
    <m/>
    <s v="No"/>
    <n v="304"/>
    <m/>
    <m/>
    <s v="Commented Video"/>
    <x v="0"/>
    <s v="Lack of &lt;b&gt;modern&lt;/b&gt; pharmaceuticals like vaccines seems to have had a positive effect!"/>
    <s v="UCPlu0BIOe0bLj6FHhmNTfmg"/>
    <s v="Miles O'Brien"/>
    <s v="http://www.youtube.com/channel/UCPlu0BIOe0bLj6FHhmNTfmg"/>
    <m/>
    <s v="w6BMPN07BOM"/>
    <s v="https://www.youtube.com/watch?v=w6BMPN07BOM"/>
    <s v="none"/>
    <n v="0"/>
    <x v="301"/>
    <d v="2022-09-26T02:28:24.000"/>
    <m/>
    <m/>
    <m/>
    <n v="1"/>
    <n v="2"/>
    <n v="2"/>
    <n v="3"/>
    <n v="20"/>
    <n v="1"/>
    <n v="6.666666666666667"/>
    <n v="0"/>
    <n v="0"/>
    <n v="3"/>
    <n v="20"/>
    <n v="15"/>
  </r>
  <r>
    <s v="UCIXfPkm15RnXl0xsXHUCwUA"/>
    <s v="UCknLrEdhRCp1aegoMqRaCZg"/>
    <s v="128, 128, 128"/>
    <n v="3"/>
    <m/>
    <n v="40"/>
    <m/>
    <m/>
    <m/>
    <m/>
    <s v="No"/>
    <n v="305"/>
    <m/>
    <m/>
    <s v="Commented Video"/>
    <x v="0"/>
    <s v="After all the documentaries I’ve watched regarding the beautiful country of Africa, I’m calling bs on this."/>
    <s v="UCIXfPkm15RnXl0xsXHUCwUA"/>
    <s v="Donna Cabot"/>
    <s v="http://www.youtube.com/channel/UCIXfPkm15RnXl0xsXHUCwUA"/>
    <m/>
    <s v="w6BMPN07BOM"/>
    <s v="https://www.youtube.com/watch?v=w6BMPN07BOM"/>
    <s v="none"/>
    <n v="0"/>
    <x v="302"/>
    <d v="2022-09-26T03:17:03.000"/>
    <m/>
    <m/>
    <m/>
    <n v="1"/>
    <n v="2"/>
    <n v="2"/>
    <n v="1"/>
    <n v="5.2631578947368425"/>
    <n v="1"/>
    <n v="5.2631578947368425"/>
    <n v="0"/>
    <n v="0"/>
    <n v="6"/>
    <n v="31.57894736842105"/>
    <n v="19"/>
  </r>
  <r>
    <s v="UC0x0VgqRbjvhrXwv9Rok8Ug"/>
    <s v="UCknLrEdhRCp1aegoMqRaCZg"/>
    <s v="128, 128, 128"/>
    <n v="3"/>
    <m/>
    <n v="40"/>
    <m/>
    <m/>
    <m/>
    <m/>
    <s v="No"/>
    <n v="306"/>
    <m/>
    <m/>
    <s v="Commented Video"/>
    <x v="0"/>
    <s v="Most Africans didn&amp;#39;t get the Covid jab.  Good for them."/>
    <s v="UC0x0VgqRbjvhrXwv9Rok8Ug"/>
    <s v="brerabbit"/>
    <s v="http://www.youtube.com/channel/UC0x0VgqRbjvhrXwv9Rok8Ug"/>
    <m/>
    <s v="w6BMPN07BOM"/>
    <s v="https://www.youtube.com/watch?v=w6BMPN07BOM"/>
    <s v="none"/>
    <n v="0"/>
    <x v="303"/>
    <d v="2022-09-26T03:35:56.000"/>
    <m/>
    <m/>
    <m/>
    <n v="1"/>
    <n v="2"/>
    <n v="2"/>
    <n v="1"/>
    <n v="8.333333333333334"/>
    <n v="0"/>
    <n v="0"/>
    <n v="0"/>
    <n v="0"/>
    <n v="3"/>
    <n v="25"/>
    <n v="12"/>
  </r>
  <r>
    <s v="UC3An_2PVJi6_m53_Vy9CXQg"/>
    <s v="UCknLrEdhRCp1aegoMqRaCZg"/>
    <s v="128, 128, 128"/>
    <n v="3"/>
    <m/>
    <n v="40"/>
    <m/>
    <m/>
    <m/>
    <m/>
    <s v="No"/>
    <n v="307"/>
    <m/>
    <m/>
    <s v="Commented Video"/>
    <x v="0"/>
    <s v="I am happy that Africa&amp;#39;s economy is growing and they are becoming more educated and wealthy. The more prosperously people live, the fewer wars and the better life for all of us."/>
    <s v="UC3An_2PVJi6_m53_Vy9CXQg"/>
    <s v="Sykaax"/>
    <s v="http://www.youtube.com/channel/UC3An_2PVJi6_m53_Vy9CXQg"/>
    <m/>
    <s v="w6BMPN07BOM"/>
    <s v="https://www.youtube.com/watch?v=w6BMPN07BOM"/>
    <s v="none"/>
    <n v="2"/>
    <x v="304"/>
    <d v="2022-09-26T04:00:19.000"/>
    <m/>
    <m/>
    <m/>
    <n v="1"/>
    <n v="2"/>
    <n v="2"/>
    <n v="4"/>
    <n v="11.764705882352942"/>
    <n v="0"/>
    <n v="0"/>
    <n v="0"/>
    <n v="0"/>
    <n v="8"/>
    <n v="23.529411764705884"/>
    <n v="34"/>
  </r>
  <r>
    <s v="UC1RjMuYdlHLhY5W1g-VxiIw"/>
    <s v="UCknLrEdhRCp1aegoMqRaCZg"/>
    <s v="128, 128, 128"/>
    <n v="3"/>
    <m/>
    <n v="40"/>
    <m/>
    <m/>
    <m/>
    <m/>
    <s v="No"/>
    <n v="308"/>
    <m/>
    <m/>
    <s v="Commented Video"/>
    <x v="0"/>
    <s v="Dw never posts good news about Africa. What happened here ? This is unlike dw.."/>
    <s v="UC1RjMuYdlHLhY5W1g-VxiIw"/>
    <s v="M M"/>
    <s v="http://www.youtube.com/channel/UC1RjMuYdlHLhY5W1g-VxiIw"/>
    <m/>
    <s v="w6BMPN07BOM"/>
    <s v="https://www.youtube.com/watch?v=w6BMPN07BOM"/>
    <s v="none"/>
    <n v="0"/>
    <x v="305"/>
    <d v="2022-09-26T04:02:33.000"/>
    <m/>
    <m/>
    <m/>
    <n v="1"/>
    <n v="2"/>
    <n v="2"/>
    <n v="1"/>
    <n v="7.142857142857143"/>
    <n v="0"/>
    <n v="0"/>
    <n v="0"/>
    <n v="0"/>
    <n v="6"/>
    <n v="42.857142857142854"/>
    <n v="14"/>
  </r>
  <r>
    <s v="UChBdqGo4sPZ6AFTlwKNcZtQ"/>
    <s v="UCknLrEdhRCp1aegoMqRaCZg"/>
    <s v="128, 128, 128"/>
    <n v="3"/>
    <m/>
    <n v="40"/>
    <m/>
    <m/>
    <m/>
    <m/>
    <s v="No"/>
    <n v="309"/>
    <m/>
    <m/>
    <s v="Commented Video"/>
    <x v="0"/>
    <s v="&amp;quot;For God so loved the world, that he gave his only begotten Son, that whosoever believeth in him should not perish, but have everlasting life.&amp;quot; Jesus Christ&lt;br&gt;&lt;br&gt;&lt;br&gt;&lt;br&gt;&lt;br&gt;We plead with you on Christ&amp;#39;s behalf, &amp;quot;Be reconciled to God!&amp;quot;"/>
    <s v="UChBdqGo4sPZ6AFTlwKNcZtQ"/>
    <s v="Eric"/>
    <s v="http://www.youtube.com/channel/UChBdqGo4sPZ6AFTlwKNcZtQ"/>
    <m/>
    <s v="w6BMPN07BOM"/>
    <s v="https://www.youtube.com/watch?v=w6BMPN07BOM"/>
    <s v="none"/>
    <n v="0"/>
    <x v="306"/>
    <d v="2022-09-26T04:03:31.000"/>
    <m/>
    <m/>
    <m/>
    <n v="1"/>
    <n v="2"/>
    <n v="2"/>
    <n v="2"/>
    <n v="4.081632653061225"/>
    <n v="1"/>
    <n v="2.0408163265306123"/>
    <n v="0"/>
    <n v="0"/>
    <n v="13"/>
    <n v="26.53061224489796"/>
    <n v="49"/>
  </r>
  <r>
    <s v="UCDdn22Yp255BtuMhXUI4Z8g"/>
    <s v="UCknLrEdhRCp1aegoMqRaCZg"/>
    <s v="128, 128, 128"/>
    <n v="3"/>
    <m/>
    <n v="40"/>
    <m/>
    <m/>
    <m/>
    <m/>
    <s v="No"/>
    <n v="310"/>
    <m/>
    <m/>
    <s v="Commented Video"/>
    <x v="0"/>
    <s v="Bad news for global warming."/>
    <s v="UCDdn22Yp255BtuMhXUI4Z8g"/>
    <s v="Paul Blichmann"/>
    <s v="http://www.youtube.com/channel/UCDdn22Yp255BtuMhXUI4Z8g"/>
    <m/>
    <s v="w6BMPN07BOM"/>
    <s v="https://www.youtube.com/watch?v=w6BMPN07BOM"/>
    <s v="none"/>
    <n v="0"/>
    <x v="307"/>
    <d v="2022-09-26T04:51:12.000"/>
    <m/>
    <m/>
    <m/>
    <n v="1"/>
    <n v="2"/>
    <n v="2"/>
    <n v="0"/>
    <n v="0"/>
    <n v="1"/>
    <n v="20"/>
    <n v="0"/>
    <n v="0"/>
    <n v="3"/>
    <n v="60"/>
    <n v="5"/>
  </r>
  <r>
    <s v="UCn5WjdukLtDvVWFuGt60utA"/>
    <s v="UCknLrEdhRCp1aegoMqRaCZg"/>
    <s v="128, 128, 128"/>
    <n v="3"/>
    <m/>
    <n v="40"/>
    <m/>
    <m/>
    <m/>
    <m/>
    <s v="No"/>
    <n v="311"/>
    <m/>
    <m/>
    <s v="Commented Video"/>
    <x v="0"/>
    <s v="Damn, that&amp;#39;s half a year of lifespan for every year passed. At a full year of lifespan per year passed, Africans will achieve immortality!"/>
    <s v="UCn5WjdukLtDvVWFuGt60utA"/>
    <s v="Entengummitiger"/>
    <s v="http://www.youtube.com/channel/UCn5WjdukLtDvVWFuGt60utA"/>
    <m/>
    <s v="w6BMPN07BOM"/>
    <s v="https://www.youtube.com/watch?v=w6BMPN07BOM"/>
    <s v="none"/>
    <n v="1"/>
    <x v="308"/>
    <d v="2022-09-26T06:31:04.000"/>
    <m/>
    <m/>
    <m/>
    <n v="1"/>
    <n v="2"/>
    <n v="2"/>
    <n v="0"/>
    <n v="0"/>
    <n v="1"/>
    <n v="3.8461538461538463"/>
    <n v="0"/>
    <n v="0"/>
    <n v="7"/>
    <n v="26.923076923076923"/>
    <n v="26"/>
  </r>
  <r>
    <s v="UCeny1kXHNej3GZK8_7Kph6g"/>
    <s v="UCknLrEdhRCp1aegoMqRaCZg"/>
    <s v="128, 128, 128"/>
    <n v="3"/>
    <m/>
    <n v="40"/>
    <m/>
    <m/>
    <m/>
    <m/>
    <s v="No"/>
    <n v="312"/>
    <m/>
    <m/>
    <s v="Commented Video"/>
    <x v="0"/>
    <s v="The title is very racist. Why tf use the word dramatic. This shows how DW is run by some racists too unfortunately. Western mainstream media including DW almost always shows the worst parts in Africa while Africa had many great places aswell. Very racists 🤮"/>
    <s v="UCeny1kXHNej3GZK8_7Kph6g"/>
    <s v="Acacius"/>
    <s v="http://www.youtube.com/channel/UCeny1kXHNej3GZK8_7Kph6g"/>
    <m/>
    <s v="w6BMPN07BOM"/>
    <s v="https://www.youtube.com/watch?v=w6BMPN07BOM"/>
    <s v="none"/>
    <n v="0"/>
    <x v="309"/>
    <d v="2022-09-26T08:20:00.000"/>
    <m/>
    <m/>
    <m/>
    <n v="1"/>
    <n v="2"/>
    <n v="2"/>
    <n v="1"/>
    <n v="2.272727272727273"/>
    <n v="5"/>
    <n v="11.363636363636363"/>
    <n v="0"/>
    <n v="0"/>
    <n v="17"/>
    <n v="38.63636363636363"/>
    <n v="44"/>
  </r>
  <r>
    <s v="UCY_f8CubB1vYpCO0uinoshg"/>
    <s v="UCknLrEdhRCp1aegoMqRaCZg"/>
    <s v="128, 128, 128"/>
    <n v="3"/>
    <m/>
    <n v="40"/>
    <m/>
    <m/>
    <m/>
    <m/>
    <s v="No"/>
    <n v="313"/>
    <m/>
    <m/>
    <s v="Commented Video"/>
    <x v="0"/>
    <s v="Not really sure this is a good thing."/>
    <s v="UCY_f8CubB1vYpCO0uinoshg"/>
    <s v="A Generic Account"/>
    <s v="http://www.youtube.com/channel/UCY_f8CubB1vYpCO0uinoshg"/>
    <m/>
    <s v="w6BMPN07BOM"/>
    <s v="https://www.youtube.com/watch?v=w6BMPN07BOM"/>
    <s v="none"/>
    <n v="0"/>
    <x v="310"/>
    <d v="2022-09-26T08:22:33.000"/>
    <m/>
    <m/>
    <m/>
    <n v="1"/>
    <n v="2"/>
    <n v="2"/>
    <n v="1"/>
    <n v="12.5"/>
    <n v="0"/>
    <n v="0"/>
    <n v="0"/>
    <n v="0"/>
    <n v="1"/>
    <n v="12.5"/>
    <n v="8"/>
  </r>
  <r>
    <s v="UChTneikb8bEyKX42QLXaC6w"/>
    <s v="UCknLrEdhRCp1aegoMqRaCZg"/>
    <s v="128, 128, 128"/>
    <n v="3"/>
    <m/>
    <n v="40"/>
    <m/>
    <m/>
    <m/>
    <m/>
    <s v="No"/>
    <n v="314"/>
    <m/>
    <m/>
    <s v="Commented Video"/>
    <x v="0"/>
    <s v="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
    <s v="UChTneikb8bEyKX42QLXaC6w"/>
    <s v="Danne Ström"/>
    <s v="http://www.youtube.com/channel/UChTneikb8bEyKX42QLXaC6w"/>
    <m/>
    <s v="w6BMPN07BOM"/>
    <s v="https://www.youtube.com/watch?v=w6BMPN07BOM"/>
    <s v="none"/>
    <n v="0"/>
    <x v="311"/>
    <d v="2022-09-26T08:39:03.000"/>
    <m/>
    <m/>
    <m/>
    <n v="1"/>
    <n v="2"/>
    <n v="2"/>
    <n v="10"/>
    <n v="7.936507936507937"/>
    <n v="5"/>
    <n v="3.9682539682539684"/>
    <n v="0"/>
    <n v="0"/>
    <n v="32"/>
    <n v="25.396825396825395"/>
    <n v="126"/>
  </r>
  <r>
    <s v="UCDDw7eSJd7dzdCN553OKRNg"/>
    <s v="UCknLrEdhRCp1aegoMqRaCZg"/>
    <s v="128, 128, 128"/>
    <n v="3"/>
    <m/>
    <n v="40"/>
    <m/>
    <m/>
    <m/>
    <m/>
    <s v="No"/>
    <n v="315"/>
    <m/>
    <m/>
    <s v="Commented Video"/>
    <x v="0"/>
    <s v="Less reproduction please. More health and Conciousness👍🏻"/>
    <s v="UCDDw7eSJd7dzdCN553OKRNg"/>
    <s v="Mariana Salles"/>
    <s v="http://www.youtube.com/channel/UCDDw7eSJd7dzdCN553OKRNg"/>
    <m/>
    <s v="w6BMPN07BOM"/>
    <s v="https://www.youtube.com/watch?v=w6BMPN07BOM"/>
    <s v="none"/>
    <n v="0"/>
    <x v="312"/>
    <d v="2022-09-26T11:24:51.000"/>
    <m/>
    <m/>
    <m/>
    <n v="1"/>
    <n v="2"/>
    <n v="2"/>
    <n v="0"/>
    <n v="0"/>
    <n v="0"/>
    <n v="0"/>
    <n v="0"/>
    <n v="0"/>
    <n v="3"/>
    <n v="42.857142857142854"/>
    <n v="7"/>
  </r>
  <r>
    <s v="UCxpMnjRpAeeBDm7U_Xnz5oQ"/>
    <s v="UCknLrEdhRCp1aegoMqRaCZg"/>
    <s v="128, 128, 128"/>
    <n v="3"/>
    <m/>
    <n v="40"/>
    <m/>
    <m/>
    <m/>
    <m/>
    <s v="No"/>
    <n v="316"/>
    <m/>
    <m/>
    <s v="Commented Video"/>
    <x v="0"/>
    <s v="Innovative  congratulations 🎊  and congratulations  to the Doctor  still doing his job despite  the challenges 👏 🙌"/>
    <s v="UCxpMnjRpAeeBDm7U_Xnz5oQ"/>
    <s v="Bih stico"/>
    <s v="http://www.youtube.com/channel/UCxpMnjRpAeeBDm7U_Xnz5oQ"/>
    <m/>
    <s v="w6BMPN07BOM"/>
    <s v="https://www.youtube.com/watch?v=w6BMPN07BOM"/>
    <s v="none"/>
    <n v="0"/>
    <x v="313"/>
    <d v="2022-09-26T12:53:16.000"/>
    <m/>
    <m/>
    <m/>
    <n v="1"/>
    <n v="2"/>
    <n v="2"/>
    <n v="3"/>
    <n v="21.428571428571427"/>
    <n v="0"/>
    <n v="0"/>
    <n v="0"/>
    <n v="0"/>
    <n v="3"/>
    <n v="21.428571428571427"/>
    <n v="14"/>
  </r>
  <r>
    <s v="UCj-WYwt4bJi553Z7gxmVkdg"/>
    <s v="UCknLrEdhRCp1aegoMqRaCZg"/>
    <s v="128, 128, 128"/>
    <n v="3"/>
    <m/>
    <n v="40"/>
    <m/>
    <m/>
    <m/>
    <m/>
    <s v="No"/>
    <n v="317"/>
    <m/>
    <m/>
    <s v="Commented Video"/>
    <x v="0"/>
    <s v="I hope birth rate declines rapidly too, we have a huge population problem."/>
    <s v="UCj-WYwt4bJi553Z7gxmVkdg"/>
    <s v="Joel Xavier"/>
    <s v="http://www.youtube.com/channel/UCj-WYwt4bJi553Z7gxmVkdg"/>
    <m/>
    <s v="w6BMPN07BOM"/>
    <s v="https://www.youtube.com/watch?v=w6BMPN07BOM"/>
    <s v="none"/>
    <n v="1"/>
    <x v="314"/>
    <d v="2022-09-26T14:21:21.000"/>
    <m/>
    <m/>
    <m/>
    <n v="1"/>
    <n v="2"/>
    <n v="2"/>
    <n v="0"/>
    <n v="0"/>
    <n v="2"/>
    <n v="15.384615384615385"/>
    <n v="0"/>
    <n v="0"/>
    <n v="6"/>
    <n v="46.15384615384615"/>
    <n v="13"/>
  </r>
  <r>
    <s v="UC6lD2NFMaWFc0hNmkkrWCbw"/>
    <s v="UCknLrEdhRCp1aegoMqRaCZg"/>
    <s v="128, 128, 128"/>
    <n v="3"/>
    <m/>
    <n v="40"/>
    <m/>
    <m/>
    <m/>
    <m/>
    <s v="No"/>
    <n v="318"/>
    <m/>
    <m/>
    <s v="Commented Video"/>
    <x v="0"/>
    <s v="Liz Truss (British PM) : &amp;quot;We shouldn&amp;#39;t listen to Putin&amp;#39;s sabre rattling and bogus threats, we should continue to support Ukraine&amp;quot;._x000d_&lt;br&gt;Why is Macron in a flap over Putin&amp;#39;s threats ?_x000d_&lt;br&gt;Guizot (1830) : &amp;quot;&amp;quot;In France every storm develops into a deluge, resistance always becomes insurrection and insurrection revolution : every important political conflict is made a question of life and death, people and passions rush at once to the extremes&amp;quot;._x000d_&lt;br&gt;Panic and exaggeration come naturally to the French."/>
    <s v="UC6lD2NFMaWFc0hNmkkrWCbw"/>
    <s v="vinm300"/>
    <s v="http://www.youtube.com/channel/UC6lD2NFMaWFc0hNmkkrWCbw"/>
    <m/>
    <s v="w6BMPN07BOM"/>
    <s v="https://www.youtube.com/watch?v=w6BMPN07BOM"/>
    <s v="none"/>
    <n v="0"/>
    <x v="315"/>
    <d v="2022-09-26T17:12:07.000"/>
    <m/>
    <m/>
    <m/>
    <n v="1"/>
    <n v="2"/>
    <n v="2"/>
    <n v="2"/>
    <n v="2.247191011235955"/>
    <n v="11"/>
    <n v="12.359550561797754"/>
    <n v="0"/>
    <n v="0"/>
    <n v="27"/>
    <n v="30.337078651685392"/>
    <n v="89"/>
  </r>
  <r>
    <s v="UCP_xYiAKfXb29oobdthFl5g"/>
    <s v="UCknLrEdhRCp1aegoMqRaCZg"/>
    <s v="128, 128, 128"/>
    <n v="3"/>
    <m/>
    <n v="40"/>
    <m/>
    <m/>
    <m/>
    <m/>
    <s v="No"/>
    <n v="319"/>
    <m/>
    <m/>
    <s v="Commented Video"/>
    <x v="0"/>
    <s v="Excellent stuff. Good to see more hospitals, goods and the infrastructure required (schools, transport networks) being built to support better, faster healthcare in Africa"/>
    <s v="UCP_xYiAKfXb29oobdthFl5g"/>
    <s v="Tom Nook"/>
    <s v="http://www.youtube.com/channel/UCP_xYiAKfXb29oobdthFl5g"/>
    <m/>
    <s v="w6BMPN07BOM"/>
    <s v="https://www.youtube.com/watch?v=w6BMPN07BOM"/>
    <s v="none"/>
    <n v="0"/>
    <x v="316"/>
    <d v="2022-09-26T19:06:26.000"/>
    <m/>
    <m/>
    <m/>
    <n v="1"/>
    <n v="2"/>
    <n v="2"/>
    <n v="5"/>
    <n v="20.833333333333332"/>
    <n v="0"/>
    <n v="0"/>
    <n v="0"/>
    <n v="0"/>
    <n v="12"/>
    <n v="50"/>
    <n v="24"/>
  </r>
  <r>
    <s v="UCARWkLSLOR-GQryrSWnDCrw"/>
    <s v="UCknLrEdhRCp1aegoMqRaCZg"/>
    <s v="128, 128, 128"/>
    <n v="3"/>
    <m/>
    <n v="40"/>
    <m/>
    <m/>
    <m/>
    <m/>
    <s v="No"/>
    <n v="320"/>
    <m/>
    <m/>
    <s v="Commented Video"/>
    <x v="0"/>
    <s v="The Africa lions aren&amp;#39;t doing their part to balance the African population..."/>
    <s v="UCARWkLSLOR-GQryrSWnDCrw"/>
    <s v="DA"/>
    <s v="http://www.youtube.com/channel/UCARWkLSLOR-GQryrSWnDCrw"/>
    <m/>
    <s v="w6BMPN07BOM"/>
    <s v="https://www.youtube.com/watch?v=w6BMPN07BOM"/>
    <s v="none"/>
    <n v="1"/>
    <x v="317"/>
    <d v="2022-09-27T07:58:00.000"/>
    <m/>
    <m/>
    <m/>
    <n v="1"/>
    <n v="2"/>
    <n v="2"/>
    <n v="0"/>
    <n v="0"/>
    <n v="0"/>
    <n v="0"/>
    <n v="0"/>
    <n v="0"/>
    <n v="6"/>
    <n v="42.857142857142854"/>
    <n v="14"/>
  </r>
  <r>
    <s v="UCV-irmO6xulXU7e2GS2WuHQ"/>
    <s v="UCqYI3lmZgTsRs202mY15QfA"/>
    <s v="128, 128, 128"/>
    <n v="3"/>
    <m/>
    <n v="40"/>
    <m/>
    <m/>
    <m/>
    <m/>
    <s v="No"/>
    <n v="321"/>
    <m/>
    <m/>
    <s v="Commented Video"/>
    <x v="0"/>
    <s v="Psyllium husks 1 t mixed in an 8 ounce glass of water and your drink it right down before it gets gelatinous much better  instead of processed all bran"/>
    <s v="UCV-irmO6xulXU7e2GS2WuHQ"/>
    <s v="Barb Glinsmann"/>
    <s v="http://www.youtube.com/channel/UCV-irmO6xulXU7e2GS2WuHQ"/>
    <m/>
    <s v="V4-3xDi_Ems"/>
    <s v="https://www.youtube.com/watch?v=V4-3xDi_Ems"/>
    <s v="none"/>
    <n v="0"/>
    <x v="318"/>
    <d v="2023-01-10T23:38:30.000"/>
    <m/>
    <m/>
    <m/>
    <n v="1"/>
    <n v="1"/>
    <n v="1"/>
    <n v="2"/>
    <n v="6.896551724137931"/>
    <n v="0"/>
    <n v="0"/>
    <n v="0"/>
    <n v="0"/>
    <n v="11"/>
    <n v="37.93103448275862"/>
    <n v="29"/>
  </r>
  <r>
    <s v="UCQHtvGiBmW4XIe-21DWpCkw"/>
    <s v="UCqYI3lmZgTsRs202mY15QfA"/>
    <s v="128, 128, 128"/>
    <n v="3"/>
    <m/>
    <n v="40"/>
    <m/>
    <m/>
    <m/>
    <m/>
    <s v="No"/>
    <n v="322"/>
    <m/>
    <m/>
    <s v="Commented Video"/>
    <x v="0"/>
    <s v="When they hurt so much take some butter and put it on it ..pain is gone ..now some medicine off the doctors"/>
    <s v="UCQHtvGiBmW4XIe-21DWpCkw"/>
    <s v="Janette Kreulen"/>
    <s v="http://www.youtube.com/channel/UCQHtvGiBmW4XIe-21DWpCkw"/>
    <m/>
    <s v="V4-3xDi_Ems"/>
    <s v="https://www.youtube.com/watch?v=V4-3xDi_Ems"/>
    <s v="none"/>
    <n v="0"/>
    <x v="319"/>
    <d v="2023-01-18T23:01:08.000"/>
    <m/>
    <m/>
    <m/>
    <n v="1"/>
    <n v="1"/>
    <n v="1"/>
    <n v="0"/>
    <n v="0"/>
    <n v="2"/>
    <n v="9.090909090909092"/>
    <n v="0"/>
    <n v="0"/>
    <n v="3"/>
    <n v="13.636363636363637"/>
    <n v="22"/>
  </r>
  <r>
    <s v="UCJOKlAVIaKm625Qa1D3apdg"/>
    <s v="UCqYI3lmZgTsRs202mY15QfA"/>
    <s v="128, 128, 128"/>
    <n v="3"/>
    <m/>
    <n v="40"/>
    <m/>
    <m/>
    <m/>
    <m/>
    <s v="No"/>
    <n v="323"/>
    <m/>
    <m/>
    <s v="Commented Video"/>
    <x v="0"/>
    <s v="Witch hazel may help.... But it feels like 🔥🔥🔥😆"/>
    <s v="UCJOKlAVIaKm625Qa1D3apdg"/>
    <s v="Tina Pen"/>
    <s v="http://www.youtube.com/channel/UCJOKlAVIaKm625Qa1D3apdg"/>
    <m/>
    <s v="V4-3xDi_Ems"/>
    <s v="https://www.youtube.com/watch?v=V4-3xDi_Ems"/>
    <s v="none"/>
    <n v="0"/>
    <x v="320"/>
    <d v="2023-01-19T08:46:43.000"/>
    <m/>
    <m/>
    <m/>
    <n v="1"/>
    <n v="1"/>
    <n v="1"/>
    <n v="1"/>
    <n v="12.5"/>
    <n v="0"/>
    <n v="0"/>
    <n v="0"/>
    <n v="0"/>
    <n v="4"/>
    <n v="50"/>
    <n v="8"/>
  </r>
  <r>
    <s v="UCcN_x86Rnu0epComA-hiO8w"/>
    <s v="UCqYI3lmZgTsRs202mY15QfA"/>
    <s v="128, 128, 128"/>
    <n v="3"/>
    <m/>
    <n v="40"/>
    <m/>
    <m/>
    <m/>
    <m/>
    <s v="No"/>
    <n v="324"/>
    <m/>
    <m/>
    <s v="Commented Video"/>
    <x v="0"/>
    <s v="What an informative comedy act you two have. You put a huge smile on my face &amp;amp; also informed me, in a roundabout way, why I don&amp;#39;t have hemorrhoids. Thanks!"/>
    <s v="UCcN_x86Rnu0epComA-hiO8w"/>
    <s v="KA 63"/>
    <s v="http://www.youtube.com/channel/UCcN_x86Rnu0epComA-hiO8w"/>
    <m/>
    <s v="V4-3xDi_Ems"/>
    <s v="https://www.youtube.com/watch?v=V4-3xDi_Ems"/>
    <s v="none"/>
    <n v="0"/>
    <x v="321"/>
    <d v="2023-01-23T23:28:35.000"/>
    <m/>
    <m/>
    <m/>
    <n v="1"/>
    <n v="1"/>
    <n v="1"/>
    <n v="1"/>
    <n v="3.125"/>
    <n v="0"/>
    <n v="0"/>
    <n v="0"/>
    <n v="0"/>
    <n v="7"/>
    <n v="21.875"/>
    <n v="32"/>
  </r>
  <r>
    <s v="UCCRjdC3KoZxwvOGRyuqUHNA"/>
    <s v="UCqYI3lmZgTsRs202mY15QfA"/>
    <s v="128, 128, 128"/>
    <n v="3"/>
    <m/>
    <n v="40"/>
    <m/>
    <m/>
    <m/>
    <m/>
    <s v="No"/>
    <n v="325"/>
    <m/>
    <m/>
    <s v="Commented Video"/>
    <x v="0"/>
    <s v="Thank you for the information for hemorrhoids I have one and I&amp;#39;d love to get rid of it nothing seems to help not even the witch hazel"/>
    <s v="UCCRjdC3KoZxwvOGRyuqUHNA"/>
    <s v="Lavonne McDowell"/>
    <s v="http://www.youtube.com/channel/UCCRjdC3KoZxwvOGRyuqUHNA"/>
    <m/>
    <s v="V4-3xDi_Ems"/>
    <s v="https://www.youtube.com/watch?v=V4-3xDi_Ems"/>
    <s v="none"/>
    <n v="0"/>
    <x v="322"/>
    <d v="2023-01-25T08:02:20.000"/>
    <m/>
    <m/>
    <m/>
    <n v="1"/>
    <n v="1"/>
    <n v="1"/>
    <n v="1"/>
    <n v="3.4482758620689653"/>
    <n v="0"/>
    <n v="0"/>
    <n v="0"/>
    <n v="0"/>
    <n v="6"/>
    <n v="20.689655172413794"/>
    <n v="29"/>
  </r>
  <r>
    <s v="UCiKBcZH5WpqkNragUeGjbsw"/>
    <s v="UCqYI3lmZgTsRs202mY15QfA"/>
    <s v="128, 128, 128"/>
    <n v="3"/>
    <m/>
    <n v="40"/>
    <m/>
    <m/>
    <m/>
    <m/>
    <s v="No"/>
    <n v="326"/>
    <m/>
    <m/>
    <s v="Commented Video"/>
    <x v="0"/>
    <s v="Many many years ago my father took great delight in sending to friends unlucky enough to have had hemorrhoid surgery get well wishes for a “Happy New Rear”! 😂"/>
    <s v="UCiKBcZH5WpqkNragUeGjbsw"/>
    <s v="Gail Devlin"/>
    <s v="http://www.youtube.com/channel/UCiKBcZH5WpqkNragUeGjbsw"/>
    <m/>
    <s v="V4-3xDi_Ems"/>
    <s v="https://www.youtube.com/watch?v=V4-3xDi_Ems"/>
    <s v="none"/>
    <n v="7"/>
    <x v="323"/>
    <d v="2023-01-25T09:14:28.000"/>
    <m/>
    <m/>
    <m/>
    <n v="1"/>
    <n v="1"/>
    <n v="1"/>
    <n v="4"/>
    <n v="14.285714285714286"/>
    <n v="1"/>
    <n v="3.5714285714285716"/>
    <n v="0"/>
    <n v="0"/>
    <n v="7"/>
    <n v="25"/>
    <n v="28"/>
  </r>
  <r>
    <s v="UCiZbT9iTYwv7qXCe91DBZyg"/>
    <s v="UCqYI3lmZgTsRs202mY15QfA"/>
    <s v="128, 128, 128"/>
    <n v="3"/>
    <m/>
    <n v="40"/>
    <m/>
    <m/>
    <m/>
    <m/>
    <s v="No"/>
    <n v="327"/>
    <m/>
    <m/>
    <s v="Commented Video"/>
    <x v="0"/>
    <s v="There are tons of food with fiber.. you don&amp;#39;t need that cereal or that stupid ass pill they showed"/>
    <s v="UCiZbT9iTYwv7qXCe91DBZyg"/>
    <s v="ydog 21"/>
    <s v="http://www.youtube.com/channel/UCiZbT9iTYwv7qXCe91DBZyg"/>
    <m/>
    <s v="V4-3xDi_Ems"/>
    <s v="https://www.youtube.com/watch?v=V4-3xDi_Ems"/>
    <s v="none"/>
    <n v="0"/>
    <x v="324"/>
    <d v="2023-02-04T22:06:47.000"/>
    <m/>
    <m/>
    <m/>
    <n v="1"/>
    <n v="1"/>
    <n v="1"/>
    <n v="0"/>
    <n v="0"/>
    <n v="1"/>
    <n v="4.761904761904762"/>
    <n v="0"/>
    <n v="0"/>
    <n v="6"/>
    <n v="28.571428571428573"/>
    <n v="21"/>
  </r>
  <r>
    <s v="UC4hEZySpsjWnQ8w_e7MXPCQ"/>
    <s v="UCqYI3lmZgTsRs202mY15QfA"/>
    <s v="128, 128, 128"/>
    <n v="3"/>
    <m/>
    <n v="40"/>
    <m/>
    <m/>
    <m/>
    <m/>
    <s v="No"/>
    <n v="328"/>
    <m/>
    <m/>
    <s v="Commented Video"/>
    <x v="0"/>
    <s v="And of course....Don&amp;#39;t PUSH!!!"/>
    <s v="UC4hEZySpsjWnQ8w_e7MXPCQ"/>
    <s v="Mario Dalla Riva"/>
    <s v="http://www.youtube.com/channel/UC4hEZySpsjWnQ8w_e7MXPCQ"/>
    <m/>
    <s v="V4-3xDi_Ems"/>
    <s v="https://www.youtube.com/watch?v=V4-3xDi_Ems"/>
    <s v="none"/>
    <n v="0"/>
    <x v="325"/>
    <d v="2023-02-08T06:56:15.000"/>
    <m/>
    <m/>
    <m/>
    <n v="1"/>
    <n v="1"/>
    <n v="1"/>
    <n v="0"/>
    <n v="0"/>
    <n v="0"/>
    <n v="0"/>
    <n v="0"/>
    <n v="0"/>
    <n v="2"/>
    <n v="28.571428571428573"/>
    <n v="7"/>
  </r>
  <r>
    <s v="UClPbFK_pUry7uOztIDXTzFA"/>
    <s v="UCqYI3lmZgTsRs202mY15QfA"/>
    <s v="128, 128, 128"/>
    <n v="3"/>
    <m/>
    <n v="40"/>
    <m/>
    <m/>
    <m/>
    <m/>
    <s v="No"/>
    <n v="329"/>
    <m/>
    <m/>
    <s v="Commented Video"/>
    <x v="0"/>
    <s v="They are giving wholeeome advice!!"/>
    <s v="UClPbFK_pUry7uOztIDXTzFA"/>
    <s v="Yellowdayz"/>
    <s v="http://www.youtube.com/channel/UClPbFK_pUry7uOztIDXTzFA"/>
    <m/>
    <s v="V4-3xDi_Ems"/>
    <s v="https://www.youtube.com/watch?v=V4-3xDi_Ems"/>
    <s v="none"/>
    <n v="0"/>
    <x v="326"/>
    <d v="2023-02-11T21:07:38.000"/>
    <m/>
    <m/>
    <m/>
    <n v="1"/>
    <n v="1"/>
    <n v="1"/>
    <n v="0"/>
    <n v="0"/>
    <n v="0"/>
    <n v="0"/>
    <n v="0"/>
    <n v="0"/>
    <n v="2"/>
    <n v="40"/>
    <n v="5"/>
  </r>
  <r>
    <s v="UCmPPPh4m4vMf0NrkaK5xAhg"/>
    <s v="UCqYI3lmZgTsRs202mY15QfA"/>
    <s v="128, 128, 128"/>
    <n v="3"/>
    <m/>
    <n v="40"/>
    <m/>
    <m/>
    <m/>
    <m/>
    <s v="No"/>
    <n v="330"/>
    <m/>
    <m/>
    <s v="Commented Video"/>
    <x v="0"/>
    <s v="Were witches harmed in the production of witch hazel?  May need a warning label."/>
    <s v="UCmPPPh4m4vMf0NrkaK5xAhg"/>
    <s v="Michael Kurtz"/>
    <s v="http://www.youtube.com/channel/UCmPPPh4m4vMf0NrkaK5xAhg"/>
    <m/>
    <s v="V4-3xDi_Ems"/>
    <s v="https://www.youtube.com/watch?v=V4-3xDi_Ems"/>
    <s v="none"/>
    <n v="8"/>
    <x v="327"/>
    <d v="2023-02-12T02:50:05.000"/>
    <m/>
    <m/>
    <m/>
    <n v="1"/>
    <n v="1"/>
    <n v="1"/>
    <n v="0"/>
    <n v="0"/>
    <n v="2"/>
    <n v="14.285714285714286"/>
    <n v="0"/>
    <n v="0"/>
    <n v="5"/>
    <n v="35.714285714285715"/>
    <n v="14"/>
  </r>
  <r>
    <s v="UCKyt0UeInvKMc7fjxiaWXUw"/>
    <s v="UCqYI3lmZgTsRs202mY15QfA"/>
    <s v="128, 128, 128"/>
    <n v="3"/>
    <m/>
    <n v="40"/>
    <m/>
    <m/>
    <m/>
    <m/>
    <s v="No"/>
    <n v="331"/>
    <m/>
    <m/>
    <s v="Commented Video"/>
    <x v="0"/>
    <s v="Jejeje 😃"/>
    <s v="UCKyt0UeInvKMc7fjxiaWXUw"/>
    <s v="Lena Martinez"/>
    <s v="http://www.youtube.com/channel/UCKyt0UeInvKMc7fjxiaWXUw"/>
    <m/>
    <s v="V4-3xDi_Ems"/>
    <s v="https://www.youtube.com/watch?v=V4-3xDi_Ems"/>
    <s v="none"/>
    <n v="0"/>
    <x v="328"/>
    <d v="2023-02-20T10:04:56.000"/>
    <m/>
    <m/>
    <m/>
    <n v="1"/>
    <n v="1"/>
    <n v="1"/>
    <n v="0"/>
    <n v="0"/>
    <n v="0"/>
    <n v="0"/>
    <n v="0"/>
    <n v="0"/>
    <n v="1"/>
    <n v="100"/>
    <n v="1"/>
  </r>
  <r>
    <s v="UCMPWTMZirc5o6tTUlxlUX_w"/>
    <s v="UCqYI3lmZgTsRs202mY15QfA"/>
    <s v="128, 128, 128"/>
    <n v="3"/>
    <m/>
    <n v="40"/>
    <m/>
    <m/>
    <m/>
    <m/>
    <s v="No"/>
    <n v="332"/>
    <m/>
    <m/>
    <s v="Commented Video"/>
    <x v="0"/>
    <s v="Thank you 😁"/>
    <s v="UCMPWTMZirc5o6tTUlxlUX_w"/>
    <s v="bertha jean-marie"/>
    <s v="http://www.youtube.com/channel/UCMPWTMZirc5o6tTUlxlUX_w"/>
    <m/>
    <s v="V4-3xDi_Ems"/>
    <s v="https://www.youtube.com/watch?v=V4-3xDi_Ems"/>
    <s v="none"/>
    <n v="0"/>
    <x v="329"/>
    <d v="2023-02-20T22:14:58.000"/>
    <m/>
    <m/>
    <m/>
    <n v="1"/>
    <n v="1"/>
    <n v="1"/>
    <n v="0"/>
    <n v="0"/>
    <n v="0"/>
    <n v="0"/>
    <n v="0"/>
    <n v="0"/>
    <n v="0"/>
    <n v="0"/>
    <n v="2"/>
  </r>
  <r>
    <s v="UCW81PJj55yOXCVzFUNjJW8Q"/>
    <s v="UCqYI3lmZgTsRs202mY15QfA"/>
    <s v="128, 128, 128"/>
    <n v="3"/>
    <m/>
    <n v="40"/>
    <m/>
    <m/>
    <m/>
    <m/>
    <s v="No"/>
    <n v="333"/>
    <m/>
    <m/>
    <s v="Commented Video"/>
    <x v="0"/>
    <s v="Totally forgot about all brand bud ty for the reminder."/>
    <s v="UCW81PJj55yOXCVzFUNjJW8Q"/>
    <s v="JENNIFER KENT"/>
    <s v="http://www.youtube.com/channel/UCW81PJj55yOXCVzFUNjJW8Q"/>
    <m/>
    <s v="V4-3xDi_Ems"/>
    <s v="https://www.youtube.com/watch?v=V4-3xDi_Ems"/>
    <s v="none"/>
    <n v="0"/>
    <x v="330"/>
    <d v="2023-03-09T21:05:05.000"/>
    <m/>
    <m/>
    <m/>
    <n v="1"/>
    <n v="1"/>
    <n v="1"/>
    <n v="0"/>
    <n v="0"/>
    <n v="0"/>
    <n v="0"/>
    <n v="0"/>
    <n v="0"/>
    <n v="6"/>
    <n v="60"/>
    <n v="10"/>
  </r>
  <r>
    <s v="UClYDXUzNPVKFub4eNdO1HhA"/>
    <s v="UCqYI3lmZgTsRs202mY15QfA"/>
    <s v="141, 115, 115"/>
    <n v="6.5"/>
    <m/>
    <n v="27.5"/>
    <m/>
    <m/>
    <m/>
    <m/>
    <s v="No"/>
    <n v="334"/>
    <m/>
    <m/>
    <s v="Commented Video"/>
    <x v="0"/>
    <s v="Why the hell do you want more trucks and busses in your bowel? What you need is a lot more oils and fats. Leave the fiber out altother. Let the food slide out."/>
    <s v="UClYDXUzNPVKFub4eNdO1HhA"/>
    <s v="Pepper"/>
    <s v="http://www.youtube.com/channel/UClYDXUzNPVKFub4eNdO1HhA"/>
    <m/>
    <s v="V4-3xDi_Ems"/>
    <s v="https://www.youtube.com/watch?v=V4-3xDi_Ems"/>
    <s v="none"/>
    <n v="0"/>
    <x v="331"/>
    <d v="2023-03-10T04:45:39.000"/>
    <m/>
    <m/>
    <m/>
    <n v="4"/>
    <n v="1"/>
    <n v="1"/>
    <n v="0"/>
    <n v="0"/>
    <n v="1"/>
    <n v="3.0303030303030303"/>
    <n v="0"/>
    <n v="0"/>
    <n v="11"/>
    <n v="33.333333333333336"/>
    <n v="33"/>
  </r>
  <r>
    <s v="UCD3uSyJlev8CTgz8QCiXbmQ"/>
    <s v="UCqYI3lmZgTsRs202mY15QfA"/>
    <s v="128, 128, 128"/>
    <n v="3"/>
    <m/>
    <n v="40"/>
    <m/>
    <m/>
    <m/>
    <m/>
    <s v="No"/>
    <n v="335"/>
    <m/>
    <m/>
    <s v="Commented Video"/>
    <x v="0"/>
    <s v="Go to prison 😂"/>
    <s v="UCD3uSyJlev8CTgz8QCiXbmQ"/>
    <s v="Paul Grimm"/>
    <s v="http://www.youtube.com/channel/UCD3uSyJlev8CTgz8QCiXbmQ"/>
    <m/>
    <s v="V4-3xDi_Ems"/>
    <s v="https://www.youtube.com/watch?v=V4-3xDi_Ems"/>
    <s v="none"/>
    <n v="0"/>
    <x v="332"/>
    <d v="2023-03-23T07:21:46.000"/>
    <m/>
    <m/>
    <m/>
    <n v="1"/>
    <n v="1"/>
    <n v="1"/>
    <n v="0"/>
    <n v="0"/>
    <n v="1"/>
    <n v="33.333333333333336"/>
    <n v="0"/>
    <n v="0"/>
    <n v="0"/>
    <n v="0"/>
    <n v="3"/>
  </r>
  <r>
    <s v="UCjT5bapFUBrqwzyo9Q2SoKw"/>
    <s v="UCqYI3lmZgTsRs202mY15QfA"/>
    <s v="128, 128, 128"/>
    <n v="3"/>
    <m/>
    <n v="40"/>
    <m/>
    <m/>
    <m/>
    <m/>
    <s v="No"/>
    <n v="336"/>
    <m/>
    <m/>
    <s v="Commented Video"/>
    <x v="0"/>
    <s v="Having Dr Igho as my doctor is also a positivity that I don&amp;#39;t really have to bother about any sickness or virus, because your herbal medication of heamorroid  has shown not only me but the world how good your products are and I&amp;#39;ll keep recommending you."/>
    <s v="UCjT5bapFUBrqwzyo9Q2SoKw"/>
    <s v="Bukar Idris"/>
    <s v="http://www.youtube.com/channel/UCjT5bapFUBrqwzyo9Q2SoKw"/>
    <m/>
    <s v="V4-3xDi_Ems"/>
    <s v="https://www.youtube.com/watch?v=V4-3xDi_Ems"/>
    <s v="none"/>
    <n v="0"/>
    <x v="333"/>
    <d v="2023-03-23T15:47:48.000"/>
    <m/>
    <m/>
    <m/>
    <n v="1"/>
    <n v="1"/>
    <n v="1"/>
    <n v="1"/>
    <n v="2"/>
    <n v="3"/>
    <n v="6"/>
    <n v="0"/>
    <n v="0"/>
    <n v="12"/>
    <n v="24"/>
    <n v="50"/>
  </r>
  <r>
    <s v="UCeBRQP-I5Xo7j92Lq4ItRlg"/>
    <s v="UCqYI3lmZgTsRs202mY15QfA"/>
    <s v="128, 128, 128"/>
    <n v="3"/>
    <m/>
    <n v="40"/>
    <m/>
    <m/>
    <m/>
    <m/>
    <s v="No"/>
    <n v="337"/>
    <m/>
    <m/>
    <s v="Commented Video"/>
    <x v="0"/>
    <s v="Yep! As soon as I did that with fiber and adding more veggies they went away!"/>
    <s v="UCeBRQP-I5Xo7j92Lq4ItRlg"/>
    <s v="Susan Ferrazzano"/>
    <s v="http://www.youtube.com/channel/UCeBRQP-I5Xo7j92Lq4ItRlg"/>
    <m/>
    <s v="V4-3xDi_Ems"/>
    <s v="https://www.youtube.com/watch?v=V4-3xDi_Ems"/>
    <s v="none"/>
    <n v="28"/>
    <x v="334"/>
    <d v="2023-03-24T09:17:47.000"/>
    <m/>
    <m/>
    <m/>
    <n v="1"/>
    <n v="1"/>
    <n v="1"/>
    <n v="0"/>
    <n v="0"/>
    <n v="0"/>
    <n v="0"/>
    <n v="0"/>
    <n v="0"/>
    <n v="4"/>
    <n v="25"/>
    <n v="16"/>
  </r>
  <r>
    <s v="UCTnWh-9ays8w2Wu7OaXZ8UA"/>
    <s v="UCqYI3lmZgTsRs202mY15QfA"/>
    <s v="128, 128, 128"/>
    <n v="3"/>
    <m/>
    <n v="40"/>
    <m/>
    <m/>
    <m/>
    <m/>
    <s v="No"/>
    <n v="338"/>
    <m/>
    <m/>
    <s v="Commented Video"/>
    <x v="0"/>
    <s v="Fibre doesn&amp;#39;t help.  Eating meat heals."/>
    <s v="UCTnWh-9ays8w2Wu7OaXZ8UA"/>
    <s v="Annabella the happy carnivore"/>
    <s v="http://www.youtube.com/channel/UCTnWh-9ays8w2Wu7OaXZ8UA"/>
    <m/>
    <s v="V4-3xDi_Ems"/>
    <s v="https://www.youtube.com/watch?v=V4-3xDi_Ems"/>
    <s v="none"/>
    <n v="3"/>
    <x v="335"/>
    <d v="2023-03-24T20:15:21.000"/>
    <m/>
    <m/>
    <m/>
    <n v="1"/>
    <n v="1"/>
    <n v="1"/>
    <n v="0"/>
    <n v="0"/>
    <n v="0"/>
    <n v="0"/>
    <n v="0"/>
    <n v="0"/>
    <n v="5"/>
    <n v="62.5"/>
    <n v="8"/>
  </r>
  <r>
    <s v="UCx_-HOt8ALx3s0XSRgnXh5w"/>
    <s v="UCqYI3lmZgTsRs202mY15QfA"/>
    <s v="128, 128, 128"/>
    <n v="3"/>
    <m/>
    <n v="40"/>
    <m/>
    <m/>
    <m/>
    <m/>
    <s v="No"/>
    <n v="339"/>
    <m/>
    <m/>
    <s v="Commented Video"/>
    <x v="0"/>
    <s v="Just try black cummin oil, one teaspoon in the morning and one teaspoon 2-3 hours before bed. Cheers"/>
    <s v="UCx_-HOt8ALx3s0XSRgnXh5w"/>
    <s v="Jovan Jecinac"/>
    <s v="http://www.youtube.com/channel/UCx_-HOt8ALx3s0XSRgnXh5w"/>
    <m/>
    <s v="V4-3xDi_Ems"/>
    <s v="https://www.youtube.com/watch?v=V4-3xDi_Ems"/>
    <s v="none"/>
    <n v="0"/>
    <x v="336"/>
    <d v="2023-03-25T14:16:42.000"/>
    <m/>
    <m/>
    <m/>
    <n v="1"/>
    <n v="1"/>
    <n v="1"/>
    <n v="0"/>
    <n v="0"/>
    <n v="0"/>
    <n v="0"/>
    <n v="0"/>
    <n v="0"/>
    <n v="9"/>
    <n v="47.36842105263158"/>
    <n v="19"/>
  </r>
  <r>
    <s v="UCA9InjazaazxiJNPisbVvZQ"/>
    <s v="UCqYI3lmZgTsRs202mY15QfA"/>
    <s v="128, 128, 128"/>
    <n v="3"/>
    <m/>
    <n v="40"/>
    <m/>
    <m/>
    <m/>
    <m/>
    <s v="No"/>
    <n v="340"/>
    <m/>
    <m/>
    <s v="Commented Video"/>
    <x v="0"/>
    <s v="LOL...I can&amp;#39;t with these two. Witch hazel brought back so unwanted memories😂"/>
    <s v="UCA9InjazaazxiJNPisbVvZQ"/>
    <s v="Dee C"/>
    <s v="http://www.youtube.com/channel/UCA9InjazaazxiJNPisbVvZQ"/>
    <m/>
    <s v="V4-3xDi_Ems"/>
    <s v="https://www.youtube.com/watch?v=V4-3xDi_Ems"/>
    <s v="none"/>
    <n v="0"/>
    <x v="337"/>
    <d v="2023-03-26T05:23:17.000"/>
    <m/>
    <m/>
    <m/>
    <n v="1"/>
    <n v="1"/>
    <n v="1"/>
    <n v="0"/>
    <n v="0"/>
    <n v="1"/>
    <n v="6.666666666666667"/>
    <n v="0"/>
    <n v="0"/>
    <n v="5"/>
    <n v="33.333333333333336"/>
    <n v="15"/>
  </r>
  <r>
    <s v="UCwdUB2kln_cAWXRgsRLrhxA"/>
    <s v="UCqYI3lmZgTsRs202mY15QfA"/>
    <s v="128, 128, 128"/>
    <n v="3"/>
    <m/>
    <n v="40"/>
    <m/>
    <m/>
    <m/>
    <m/>
    <s v="No"/>
    <n v="341"/>
    <m/>
    <m/>
    <s v="Commented Video"/>
    <x v="0"/>
    <s v="Bull CRAP!? FIBER WILL ABSOLUTELY IRRITATE YOUR COLON AND HEMMAROIDS!!"/>
    <s v="UCwdUB2kln_cAWXRgsRLrhxA"/>
    <s v="Nancy Gorham"/>
    <s v="http://www.youtube.com/channel/UCwdUB2kln_cAWXRgsRLrhxA"/>
    <m/>
    <s v="V4-3xDi_Ems"/>
    <s v="https://www.youtube.com/watch?v=V4-3xDi_Ems"/>
    <s v="none"/>
    <n v="0"/>
    <x v="338"/>
    <d v="2023-03-28T01:44:09.000"/>
    <m/>
    <m/>
    <m/>
    <n v="1"/>
    <n v="1"/>
    <n v="1"/>
    <n v="0"/>
    <n v="0"/>
    <n v="2"/>
    <n v="20"/>
    <n v="0"/>
    <n v="0"/>
    <n v="5"/>
    <n v="50"/>
    <n v="10"/>
  </r>
  <r>
    <s v="UCPLxI8dQXDdc1vD7toIIS0A"/>
    <s v="UCqYI3lmZgTsRs202mY15QfA"/>
    <s v="128, 128, 128"/>
    <n v="3"/>
    <m/>
    <n v="40"/>
    <m/>
    <m/>
    <m/>
    <m/>
    <s v="No"/>
    <n v="342"/>
    <m/>
    <m/>
    <s v="Commented Video"/>
    <x v="0"/>
    <s v="Is this the same way to prevent/heal for the internal ones?"/>
    <s v="UCPLxI8dQXDdc1vD7toIIS0A"/>
    <s v="inapicklenow"/>
    <s v="http://www.youtube.com/channel/UCPLxI8dQXDdc1vD7toIIS0A"/>
    <m/>
    <s v="V4-3xDi_Ems"/>
    <s v="https://www.youtube.com/watch?v=V4-3xDi_Ems"/>
    <s v="none"/>
    <n v="0"/>
    <x v="339"/>
    <d v="2023-04-03T06:59:48.000"/>
    <m/>
    <m/>
    <m/>
    <n v="1"/>
    <n v="1"/>
    <n v="1"/>
    <n v="1"/>
    <n v="8.333333333333334"/>
    <n v="0"/>
    <n v="0"/>
    <n v="0"/>
    <n v="0"/>
    <n v="2"/>
    <n v="16.666666666666668"/>
    <n v="12"/>
  </r>
  <r>
    <s v="UCuB3gfOt-6D-hJVnJTbGcWA"/>
    <s v="UCqYI3lmZgTsRs202mY15QfA"/>
    <s v="128, 128, 128"/>
    <n v="3"/>
    <m/>
    <n v="40"/>
    <m/>
    <m/>
    <m/>
    <m/>
    <s v="No"/>
    <n v="343"/>
    <m/>
    <m/>
    <s v="Commented Video"/>
    <x v="0"/>
    <s v="Crohn&amp;#39;s disease flare-up is the reason I suffer from them and the blood loss causes anemia, ugh 😮"/>
    <s v="UCuB3gfOt-6D-hJVnJTbGcWA"/>
    <s v="Boater Girl 🥰"/>
    <s v="http://www.youtube.com/channel/UCuB3gfOt-6D-hJVnJTbGcWA"/>
    <m/>
    <s v="V4-3xDi_Ems"/>
    <s v="https://www.youtube.com/watch?v=V4-3xDi_Ems"/>
    <s v="none"/>
    <n v="0"/>
    <x v="340"/>
    <d v="2023-04-22T09:27:08.000"/>
    <m/>
    <m/>
    <m/>
    <n v="1"/>
    <n v="1"/>
    <n v="1"/>
    <n v="0"/>
    <n v="0"/>
    <n v="4"/>
    <n v="20"/>
    <n v="0"/>
    <n v="0"/>
    <n v="5"/>
    <n v="25"/>
    <n v="20"/>
  </r>
  <r>
    <s v="UClp-lFkd6u56G7P1DoIU2Wg"/>
    <s v="UCqYI3lmZgTsRs202mY15QfA"/>
    <s v="128, 128, 128"/>
    <n v="3"/>
    <m/>
    <n v="40"/>
    <m/>
    <m/>
    <m/>
    <m/>
    <s v="No"/>
    <n v="344"/>
    <m/>
    <m/>
    <s v="Commented Video"/>
    <x v="0"/>
    <s v="Love ❤️"/>
    <s v="UClp-lFkd6u56G7P1DoIU2Wg"/>
    <s v="Paul Poppenfuse"/>
    <s v="http://www.youtube.com/channel/UClp-lFkd6u56G7P1DoIU2Wg"/>
    <m/>
    <s v="V4-3xDi_Ems"/>
    <s v="https://www.youtube.com/watch?v=V4-3xDi_Ems"/>
    <s v="none"/>
    <n v="0"/>
    <x v="341"/>
    <d v="2023-04-27T16:31:41.000"/>
    <m/>
    <m/>
    <m/>
    <n v="1"/>
    <n v="1"/>
    <n v="1"/>
    <n v="1"/>
    <n v="100"/>
    <n v="0"/>
    <n v="0"/>
    <n v="0"/>
    <n v="0"/>
    <n v="0"/>
    <n v="0"/>
    <n v="1"/>
  </r>
  <r>
    <s v="UCpN1ODs7Ah-GPGiqE9JK0sw"/>
    <s v="UCqYI3lmZgTsRs202mY15QfA"/>
    <s v="128, 128, 128"/>
    <n v="3"/>
    <m/>
    <n v="40"/>
    <m/>
    <m/>
    <m/>
    <m/>
    <s v="No"/>
    <n v="345"/>
    <m/>
    <m/>
    <s v="Commented Video"/>
    <x v="0"/>
    <s v="I know you can use is Vicks put on hemorrhoids they go away no lying"/>
    <s v="UCpN1ODs7Ah-GPGiqE9JK0sw"/>
    <s v="Linda Harris"/>
    <s v="http://www.youtube.com/channel/UCpN1ODs7Ah-GPGiqE9JK0sw"/>
    <m/>
    <s v="V4-3xDi_Ems"/>
    <s v="https://www.youtube.com/watch?v=V4-3xDi_Ems"/>
    <s v="none"/>
    <n v="0"/>
    <x v="342"/>
    <d v="2023-04-29T06:53:02.000"/>
    <m/>
    <m/>
    <m/>
    <n v="1"/>
    <n v="1"/>
    <n v="1"/>
    <n v="0"/>
    <n v="0"/>
    <n v="1"/>
    <n v="6.666666666666667"/>
    <n v="0"/>
    <n v="0"/>
    <n v="2"/>
    <n v="13.333333333333334"/>
    <n v="15"/>
  </r>
  <r>
    <s v="UCIB0Xmyn-AUtGloBCErYsFg"/>
    <s v="UCqYI3lmZgTsRs202mY15QfA"/>
    <s v="128, 128, 128"/>
    <n v="3"/>
    <m/>
    <n v="40"/>
    <m/>
    <m/>
    <m/>
    <m/>
    <s v="No"/>
    <n v="346"/>
    <m/>
    <m/>
    <s v="Commented Video"/>
    <x v="0"/>
    <s v="All bran it is 😁"/>
    <s v="UCIB0Xmyn-AUtGloBCErYsFg"/>
    <s v="WANO"/>
    <s v="http://www.youtube.com/channel/UCIB0Xmyn-AUtGloBCErYsFg"/>
    <m/>
    <s v="V4-3xDi_Ems"/>
    <s v="https://www.youtube.com/watch?v=V4-3xDi_Ems"/>
    <s v="none"/>
    <n v="0"/>
    <x v="343"/>
    <d v="2023-05-03T12:14:55.000"/>
    <m/>
    <m/>
    <m/>
    <n v="1"/>
    <n v="1"/>
    <n v="1"/>
    <n v="0"/>
    <n v="0"/>
    <n v="0"/>
    <n v="0"/>
    <n v="0"/>
    <n v="0"/>
    <n v="1"/>
    <n v="25"/>
    <n v="4"/>
  </r>
  <r>
    <s v="UCbqN9YkySTk_SOinIUNcZAQ"/>
    <s v="UCqYI3lmZgTsRs202mY15QfA"/>
    <s v="128, 128, 128"/>
    <n v="3"/>
    <m/>
    <n v="40"/>
    <m/>
    <m/>
    <m/>
    <m/>
    <s v="No"/>
    <n v="347"/>
    <m/>
    <m/>
    <s v="Commented Video"/>
    <x v="0"/>
    <s v="I got no real pain just dryness/ itching I feel as if I can just get them to stop being inflamed it’ll go back to normal but idk what to do"/>
    <s v="UCbqN9YkySTk_SOinIUNcZAQ"/>
    <s v="B Nep"/>
    <s v="http://www.youtube.com/channel/UCbqN9YkySTk_SOinIUNcZAQ"/>
    <m/>
    <s v="V4-3xDi_Ems"/>
    <s v="https://www.youtube.com/watch?v=V4-3xDi_Ems"/>
    <s v="none"/>
    <n v="0"/>
    <x v="344"/>
    <d v="2023-05-05T22:51:40.000"/>
    <m/>
    <m/>
    <m/>
    <n v="1"/>
    <n v="1"/>
    <n v="1"/>
    <n v="0"/>
    <n v="0"/>
    <n v="2"/>
    <n v="6.25"/>
    <n v="0"/>
    <n v="0"/>
    <n v="9"/>
    <n v="28.125"/>
    <n v="32"/>
  </r>
  <r>
    <s v="UCcewikxALDMFVa3W8YiBYdA"/>
    <s v="UCqYI3lmZgTsRs202mY15QfA"/>
    <s v="128, 128, 128"/>
    <n v="3"/>
    <m/>
    <n v="40"/>
    <m/>
    <m/>
    <m/>
    <m/>
    <s v="No"/>
    <n v="348"/>
    <m/>
    <m/>
    <s v="Commented Video"/>
    <x v="0"/>
    <s v="Hi there, it pains VERY MUCH and bleeds when i poop because of hemmorhoids. Please tell me what to do"/>
    <s v="UCcewikxALDMFVa3W8YiBYdA"/>
    <s v="LYNX PRIME"/>
    <s v="http://www.youtube.com/channel/UCcewikxALDMFVa3W8YiBYdA"/>
    <m/>
    <s v="V4-3xDi_Ems"/>
    <s v="https://www.youtube.com/watch?v=V4-3xDi_Ems"/>
    <s v="none"/>
    <n v="1"/>
    <x v="345"/>
    <d v="2023-05-11T19:07:02.000"/>
    <m/>
    <m/>
    <m/>
    <n v="1"/>
    <n v="1"/>
    <n v="1"/>
    <n v="0"/>
    <n v="0"/>
    <n v="2"/>
    <n v="10"/>
    <n v="0"/>
    <n v="0"/>
    <n v="2"/>
    <n v="10"/>
    <n v="20"/>
  </r>
  <r>
    <s v="UC81ONGO9ynWpnw9Kked6J4g"/>
    <s v="UCqYI3lmZgTsRs202mY15QfA"/>
    <s v="141, 115, 115"/>
    <n v="6.5"/>
    <m/>
    <n v="27.5"/>
    <m/>
    <m/>
    <m/>
    <m/>
    <s v="No"/>
    <n v="349"/>
    <m/>
    <m/>
    <s v="Commented Video"/>
    <x v="0"/>
    <s v="Having a good doctor like Dr Edos is a big blessings to me cause he take good cear of my health with his herbal medications.."/>
    <s v="UC81ONGO9ynWpnw9Kked6J4g"/>
    <s v="Patrick Hererera"/>
    <s v="http://www.youtube.com/channel/UC81ONGO9ynWpnw9Kked6J4g"/>
    <m/>
    <s v="V4-3xDi_Ems"/>
    <s v="https://www.youtube.com/watch?v=V4-3xDi_Ems"/>
    <s v="none"/>
    <n v="0"/>
    <x v="346"/>
    <d v="2023-05-13T13:32:04.000"/>
    <m/>
    <m/>
    <m/>
    <n v="4"/>
    <n v="1"/>
    <n v="1"/>
    <n v="3"/>
    <n v="12"/>
    <n v="0"/>
    <n v="0"/>
    <n v="0"/>
    <n v="0"/>
    <n v="9"/>
    <n v="36"/>
    <n v="25"/>
  </r>
  <r>
    <s v="UCopPTN-b2HEpzV6BfJglhBA"/>
    <s v="UCqYI3lmZgTsRs202mY15QfA"/>
    <s v="128, 128, 128"/>
    <n v="3"/>
    <m/>
    <n v="40"/>
    <m/>
    <m/>
    <m/>
    <m/>
    <s v="No"/>
    <n v="350"/>
    <m/>
    <m/>
    <s v="Commented Video"/>
    <x v="0"/>
    <s v="you guy are great"/>
    <s v="UCopPTN-b2HEpzV6BfJglhBA"/>
    <s v="Darra Smith"/>
    <s v="http://www.youtube.com/channel/UCopPTN-b2HEpzV6BfJglhBA"/>
    <m/>
    <s v="V4-3xDi_Ems"/>
    <s v="https://www.youtube.com/watch?v=V4-3xDi_Ems"/>
    <s v="none"/>
    <n v="0"/>
    <x v="347"/>
    <d v="2023-05-13T19:40:07.000"/>
    <m/>
    <m/>
    <m/>
    <n v="1"/>
    <n v="1"/>
    <n v="1"/>
    <n v="1"/>
    <n v="25"/>
    <n v="0"/>
    <n v="0"/>
    <n v="0"/>
    <n v="0"/>
    <n v="1"/>
    <n v="25"/>
    <n v="4"/>
  </r>
  <r>
    <s v="UCRNFmXcZWkmNOoTjge3218A"/>
    <s v="UCqYI3lmZgTsRs202mY15QfA"/>
    <s v="128, 128, 128"/>
    <n v="3"/>
    <m/>
    <n v="40"/>
    <m/>
    <m/>
    <m/>
    <m/>
    <s v="No"/>
    <n v="351"/>
    <m/>
    <m/>
    <s v="Commented Video"/>
    <x v="0"/>
    <s v="Eat bran!  What if that doesn&amp;#39;t work?  Then eat MORE bran!  Truth!"/>
    <s v="UCRNFmXcZWkmNOoTjge3218A"/>
    <s v="Amarok"/>
    <s v="http://www.youtube.com/channel/UCRNFmXcZWkmNOoTjge3218A"/>
    <m/>
    <s v="V4-3xDi_Ems"/>
    <s v="https://www.youtube.com/watch?v=V4-3xDi_Ems"/>
    <s v="none"/>
    <n v="0"/>
    <x v="348"/>
    <d v="2023-05-16T17:36:38.000"/>
    <m/>
    <m/>
    <m/>
    <n v="1"/>
    <n v="1"/>
    <n v="1"/>
    <n v="1"/>
    <n v="7.142857142857143"/>
    <n v="0"/>
    <n v="0"/>
    <n v="0"/>
    <n v="0"/>
    <n v="5"/>
    <n v="35.714285714285715"/>
    <n v="14"/>
  </r>
  <r>
    <s v="UCHNTL_rs7KpyNuc--HEWbGQ"/>
    <s v="UCqYI3lmZgTsRs202mY15QfA"/>
    <s v="128, 128, 128"/>
    <n v="3"/>
    <m/>
    <n v="40"/>
    <m/>
    <m/>
    <m/>
    <m/>
    <s v="No"/>
    <n v="352"/>
    <m/>
    <m/>
    <s v="Commented Video"/>
    <x v="0"/>
    <s v="Good docs, sense of humor and including other remedies before getting to medication or surgery."/>
    <s v="UCHNTL_rs7KpyNuc--HEWbGQ"/>
    <s v="Francisco Saldana"/>
    <s v="http://www.youtube.com/channel/UCHNTL_rs7KpyNuc--HEWbGQ"/>
    <m/>
    <s v="V4-3xDi_Ems"/>
    <s v="https://www.youtube.com/watch?v=V4-3xDi_Ems"/>
    <s v="none"/>
    <n v="2"/>
    <x v="349"/>
    <d v="2023-05-18T03:48:53.000"/>
    <m/>
    <m/>
    <m/>
    <n v="1"/>
    <n v="1"/>
    <n v="1"/>
    <n v="2"/>
    <n v="13.333333333333334"/>
    <n v="0"/>
    <n v="0"/>
    <n v="0"/>
    <n v="0"/>
    <n v="6"/>
    <n v="40"/>
    <n v="15"/>
  </r>
  <r>
    <s v="UC5GBqVmamEQBr0e56QptREQ"/>
    <s v="UCqYI3lmZgTsRs202mY15QfA"/>
    <s v="128, 128, 128"/>
    <n v="3"/>
    <m/>
    <n v="40"/>
    <m/>
    <m/>
    <m/>
    <m/>
    <s v="No"/>
    <n v="353"/>
    <m/>
    <m/>
    <s v="Commented Video"/>
    <x v="0"/>
    <s v="Bad advice.  For some people, fiber causes constipation leading to strain resulting in hemorrhoids."/>
    <s v="UC5GBqVmamEQBr0e56QptREQ"/>
    <s v="Gina Ripple"/>
    <s v="http://www.youtube.com/channel/UC5GBqVmamEQBr0e56QptREQ"/>
    <m/>
    <s v="V4-3xDi_Ems"/>
    <s v="https://www.youtube.com/watch?v=V4-3xDi_Ems"/>
    <s v="none"/>
    <n v="1"/>
    <x v="350"/>
    <d v="2023-05-19T11:14:44.000"/>
    <m/>
    <m/>
    <m/>
    <n v="1"/>
    <n v="1"/>
    <n v="1"/>
    <n v="1"/>
    <n v="7.142857142857143"/>
    <n v="2"/>
    <n v="14.285714285714286"/>
    <n v="0"/>
    <n v="0"/>
    <n v="6"/>
    <n v="42.857142857142854"/>
    <n v="14"/>
  </r>
  <r>
    <s v="UCo8-cXP4fBBLJUSQlFJd9_A"/>
    <s v="UCqYI3lmZgTsRs202mY15QfA"/>
    <s v="128, 128, 128"/>
    <n v="3"/>
    <m/>
    <n v="40"/>
    <m/>
    <m/>
    <m/>
    <m/>
    <s v="No"/>
    <n v="354"/>
    <m/>
    <m/>
    <s v="Commented Video"/>
    <x v="0"/>
    <s v="Best fiber even if it looks like rat 💩.. hehehe"/>
    <s v="UCo8-cXP4fBBLJUSQlFJd9_A"/>
    <s v="I massage"/>
    <s v="http://www.youtube.com/channel/UCo8-cXP4fBBLJUSQlFJd9_A"/>
    <m/>
    <s v="V4-3xDi_Ems"/>
    <s v="https://www.youtube.com/watch?v=V4-3xDi_Ems"/>
    <s v="none"/>
    <n v="0"/>
    <x v="351"/>
    <d v="2023-05-19T13:42:02.000"/>
    <m/>
    <m/>
    <m/>
    <n v="1"/>
    <n v="1"/>
    <n v="1"/>
    <n v="2"/>
    <n v="22.22222222222222"/>
    <n v="0"/>
    <n v="0"/>
    <n v="0"/>
    <n v="0"/>
    <n v="3"/>
    <n v="33.333333333333336"/>
    <n v="9"/>
  </r>
  <r>
    <s v="UCOIMFZRrN5QDLTqFH8A3Wsg"/>
    <s v="UCqYI3lmZgTsRs202mY15QfA"/>
    <s v="128, 128, 128"/>
    <n v="3"/>
    <m/>
    <n v="40"/>
    <m/>
    <m/>
    <m/>
    <m/>
    <s v="No"/>
    <n v="355"/>
    <m/>
    <m/>
    <s v="Commented Video"/>
    <x v="0"/>
    <s v="Thanks"/>
    <s v="UCOIMFZRrN5QDLTqFH8A3Wsg"/>
    <s v="Kathryn Vecchione"/>
    <s v="http://www.youtube.com/channel/UCOIMFZRrN5QDLTqFH8A3Wsg"/>
    <m/>
    <s v="V4-3xDi_Ems"/>
    <s v="https://www.youtube.com/watch?v=V4-3xDi_Ems"/>
    <s v="none"/>
    <n v="0"/>
    <x v="352"/>
    <d v="2023-05-20T08:30:31.000"/>
    <m/>
    <m/>
    <m/>
    <n v="1"/>
    <n v="1"/>
    <n v="1"/>
    <n v="0"/>
    <n v="0"/>
    <n v="0"/>
    <n v="0"/>
    <n v="0"/>
    <n v="0"/>
    <n v="0"/>
    <n v="0"/>
    <n v="1"/>
  </r>
  <r>
    <s v="UC0ZpNEw9Cx3J6We5RIuxQrA"/>
    <s v="UCqYI3lmZgTsRs202mY15QfA"/>
    <s v="128, 128, 128"/>
    <n v="3"/>
    <m/>
    <n v="40"/>
    <m/>
    <m/>
    <m/>
    <m/>
    <s v="No"/>
    <n v="356"/>
    <m/>
    <m/>
    <s v="Commented Video"/>
    <x v="0"/>
    <s v="🌏🖋️"/>
    <s v="UC0ZpNEw9Cx3J6We5RIuxQrA"/>
    <s v="Datu prince mopak Mangudadatu"/>
    <s v="http://www.youtube.com/channel/UC0ZpNEw9Cx3J6We5RIuxQrA"/>
    <m/>
    <s v="V4-3xDi_Ems"/>
    <s v="https://www.youtube.com/watch?v=V4-3xDi_Ems"/>
    <s v="none"/>
    <n v="0"/>
    <x v="353"/>
    <d v="2023-05-21T04:34:28.000"/>
    <m/>
    <m/>
    <m/>
    <n v="1"/>
    <n v="1"/>
    <n v="1"/>
    <n v="0"/>
    <n v="0"/>
    <n v="0"/>
    <n v="0"/>
    <n v="0"/>
    <n v="0"/>
    <n v="0"/>
    <n v="0"/>
    <n v="0"/>
  </r>
  <r>
    <s v="UCJ4YODtnuwNfSyuY2hVQ1Kw"/>
    <s v="UCqYI3lmZgTsRs202mY15QfA"/>
    <s v="128, 128, 128"/>
    <n v="3"/>
    <m/>
    <n v="40"/>
    <m/>
    <m/>
    <m/>
    <m/>
    <s v="No"/>
    <n v="357"/>
    <m/>
    <m/>
    <s v="Commented Video"/>
    <x v="0"/>
    <s v="Bet there’s a lot of gas in there.   Great info.  Thank you."/>
    <s v="UCJ4YODtnuwNfSyuY2hVQ1Kw"/>
    <s v="Jolene Creech"/>
    <s v="http://www.youtube.com/channel/UCJ4YODtnuwNfSyuY2hVQ1Kw"/>
    <m/>
    <s v="V4-3xDi_Ems"/>
    <s v="https://www.youtube.com/watch?v=V4-3xDi_Ems"/>
    <s v="none"/>
    <n v="0"/>
    <x v="354"/>
    <d v="2023-05-21T10:46:17.000"/>
    <m/>
    <m/>
    <m/>
    <n v="1"/>
    <n v="1"/>
    <n v="1"/>
    <n v="1"/>
    <n v="7.6923076923076925"/>
    <n v="0"/>
    <n v="0"/>
    <n v="0"/>
    <n v="0"/>
    <n v="4"/>
    <n v="30.76923076923077"/>
    <n v="13"/>
  </r>
  <r>
    <s v="UCP5dBTmSDsXKqvBhaEJhwfA"/>
    <s v="UCqYI3lmZgTsRs202mY15QfA"/>
    <s v="141, 115, 115"/>
    <n v="6.5"/>
    <m/>
    <n v="27.5"/>
    <m/>
    <m/>
    <m/>
    <m/>
    <s v="No"/>
    <n v="358"/>
    <m/>
    <m/>
    <s v="Commented Video"/>
    <x v="0"/>
    <s v="Funny"/>
    <s v="UCP5dBTmSDsXKqvBhaEJhwfA"/>
    <s v="Lorna Hay"/>
    <s v="http://www.youtube.com/channel/UCP5dBTmSDsXKqvBhaEJhwfA"/>
    <m/>
    <s v="V4-3xDi_Ems"/>
    <s v="https://www.youtube.com/watch?v=V4-3xDi_Ems"/>
    <s v="none"/>
    <n v="0"/>
    <x v="355"/>
    <d v="2023-05-22T20:10:46.000"/>
    <m/>
    <m/>
    <m/>
    <n v="4"/>
    <n v="1"/>
    <n v="1"/>
    <n v="0"/>
    <n v="0"/>
    <n v="1"/>
    <n v="100"/>
    <n v="0"/>
    <n v="0"/>
    <n v="0"/>
    <n v="0"/>
    <n v="1"/>
  </r>
  <r>
    <s v="UCKgIdW_1XgMso83-cHlZm-g"/>
    <s v="UCqYI3lmZgTsRs202mY15QfA"/>
    <s v="128, 128, 128"/>
    <n v="3"/>
    <m/>
    <n v="40"/>
    <m/>
    <m/>
    <m/>
    <m/>
    <s v="No"/>
    <n v="359"/>
    <m/>
    <m/>
    <s v="Commented Video"/>
    <x v="0"/>
    <s v="Sorry....as a hemmeroid sufferer for over 40 decades none of your remedies work....&lt;br&gt;The only thing thst did was having them strangulated with rubber bands performed by hemmeroid specislists"/>
    <s v="UCKgIdW_1XgMso83-cHlZm-g"/>
    <s v="Teresa Fraser"/>
    <s v="http://www.youtube.com/channel/UCKgIdW_1XgMso83-cHlZm-g"/>
    <m/>
    <s v="V4-3xDi_Ems"/>
    <s v="https://www.youtube.com/watch?v=V4-3xDi_Ems"/>
    <s v="none"/>
    <n v="3"/>
    <x v="356"/>
    <d v="2023-05-23T01:08:13.000"/>
    <m/>
    <m/>
    <m/>
    <n v="1"/>
    <n v="1"/>
    <n v="1"/>
    <n v="1"/>
    <n v="3.225806451612903"/>
    <n v="1"/>
    <n v="3.225806451612903"/>
    <n v="0"/>
    <n v="0"/>
    <n v="12"/>
    <n v="38.70967741935484"/>
    <n v="31"/>
  </r>
  <r>
    <s v="UCoLxR3-lIvkT0o_EyUyVrVA"/>
    <s v="UCqYI3lmZgTsRs202mY15QfA"/>
    <s v="128, 128, 128"/>
    <n v="3"/>
    <m/>
    <n v="40"/>
    <m/>
    <m/>
    <m/>
    <m/>
    <s v="No"/>
    <n v="360"/>
    <m/>
    <m/>
    <s v="Commented Video"/>
    <x v="0"/>
    <s v="Bran buds ate awesome 👌"/>
    <s v="UCoLxR3-lIvkT0o_EyUyVrVA"/>
    <s v="Shirley Miller"/>
    <s v="http://www.youtube.com/channel/UCoLxR3-lIvkT0o_EyUyVrVA"/>
    <m/>
    <s v="V4-3xDi_Ems"/>
    <s v="https://www.youtube.com/watch?v=V4-3xDi_Ems"/>
    <s v="none"/>
    <n v="0"/>
    <x v="357"/>
    <d v="2023-05-24T01:40:14.000"/>
    <m/>
    <m/>
    <m/>
    <n v="1"/>
    <n v="1"/>
    <n v="1"/>
    <n v="1"/>
    <n v="25"/>
    <n v="0"/>
    <n v="0"/>
    <n v="0"/>
    <n v="0"/>
    <n v="3"/>
    <n v="75"/>
    <n v="4"/>
  </r>
  <r>
    <s v="UC3p7EbHpBX43Lx2qVYnUmEw"/>
    <s v="UCqYI3lmZgTsRs202mY15QfA"/>
    <s v="128, 128, 128"/>
    <n v="3"/>
    <m/>
    <n v="40"/>
    <m/>
    <m/>
    <m/>
    <m/>
    <s v="No"/>
    <n v="361"/>
    <m/>
    <m/>
    <s v="Commented Video"/>
    <x v="0"/>
    <s v="Thank you so much for this information!!!!!"/>
    <s v="UC3p7EbHpBX43Lx2qVYnUmEw"/>
    <s v="Kiana"/>
    <s v="http://www.youtube.com/channel/UC3p7EbHpBX43Lx2qVYnUmEw"/>
    <m/>
    <s v="V4-3xDi_Ems"/>
    <s v="https://www.youtube.com/watch?v=V4-3xDi_Ems"/>
    <s v="none"/>
    <n v="1"/>
    <x v="358"/>
    <d v="2023-05-25T00:54:12.000"/>
    <m/>
    <m/>
    <m/>
    <n v="1"/>
    <n v="1"/>
    <n v="1"/>
    <n v="0"/>
    <n v="0"/>
    <n v="0"/>
    <n v="0"/>
    <n v="0"/>
    <n v="0"/>
    <n v="1"/>
    <n v="14.285714285714286"/>
    <n v="7"/>
  </r>
  <r>
    <s v="UCHMv7i1bz30bwqGCoDAZyOg"/>
    <s v="UCqYI3lmZgTsRs202mY15QfA"/>
    <s v="128, 128, 128"/>
    <n v="3"/>
    <m/>
    <n v="40"/>
    <m/>
    <m/>
    <m/>
    <m/>
    <s v="No"/>
    <n v="362"/>
    <m/>
    <m/>
    <s v="Commented Video"/>
    <x v="0"/>
    <s v="Thanks, I&amp;#39;d like you give advice for kidney disease and what food do we suppose to eat. for kidney stones also."/>
    <s v="UCHMv7i1bz30bwqGCoDAZyOg"/>
    <s v="Chantale Dor"/>
    <s v="http://www.youtube.com/channel/UCHMv7i1bz30bwqGCoDAZyOg"/>
    <m/>
    <s v="V4-3xDi_Ems"/>
    <s v="https://www.youtube.com/watch?v=V4-3xDi_Ems"/>
    <s v="none"/>
    <n v="0"/>
    <x v="359"/>
    <d v="2023-05-26T03:13:24.000"/>
    <m/>
    <m/>
    <m/>
    <n v="1"/>
    <n v="1"/>
    <n v="1"/>
    <n v="1"/>
    <n v="4.3478260869565215"/>
    <n v="0"/>
    <n v="0"/>
    <n v="0"/>
    <n v="0"/>
    <n v="8"/>
    <n v="34.78260869565217"/>
    <n v="23"/>
  </r>
  <r>
    <s v="UCdUdNa5IbE-Q2ku0amPTCbA"/>
    <s v="UCqYI3lmZgTsRs202mY15QfA"/>
    <s v="128, 128, 128"/>
    <n v="3"/>
    <m/>
    <n v="40"/>
    <m/>
    <m/>
    <m/>
    <m/>
    <s v="No"/>
    <n v="363"/>
    <m/>
    <m/>
    <s v="Commented Video"/>
    <x v="0"/>
    <s v="What to do with recurring internal Hemorrhoid? I did rubber banding Mandy times no good results ? What should I do it’s truly a pain in the butt😅"/>
    <s v="UCdUdNa5IbE-Q2ku0amPTCbA"/>
    <s v="mohammad Al-shammary"/>
    <s v="http://www.youtube.com/channel/UCdUdNa5IbE-Q2ku0amPTCbA"/>
    <m/>
    <s v="V4-3xDi_Ems"/>
    <s v="https://www.youtube.com/watch?v=V4-3xDi_Ems"/>
    <s v="none"/>
    <n v="4"/>
    <x v="360"/>
    <d v="2023-05-27T14:48:14.000"/>
    <m/>
    <m/>
    <m/>
    <n v="1"/>
    <n v="1"/>
    <n v="1"/>
    <n v="1"/>
    <n v="3.5714285714285716"/>
    <n v="1"/>
    <n v="3.5714285714285716"/>
    <n v="0"/>
    <n v="0"/>
    <n v="9"/>
    <n v="32.142857142857146"/>
    <n v="28"/>
  </r>
  <r>
    <s v="UChn54Xq5Lr909DLXv4y4ZyA"/>
    <s v="UCqYI3lmZgTsRs202mY15QfA"/>
    <s v="128, 128, 128"/>
    <n v="3"/>
    <m/>
    <n v="40"/>
    <m/>
    <m/>
    <m/>
    <m/>
    <s v="No"/>
    <n v="364"/>
    <m/>
    <m/>
    <s v="Commented Video"/>
    <x v="0"/>
    <s v="Muzhe bohat jayda Jagran aur kamjori ke karan  Piles ki takhalif aur blooding bohat jayda hota tha FIR mayne amezon se pymol+Livcon capsule aur manulax churna  Bohat effective he ye medicine pain aur blooding rukha gya mass pata nhi kb sukhenge&lt;br&gt;•••"/>
    <s v="UChn54Xq5Lr909DLXv4y4ZyA"/>
    <s v="Prachi Gupta"/>
    <s v="http://www.youtube.com/channel/UChn54Xq5Lr909DLXv4y4ZyA"/>
    <m/>
    <s v="V4-3xDi_Ems"/>
    <s v="https://www.youtube.com/watch?v=V4-3xDi_Ems"/>
    <s v="none"/>
    <n v="1"/>
    <x v="361"/>
    <d v="2023-05-28T19:11:41.000"/>
    <m/>
    <m/>
    <m/>
    <n v="1"/>
    <n v="1"/>
    <n v="1"/>
    <n v="1"/>
    <n v="2.3255813953488373"/>
    <n v="1"/>
    <n v="2.3255813953488373"/>
    <n v="0"/>
    <n v="0"/>
    <n v="37"/>
    <n v="86.04651162790698"/>
    <n v="43"/>
  </r>
  <r>
    <s v="UCIqT5KawM9ZUu3JZUeRbr0Q"/>
    <s v="UCqYI3lmZgTsRs202mY15QfA"/>
    <s v="128, 128, 128"/>
    <n v="3"/>
    <m/>
    <n v="40"/>
    <m/>
    <m/>
    <m/>
    <m/>
    <s v="No"/>
    <n v="365"/>
    <m/>
    <m/>
    <s v="Commented Video"/>
    <x v="0"/>
    <s v="Love this Doctors. ❤"/>
    <s v="UCIqT5KawM9ZUu3JZUeRbr0Q"/>
    <s v="JZ"/>
    <s v="http://www.youtube.com/channel/UCIqT5KawM9ZUu3JZUeRbr0Q"/>
    <m/>
    <s v="V4-3xDi_Ems"/>
    <s v="https://www.youtube.com/watch?v=V4-3xDi_Ems"/>
    <s v="none"/>
    <n v="0"/>
    <x v="362"/>
    <d v="2023-06-03T08:50:33.000"/>
    <m/>
    <m/>
    <m/>
    <n v="1"/>
    <n v="1"/>
    <n v="1"/>
    <n v="1"/>
    <n v="33.333333333333336"/>
    <n v="0"/>
    <n v="0"/>
    <n v="0"/>
    <n v="0"/>
    <n v="1"/>
    <n v="33.333333333333336"/>
    <n v="3"/>
  </r>
  <r>
    <s v="UC8uJo5_SeMHvB72mrabjubQ"/>
    <s v="UCqYI3lmZgTsRs202mY15QfA"/>
    <s v="128, 128, 128"/>
    <n v="3"/>
    <m/>
    <n v="40"/>
    <m/>
    <m/>
    <m/>
    <m/>
    <s v="No"/>
    <n v="366"/>
    <m/>
    <m/>
    <s v="Commented Video"/>
    <x v="0"/>
    <s v="Its really helped mw to stop eating carbs!"/>
    <s v="UC8uJo5_SeMHvB72mrabjubQ"/>
    <s v="Caroline Lewis"/>
    <s v="http://www.youtube.com/channel/UC8uJo5_SeMHvB72mrabjubQ"/>
    <m/>
    <s v="V4-3xDi_Ems"/>
    <s v="https://www.youtube.com/watch?v=V4-3xDi_Ems"/>
    <s v="none"/>
    <n v="1"/>
    <x v="363"/>
    <d v="2023-06-03T22:55:46.000"/>
    <m/>
    <m/>
    <m/>
    <n v="1"/>
    <n v="1"/>
    <n v="1"/>
    <n v="1"/>
    <n v="12.5"/>
    <n v="0"/>
    <n v="0"/>
    <n v="0"/>
    <n v="0"/>
    <n v="4"/>
    <n v="50"/>
    <n v="8"/>
  </r>
  <r>
    <s v="UCSVoZFz4FzzH3WxcHbZrzeA"/>
    <s v="UCqYI3lmZgTsRs202mY15QfA"/>
    <s v="128, 128, 128"/>
    <n v="3"/>
    <m/>
    <n v="40"/>
    <m/>
    <m/>
    <m/>
    <m/>
    <s v="No"/>
    <n v="367"/>
    <m/>
    <m/>
    <s v="Commented Video"/>
    <x v="0"/>
    <s v="Well.....🤭 I will get some witch hazel!"/>
    <s v="UCSVoZFz4FzzH3WxcHbZrzeA"/>
    <s v="Lori"/>
    <s v="http://www.youtube.com/channel/UCSVoZFz4FzzH3WxcHbZrzeA"/>
    <m/>
    <s v="V4-3xDi_Ems"/>
    <s v="https://www.youtube.com/watch?v=V4-3xDi_Ems"/>
    <s v="none"/>
    <n v="0"/>
    <x v="364"/>
    <d v="2023-06-08T05:58:50.000"/>
    <m/>
    <m/>
    <m/>
    <n v="1"/>
    <n v="1"/>
    <n v="1"/>
    <n v="1"/>
    <n v="14.285714285714286"/>
    <n v="0"/>
    <n v="0"/>
    <n v="0"/>
    <n v="0"/>
    <n v="2"/>
    <n v="28.571428571428573"/>
    <n v="7"/>
  </r>
  <r>
    <s v="UCYZRVN4zLhqzJpFxsLHaAeQ"/>
    <s v="UCqYI3lmZgTsRs202mY15QfA"/>
    <s v="128, 128, 128"/>
    <n v="3"/>
    <m/>
    <n v="40"/>
    <m/>
    <m/>
    <m/>
    <m/>
    <s v="No"/>
    <n v="368"/>
    <m/>
    <m/>
    <s v="Commented Video"/>
    <x v="0"/>
    <s v="Come-on Docs.....their GMO! Do better.....cure the hemorrhoids....kill the microbiom."/>
    <s v="UCYZRVN4zLhqzJpFxsLHaAeQ"/>
    <s v="frank Brown"/>
    <s v="http://www.youtube.com/channel/UCYZRVN4zLhqzJpFxsLHaAeQ"/>
    <m/>
    <s v="V4-3xDi_Ems"/>
    <s v="https://www.youtube.com/watch?v=V4-3xDi_Ems"/>
    <s v="none"/>
    <n v="0"/>
    <x v="365"/>
    <d v="2023-06-12T21:57:38.000"/>
    <m/>
    <m/>
    <m/>
    <n v="1"/>
    <n v="1"/>
    <n v="1"/>
    <n v="2"/>
    <n v="15.384615384615385"/>
    <n v="1"/>
    <n v="7.6923076923076925"/>
    <n v="0"/>
    <n v="0"/>
    <n v="4"/>
    <n v="30.76923076923077"/>
    <n v="13"/>
  </r>
  <r>
    <s v="UCe_QLscmHat77-Vl19j0Akw"/>
    <s v="UCqYI3lmZgTsRs202mY15QfA"/>
    <s v="128, 128, 128"/>
    <n v="3"/>
    <m/>
    <n v="40"/>
    <m/>
    <m/>
    <m/>
    <m/>
    <s v="No"/>
    <n v="369"/>
    <m/>
    <m/>
    <s v="Commented Video"/>
    <x v="0"/>
    <s v="Colinsonia root in capsules.  Sure shot relief"/>
    <s v="UCe_QLscmHat77-Vl19j0Akw"/>
    <s v="Sting Sweet"/>
    <s v="http://www.youtube.com/channel/UCe_QLscmHat77-Vl19j0Akw"/>
    <m/>
    <s v="V4-3xDi_Ems"/>
    <s v="https://www.youtube.com/watch?v=V4-3xDi_Ems"/>
    <s v="none"/>
    <n v="1"/>
    <x v="366"/>
    <d v="2023-06-14T16:45:07.000"/>
    <m/>
    <m/>
    <m/>
    <n v="1"/>
    <n v="1"/>
    <n v="1"/>
    <n v="1"/>
    <n v="14.285714285714286"/>
    <n v="0"/>
    <n v="0"/>
    <n v="0"/>
    <n v="0"/>
    <n v="4"/>
    <n v="57.142857142857146"/>
    <n v="7"/>
  </r>
  <r>
    <s v="UCoTE9F03OIojYFApga5ggQw"/>
    <s v="UCqYI3lmZgTsRs202mY15QfA"/>
    <s v="128, 128, 128"/>
    <n v="3"/>
    <m/>
    <n v="40"/>
    <m/>
    <m/>
    <m/>
    <m/>
    <s v="No"/>
    <n v="370"/>
    <m/>
    <m/>
    <s v="Commented Video"/>
    <x v="0"/>
    <s v="You guys are entertaining. Not sure if u r real docs. But if u are it mite help me to put some trust back into docs. Didn’t have much in the beginning. Now I really don’t  😩"/>
    <s v="UCoTE9F03OIojYFApga5ggQw"/>
    <s v="Nancy Braybrooks"/>
    <s v="http://www.youtube.com/channel/UCoTE9F03OIojYFApga5ggQw"/>
    <m/>
    <s v="V4-3xDi_Ems"/>
    <s v="https://www.youtube.com/watch?v=V4-3xDi_Ems"/>
    <s v="none"/>
    <n v="0"/>
    <x v="367"/>
    <d v="2023-06-20T01:59:19.000"/>
    <m/>
    <m/>
    <m/>
    <n v="1"/>
    <n v="1"/>
    <n v="1"/>
    <n v="2"/>
    <n v="5.2631578947368425"/>
    <n v="0"/>
    <n v="0"/>
    <n v="0"/>
    <n v="0"/>
    <n v="6"/>
    <n v="15.789473684210526"/>
    <n v="38"/>
  </r>
  <r>
    <s v="UCeQplv21MqmvpEZq9Mv-E9g"/>
    <s v="UCqYI3lmZgTsRs202mY15QfA"/>
    <s v="128, 128, 128"/>
    <n v="3"/>
    <m/>
    <n v="40"/>
    <m/>
    <m/>
    <m/>
    <m/>
    <s v="No"/>
    <n v="371"/>
    <m/>
    <m/>
    <s v="Commented Video"/>
    <x v="0"/>
    <s v="I am going to start a fiber diet. Witchhazel for me is only 5 min temporary relief.  Looks like I&amp;#39;m getting the surgery ouch. I&amp;#39;ve heard that it&amp;#39;s 50 times worse than the Hemorrhoid pain but only for 3 days"/>
    <s v="UCeQplv21MqmvpEZq9Mv-E9g"/>
    <s v="Scooter Mcc"/>
    <s v="http://www.youtube.com/channel/UCeQplv21MqmvpEZq9Mv-E9g"/>
    <m/>
    <s v="V4-3xDi_Ems"/>
    <s v="https://www.youtube.com/watch?v=V4-3xDi_Ems"/>
    <s v="none"/>
    <n v="0"/>
    <x v="368"/>
    <d v="2023-06-22T00:20:25.000"/>
    <m/>
    <m/>
    <m/>
    <n v="1"/>
    <n v="1"/>
    <n v="1"/>
    <n v="2"/>
    <n v="4.3478260869565215"/>
    <n v="2"/>
    <n v="4.3478260869565215"/>
    <n v="0"/>
    <n v="0"/>
    <n v="13"/>
    <n v="28.26086956521739"/>
    <n v="46"/>
  </r>
  <r>
    <s v="UCgZrbsNIexeGSyRmhwvBARg"/>
    <s v="UCqYI3lmZgTsRs202mY15QfA"/>
    <s v="128, 128, 128"/>
    <n v="3"/>
    <m/>
    <n v="40"/>
    <m/>
    <m/>
    <m/>
    <m/>
    <s v="No"/>
    <n v="372"/>
    <m/>
    <m/>
    <s v="Commented Video"/>
    <x v="0"/>
    <s v="All Bran buds to help your bum!!  Witch Hazel??  Swine curse!!  Love you guys!!❤😂😂😂😂😂"/>
    <s v="UCgZrbsNIexeGSyRmhwvBARg"/>
    <s v="Tyna Duckett"/>
    <s v="http://www.youtube.com/channel/UCgZrbsNIexeGSyRmhwvBARg"/>
    <m/>
    <s v="V4-3xDi_Ems"/>
    <s v="https://www.youtube.com/watch?v=V4-3xDi_Ems"/>
    <s v="none"/>
    <n v="0"/>
    <x v="369"/>
    <d v="2023-06-24T00:28:46.000"/>
    <m/>
    <m/>
    <m/>
    <n v="1"/>
    <n v="1"/>
    <n v="1"/>
    <n v="1"/>
    <n v="7.142857142857143"/>
    <n v="2"/>
    <n v="14.285714285714286"/>
    <n v="0"/>
    <n v="0"/>
    <n v="7"/>
    <n v="50"/>
    <n v="14"/>
  </r>
  <r>
    <s v="UCwSSNToeVx1_ac4jBlPTWwQ"/>
    <s v="UCqYI3lmZgTsRs202mY15QfA"/>
    <s v="128, 128, 128"/>
    <n v="3"/>
    <m/>
    <n v="40"/>
    <m/>
    <m/>
    <m/>
    <m/>
    <s v="No"/>
    <n v="373"/>
    <m/>
    <m/>
    <s v="Commented Video"/>
    <x v="0"/>
    <s v="Abe khajoor karan johar kaise kyu baay kar raha hai..... R u normal..???"/>
    <s v="UCwSSNToeVx1_ac4jBlPTWwQ"/>
    <s v="Ajay Tiwari"/>
    <s v="http://www.youtube.com/channel/UCwSSNToeVx1_ac4jBlPTWwQ"/>
    <m/>
    <s v="V4-3xDi_Ems"/>
    <s v="https://www.youtube.com/watch?v=V4-3xDi_Ems"/>
    <s v="none"/>
    <n v="0"/>
    <x v="370"/>
    <d v="2023-06-28T03:02:20.000"/>
    <m/>
    <m/>
    <m/>
    <n v="1"/>
    <n v="1"/>
    <n v="1"/>
    <n v="0"/>
    <n v="0"/>
    <n v="0"/>
    <n v="0"/>
    <n v="0"/>
    <n v="0"/>
    <n v="11"/>
    <n v="84.61538461538461"/>
    <n v="13"/>
  </r>
  <r>
    <s v="UCgTh333t5yJRofx8hP9QR3A"/>
    <s v="UCqYI3lmZgTsRs202mY15QfA"/>
    <s v="128, 128, 128"/>
    <n v="3"/>
    <m/>
    <n v="40"/>
    <m/>
    <m/>
    <m/>
    <m/>
    <s v="No"/>
    <n v="374"/>
    <m/>
    <m/>
    <s v="Commented Video"/>
    <x v="0"/>
    <s v="Amazingly Dr igho Transformed my life in all Ramification. i really Appreciate you doctor for helping me get cured naturally with your super herbs and putting a pretty smile on my face, God bless you Doc."/>
    <s v="UCgTh333t5yJRofx8hP9QR3A"/>
    <s v="Jeffrey  Kobe"/>
    <s v="http://www.youtube.com/channel/UCgTh333t5yJRofx8hP9QR3A"/>
    <m/>
    <s v="V4-3xDi_Ems"/>
    <s v="https://www.youtube.com/watch?v=V4-3xDi_Ems"/>
    <s v="none"/>
    <n v="0"/>
    <x v="371"/>
    <d v="2023-06-28T08:14:40.000"/>
    <m/>
    <m/>
    <m/>
    <n v="1"/>
    <n v="1"/>
    <n v="1"/>
    <n v="7"/>
    <n v="19.444444444444443"/>
    <n v="0"/>
    <n v="0"/>
    <n v="0"/>
    <n v="0"/>
    <n v="12"/>
    <n v="33.333333333333336"/>
    <n v="36"/>
  </r>
  <r>
    <s v="UCrqwO1yeDZDpEqizQl9r2cg"/>
    <s v="UCqYI3lmZgTsRs202mY15QfA"/>
    <s v="128, 128, 128"/>
    <n v="3"/>
    <m/>
    <n v="40"/>
    <m/>
    <m/>
    <m/>
    <m/>
    <s v="No"/>
    <n v="375"/>
    <m/>
    <m/>
    <s v="Commented Video"/>
    <x v="0"/>
    <s v="Testifying about my experience with Dr Igho on YouTube is the Greatest joy i have ever had in a while because, Dr igho Transformed my life in all ramification. Your meds was able to cure my pain and hemorrhoid naturally and putting a pretty smile on my face, God bless you Doc."/>
    <s v="UCrqwO1yeDZDpEqizQl9r2cg"/>
    <s v="Jatau Fwangshak"/>
    <s v="http://www.youtube.com/channel/UCrqwO1yeDZDpEqizQl9r2cg"/>
    <m/>
    <s v="V4-3xDi_Ems"/>
    <s v="https://www.youtube.com/watch?v=V4-3xDi_Ems"/>
    <s v="none"/>
    <n v="0"/>
    <x v="372"/>
    <d v="2023-06-28T21:15:48.000"/>
    <m/>
    <m/>
    <m/>
    <n v="1"/>
    <n v="1"/>
    <n v="1"/>
    <n v="6"/>
    <n v="11.538461538461538"/>
    <n v="1"/>
    <n v="1.9230769230769231"/>
    <n v="0"/>
    <n v="0"/>
    <n v="15"/>
    <n v="28.846153846153847"/>
    <n v="52"/>
  </r>
  <r>
    <s v="UCUBRxdxwjr5pYLZN_PaiMww"/>
    <s v="UCqYI3lmZgTsRs202mY15QfA"/>
    <s v="128, 128, 128"/>
    <n v="3"/>
    <m/>
    <n v="40"/>
    <m/>
    <m/>
    <m/>
    <m/>
    <s v="No"/>
    <n v="376"/>
    <m/>
    <m/>
    <s v="Commented Video"/>
    <x v="0"/>
    <s v="Professionals feel like they have to be re-tarded to connect with the general public, its sad but necessary. If you laughed at any of the video,  please dont reproduce."/>
    <s v="UCUBRxdxwjr5pYLZN_PaiMww"/>
    <s v="Holypikemanz"/>
    <s v="http://www.youtube.com/channel/UCUBRxdxwjr5pYLZN_PaiMww"/>
    <m/>
    <s v="V4-3xDi_Ems"/>
    <s v="https://www.youtube.com/watch?v=V4-3xDi_Ems"/>
    <s v="none"/>
    <n v="0"/>
    <x v="373"/>
    <d v="2023-06-29T01:31:34.000"/>
    <m/>
    <m/>
    <m/>
    <n v="1"/>
    <n v="1"/>
    <n v="1"/>
    <n v="1"/>
    <n v="3.3333333333333335"/>
    <n v="1"/>
    <n v="3.3333333333333335"/>
    <n v="0"/>
    <n v="0"/>
    <n v="7"/>
    <n v="23.333333333333332"/>
    <n v="30"/>
  </r>
  <r>
    <s v="UC2t9eb-bNhX1LaHNYLOsoIQ"/>
    <s v="UCqYI3lmZgTsRs202mY15QfA"/>
    <s v="128, 128, 128"/>
    <n v="3"/>
    <m/>
    <n v="40"/>
    <m/>
    <m/>
    <m/>
    <m/>
    <s v="No"/>
    <n v="377"/>
    <m/>
    <m/>
    <s v="Commented Video"/>
    <x v="0"/>
    <s v="Thank you! Been suffering almost every day since like October. And it just so happens I have a bunch of citrus and a bottle of witch hazel."/>
    <s v="UC2t9eb-bNhX1LaHNYLOsoIQ"/>
    <s v="Sarabdyal Kaur Khalsa"/>
    <s v="http://www.youtube.com/channel/UC2t9eb-bNhX1LaHNYLOsoIQ"/>
    <m/>
    <s v="V4-3xDi_Ems"/>
    <s v="https://www.youtube.com/watch?v=V4-3xDi_Ems"/>
    <s v="none"/>
    <n v="2"/>
    <x v="374"/>
    <d v="2023-07-01T00:49:01.000"/>
    <m/>
    <m/>
    <m/>
    <n v="1"/>
    <n v="1"/>
    <n v="1"/>
    <n v="1"/>
    <n v="3.7037037037037037"/>
    <n v="1"/>
    <n v="3.7037037037037037"/>
    <n v="0"/>
    <n v="0"/>
    <n v="6"/>
    <n v="22.22222222222222"/>
    <n v="27"/>
  </r>
  <r>
    <s v="UC09s08TXNwU5I67hfkraccA"/>
    <s v="UCqYI3lmZgTsRs202mY15QfA"/>
    <s v="128, 128, 128"/>
    <n v="3"/>
    <m/>
    <n v="40"/>
    <m/>
    <m/>
    <m/>
    <m/>
    <s v="No"/>
    <n v="378"/>
    <m/>
    <m/>
    <s v="Commented Video"/>
    <x v="0"/>
    <s v="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
    <s v="UC09s08TXNwU5I67hfkraccA"/>
    <s v="Ty Traulich"/>
    <s v="http://www.youtube.com/channel/UC09s08TXNwU5I67hfkraccA"/>
    <m/>
    <s v="V4-3xDi_Ems"/>
    <s v="https://www.youtube.com/watch?v=V4-3xDi_Ems"/>
    <s v="none"/>
    <n v="3"/>
    <x v="375"/>
    <d v="2023-07-04T11:16:25.000"/>
    <m/>
    <m/>
    <m/>
    <n v="1"/>
    <n v="1"/>
    <n v="1"/>
    <n v="1"/>
    <n v="1.3333333333333333"/>
    <n v="5"/>
    <n v="6.666666666666667"/>
    <n v="0"/>
    <n v="0"/>
    <n v="22"/>
    <n v="29.333333333333332"/>
    <n v="75"/>
  </r>
  <r>
    <s v="UCmzopuKkj876cDVcXP8aJYQ"/>
    <s v="UCqYI3lmZgTsRs202mY15QfA"/>
    <s v="128, 128, 128"/>
    <n v="3"/>
    <m/>
    <n v="40"/>
    <m/>
    <m/>
    <m/>
    <m/>
    <s v="No"/>
    <n v="379"/>
    <m/>
    <m/>
    <s v="Commented Video"/>
    <x v="0"/>
    <s v="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
    <s v="UCmzopuKkj876cDVcXP8aJYQ"/>
    <s v="Mihaela"/>
    <s v="http://www.youtube.com/channel/UCmzopuKkj876cDVcXP8aJYQ"/>
    <m/>
    <s v="V4-3xDi_Ems"/>
    <s v="https://www.youtube.com/watch?v=V4-3xDi_Ems"/>
    <s v="none"/>
    <n v="0"/>
    <x v="376"/>
    <d v="2023-07-10T17:24:08.000"/>
    <m/>
    <m/>
    <m/>
    <n v="1"/>
    <n v="1"/>
    <n v="1"/>
    <n v="0"/>
    <n v="0"/>
    <n v="1"/>
    <n v="1.7543859649122806"/>
    <n v="0"/>
    <n v="0"/>
    <n v="22"/>
    <n v="38.59649122807018"/>
    <n v="57"/>
  </r>
  <r>
    <s v="UCYqbNADZ0w0faeBfWbph0Cw"/>
    <s v="UCqYI3lmZgTsRs202mY15QfA"/>
    <s v="128, 128, 128"/>
    <n v="3"/>
    <m/>
    <n v="40"/>
    <m/>
    <m/>
    <m/>
    <m/>
    <s v="No"/>
    <n v="380"/>
    <m/>
    <m/>
    <s v="Commented Video"/>
    <x v="0"/>
    <s v="Thanks for the tips 👌🏿"/>
    <s v="UCYqbNADZ0w0faeBfWbph0Cw"/>
    <s v="AMPOV Podcast"/>
    <s v="http://www.youtube.com/channel/UCYqbNADZ0w0faeBfWbph0Cw"/>
    <m/>
    <s v="V4-3xDi_Ems"/>
    <s v="https://www.youtube.com/watch?v=V4-3xDi_Ems"/>
    <s v="none"/>
    <n v="0"/>
    <x v="377"/>
    <d v="2023-07-26T06:47:55.000"/>
    <m/>
    <m/>
    <m/>
    <n v="1"/>
    <n v="1"/>
    <n v="1"/>
    <n v="0"/>
    <n v="0"/>
    <n v="0"/>
    <n v="0"/>
    <n v="0"/>
    <n v="0"/>
    <n v="1"/>
    <n v="25"/>
    <n v="4"/>
  </r>
  <r>
    <s v="UCfmWVk8_0BkOXYRK2VU0Bkw"/>
    <s v="UCqYI3lmZgTsRs202mY15QfA"/>
    <s v="128, 128, 128"/>
    <n v="3"/>
    <m/>
    <n v="40"/>
    <m/>
    <m/>
    <m/>
    <m/>
    <s v="No"/>
    <n v="381"/>
    <m/>
    <m/>
    <s v="Commented Video"/>
    <x v="0"/>
    <s v="Saddle  🚴 sore 🙈"/>
    <s v="UCfmWVk8_0BkOXYRK2VU0Bkw"/>
    <s v="Jason C."/>
    <s v="http://www.youtube.com/channel/UCfmWVk8_0BkOXYRK2VU0Bkw"/>
    <m/>
    <s v="V4-3xDi_Ems"/>
    <s v="https://www.youtube.com/watch?v=V4-3xDi_Ems"/>
    <s v="none"/>
    <n v="0"/>
    <x v="378"/>
    <d v="2023-07-26T14:12:03.000"/>
    <m/>
    <m/>
    <m/>
    <n v="1"/>
    <n v="1"/>
    <n v="1"/>
    <n v="0"/>
    <n v="0"/>
    <n v="1"/>
    <n v="50"/>
    <n v="0"/>
    <n v="0"/>
    <n v="1"/>
    <n v="50"/>
    <n v="2"/>
  </r>
  <r>
    <s v="UCKjNRS6dalpCuazYZBSp3eg"/>
    <s v="UCqYI3lmZgTsRs202mY15QfA"/>
    <s v="128, 128, 128"/>
    <n v="3"/>
    <m/>
    <n v="40"/>
    <m/>
    <m/>
    <m/>
    <m/>
    <s v="No"/>
    <n v="382"/>
    <m/>
    <m/>
    <s v="Commented Video"/>
    <x v="0"/>
    <s v="What about internal hemorrhoids or fissures?"/>
    <s v="UCKjNRS6dalpCuazYZBSp3eg"/>
    <s v="Debbie"/>
    <s v="http://www.youtube.com/channel/UCKjNRS6dalpCuazYZBSp3eg"/>
    <m/>
    <s v="V4-3xDi_Ems"/>
    <s v="https://www.youtube.com/watch?v=V4-3xDi_Ems"/>
    <s v="none"/>
    <n v="2"/>
    <x v="379"/>
    <d v="2023-07-27T06:00:24.000"/>
    <m/>
    <m/>
    <m/>
    <n v="1"/>
    <n v="1"/>
    <n v="1"/>
    <n v="0"/>
    <n v="0"/>
    <n v="1"/>
    <n v="16.666666666666668"/>
    <n v="0"/>
    <n v="0"/>
    <n v="2"/>
    <n v="33.333333333333336"/>
    <n v="6"/>
  </r>
  <r>
    <s v="UCYxc3jUaC_advAw2utm_-KQ"/>
    <s v="UCqYI3lmZgTsRs202mY15QfA"/>
    <s v="128, 128, 128"/>
    <n v="3"/>
    <m/>
    <n v="40"/>
    <m/>
    <m/>
    <m/>
    <m/>
    <s v="No"/>
    <n v="383"/>
    <m/>
    <m/>
    <s v="Commented Video"/>
    <x v="0"/>
    <s v="I used a small castor oil pack in my bum overnight- and I’m telling you!!! GONE!!!"/>
    <s v="UCYxc3jUaC_advAw2utm_-KQ"/>
    <s v="Mimi Grace"/>
    <s v="http://www.youtube.com/channel/UCYxc3jUaC_advAw2utm_-KQ"/>
    <m/>
    <s v="V4-3xDi_Ems"/>
    <s v="https://www.youtube.com/watch?v=V4-3xDi_Ems"/>
    <s v="none"/>
    <n v="0"/>
    <x v="380"/>
    <d v="2023-07-28T08:33:38.000"/>
    <m/>
    <m/>
    <m/>
    <n v="1"/>
    <n v="1"/>
    <n v="1"/>
    <n v="0"/>
    <n v="0"/>
    <n v="1"/>
    <n v="5.882352941176471"/>
    <n v="0"/>
    <n v="0"/>
    <n v="5"/>
    <n v="29.41176470588235"/>
    <n v="17"/>
  </r>
  <r>
    <s v="UChANq4tvKdU1QdScYMd40Yg"/>
    <s v="UCqYI3lmZgTsRs202mY15QfA"/>
    <s v="128, 128, 128"/>
    <n v="3"/>
    <m/>
    <n v="40"/>
    <m/>
    <m/>
    <m/>
    <m/>
    <s v="No"/>
    <n v="384"/>
    <m/>
    <m/>
    <s v="Commented Video"/>
    <x v="0"/>
    <s v="Flax seed meal in protein shake."/>
    <s v="UChANq4tvKdU1QdScYMd40Yg"/>
    <s v="Alex M. (Handro1313)"/>
    <s v="http://www.youtube.com/channel/UChANq4tvKdU1QdScYMd40Yg"/>
    <m/>
    <s v="V4-3xDi_Ems"/>
    <s v="https://www.youtube.com/watch?v=V4-3xDi_Ems"/>
    <s v="none"/>
    <n v="0"/>
    <x v="381"/>
    <d v="2023-07-29T02:41:08.000"/>
    <m/>
    <m/>
    <m/>
    <n v="1"/>
    <n v="1"/>
    <n v="1"/>
    <n v="0"/>
    <n v="0"/>
    <n v="1"/>
    <n v="16.666666666666668"/>
    <n v="0"/>
    <n v="0"/>
    <n v="4"/>
    <n v="66.66666666666667"/>
    <n v="6"/>
  </r>
  <r>
    <s v="UC-b5bld7GfVrvnXlfEJq43w"/>
    <s v="UCqYI3lmZgTsRs202mY15QfA"/>
    <s v="128, 128, 128"/>
    <n v="3"/>
    <m/>
    <n v="40"/>
    <m/>
    <m/>
    <m/>
    <m/>
    <s v="No"/>
    <n v="385"/>
    <m/>
    <m/>
    <s v="Commented Video"/>
    <x v="0"/>
    <s v="Gracias"/>
    <s v="UC-b5bld7GfVrvnXlfEJq43w"/>
    <s v="estela mino"/>
    <s v="http://www.youtube.com/channel/UC-b5bld7GfVrvnXlfEJq43w"/>
    <m/>
    <s v="V4-3xDi_Ems"/>
    <s v="https://www.youtube.com/watch?v=V4-3xDi_Ems"/>
    <s v="none"/>
    <n v="0"/>
    <x v="382"/>
    <d v="2023-07-29T11:05:05.000"/>
    <m/>
    <m/>
    <m/>
    <n v="1"/>
    <n v="1"/>
    <n v="1"/>
    <n v="0"/>
    <n v="0"/>
    <n v="0"/>
    <n v="0"/>
    <n v="0"/>
    <n v="0"/>
    <n v="1"/>
    <n v="100"/>
    <n v="1"/>
  </r>
  <r>
    <s v="UC6-sshOU8XVke5x-hcBeiAg"/>
    <s v="UCqYI3lmZgTsRs202mY15QfA"/>
    <s v="128, 128, 128"/>
    <n v="3"/>
    <m/>
    <n v="40"/>
    <m/>
    <m/>
    <m/>
    <m/>
    <s v="No"/>
    <n v="386"/>
    <m/>
    <m/>
    <s v="Commented Video"/>
    <x v="0"/>
    <s v="Thank you for the satire.  And not making me feel this is as serious as I thought.  I feel A lot better! 🎉   Still seeing my physician.  Appreciate it"/>
    <s v="UC6-sshOU8XVke5x-hcBeiAg"/>
    <s v="RL4109"/>
    <s v="http://www.youtube.com/channel/UC6-sshOU8XVke5x-hcBeiAg"/>
    <m/>
    <s v="V4-3xDi_Ems"/>
    <s v="https://www.youtube.com/watch?v=V4-3xDi_Ems"/>
    <s v="none"/>
    <n v="0"/>
    <x v="383"/>
    <d v="2023-07-29T21:36:19.000"/>
    <m/>
    <m/>
    <m/>
    <n v="1"/>
    <n v="1"/>
    <n v="1"/>
    <n v="2"/>
    <n v="7.142857142857143"/>
    <n v="0"/>
    <n v="0"/>
    <n v="0"/>
    <n v="0"/>
    <n v="5"/>
    <n v="17.857142857142858"/>
    <n v="28"/>
  </r>
  <r>
    <s v="UCg3vNLph88TBkW0azZeDCrg"/>
    <s v="UCqYI3lmZgTsRs202mY15QfA"/>
    <s v="128, 128, 128"/>
    <n v="3"/>
    <m/>
    <n v="40"/>
    <m/>
    <m/>
    <m/>
    <m/>
    <s v="No"/>
    <n v="387"/>
    <m/>
    <m/>
    <s v="Commented Video"/>
    <x v="0"/>
    <s v="next video aabout gynecomastia"/>
    <s v="UCg3vNLph88TBkW0azZeDCrg"/>
    <s v="B4 Ryuk"/>
    <s v="http://www.youtube.com/channel/UCg3vNLph88TBkW0azZeDCrg"/>
    <m/>
    <s v="V4-3xDi_Ems"/>
    <s v="https://www.youtube.com/watch?v=V4-3xDi_Ems"/>
    <s v="none"/>
    <n v="1"/>
    <x v="384"/>
    <d v="2023-07-31T19:43:03.000"/>
    <m/>
    <m/>
    <m/>
    <n v="1"/>
    <n v="1"/>
    <n v="1"/>
    <n v="0"/>
    <n v="0"/>
    <n v="0"/>
    <n v="0"/>
    <n v="0"/>
    <n v="0"/>
    <n v="2"/>
    <n v="50"/>
    <n v="4"/>
  </r>
  <r>
    <s v="UCoCaIO-DdddRTRYNZdtFkEw"/>
    <s v="UCqYI3lmZgTsRs202mY15QfA"/>
    <s v="128, 128, 128"/>
    <n v="3"/>
    <m/>
    <n v="40"/>
    <m/>
    <m/>
    <m/>
    <m/>
    <s v="No"/>
    <n v="388"/>
    <m/>
    <m/>
    <s v="Commented Video"/>
    <x v="0"/>
    <s v="Granola or musli are my fibre of choice because not only is it delicious but I mean it&amp;#39;s fibre and you gotta get it somewhere right so you might as well make it enjoyable"/>
    <s v="UCoCaIO-DdddRTRYNZdtFkEw"/>
    <s v="marko polo"/>
    <s v="http://www.youtube.com/channel/UCoCaIO-DdddRTRYNZdtFkEw"/>
    <m/>
    <s v="V4-3xDi_Ems"/>
    <s v="https://www.youtube.com/watch?v=V4-3xDi_Ems"/>
    <s v="none"/>
    <n v="0"/>
    <x v="385"/>
    <d v="2023-08-03T17:03:53.000"/>
    <m/>
    <m/>
    <m/>
    <n v="1"/>
    <n v="1"/>
    <n v="1"/>
    <n v="4"/>
    <n v="11.11111111111111"/>
    <n v="0"/>
    <n v="0"/>
    <n v="0"/>
    <n v="0"/>
    <n v="6"/>
    <n v="16.666666666666668"/>
    <n v="36"/>
  </r>
  <r>
    <s v="UCRfK4-iCXd6kUqe63s6TlhA"/>
    <s v="UCqYI3lmZgTsRs202mY15QfA"/>
    <s v="128, 128, 128"/>
    <n v="3"/>
    <m/>
    <n v="40"/>
    <m/>
    <m/>
    <m/>
    <m/>
    <s v="No"/>
    <n v="389"/>
    <m/>
    <m/>
    <s v="Commented Video"/>
    <x v="0"/>
    <s v="I followed this advice and completely cured my hemorrhoids! Thank you so much! I suffered for years, thank you thank you and God bless!"/>
    <s v="UCRfK4-iCXd6kUqe63s6TlhA"/>
    <s v="eisenhoward1"/>
    <s v="http://www.youtube.com/channel/UCRfK4-iCXd6kUqe63s6TlhA"/>
    <m/>
    <s v="V4-3xDi_Ems"/>
    <s v="https://www.youtube.com/watch?v=V4-3xDi_Ems"/>
    <s v="none"/>
    <n v="5"/>
    <x v="386"/>
    <d v="2023-08-04T12:10:09.000"/>
    <m/>
    <m/>
    <m/>
    <n v="1"/>
    <n v="1"/>
    <n v="1"/>
    <n v="1"/>
    <n v="4.166666666666667"/>
    <n v="1"/>
    <n v="4.166666666666667"/>
    <n v="0"/>
    <n v="0"/>
    <n v="6"/>
    <n v="25"/>
    <n v="24"/>
  </r>
  <r>
    <s v="UCRbpHc-o1zXXfeqMbQXeV3w"/>
    <s v="UCqYI3lmZgTsRs202mY15QfA"/>
    <s v="128, 128, 128"/>
    <n v="3"/>
    <m/>
    <n v="40"/>
    <m/>
    <m/>
    <m/>
    <m/>
    <s v="No"/>
    <n v="390"/>
    <m/>
    <m/>
    <s v="Commented Video"/>
    <x v="0"/>
    <s v="DAFLON"/>
    <s v="UCRbpHc-o1zXXfeqMbQXeV3w"/>
    <s v="KWH"/>
    <s v="http://www.youtube.com/channel/UCRbpHc-o1zXXfeqMbQXeV3w"/>
    <m/>
    <s v="V4-3xDi_Ems"/>
    <s v="https://www.youtube.com/watch?v=V4-3xDi_Ems"/>
    <s v="none"/>
    <n v="0"/>
    <x v="387"/>
    <d v="2023-08-05T02:51:45.000"/>
    <m/>
    <m/>
    <m/>
    <n v="1"/>
    <n v="1"/>
    <n v="1"/>
    <n v="0"/>
    <n v="0"/>
    <n v="0"/>
    <n v="0"/>
    <n v="0"/>
    <n v="0"/>
    <n v="1"/>
    <n v="100"/>
    <n v="1"/>
  </r>
  <r>
    <s v="UCw2zFkGgV9x7h56OWzIhsQw"/>
    <s v="UCqYI3lmZgTsRs202mY15QfA"/>
    <s v="128, 128, 128"/>
    <n v="3"/>
    <m/>
    <n v="40"/>
    <m/>
    <m/>
    <m/>
    <m/>
    <s v="No"/>
    <n v="391"/>
    <m/>
    <m/>
    <s v="Commented Video"/>
    <x v="0"/>
    <s v="What about the anus being split open in two places looking like very deep and long cuts that bleed every now and then and get ripped open more by going to the toilet"/>
    <s v="UCw2zFkGgV9x7h56OWzIhsQw"/>
    <s v="Nadine"/>
    <s v="http://www.youtube.com/channel/UCw2zFkGgV9x7h56OWzIhsQw"/>
    <m/>
    <s v="V4-3xDi_Ems"/>
    <s v="https://www.youtube.com/watch?v=V4-3xDi_Ems"/>
    <s v="none"/>
    <n v="0"/>
    <x v="388"/>
    <d v="2023-08-06T15:21:29.000"/>
    <m/>
    <m/>
    <m/>
    <n v="1"/>
    <n v="1"/>
    <n v="1"/>
    <n v="1"/>
    <n v="3.0303030303030303"/>
    <n v="3"/>
    <n v="9.090909090909092"/>
    <n v="0"/>
    <n v="0"/>
    <n v="9"/>
    <n v="27.272727272727273"/>
    <n v="33"/>
  </r>
  <r>
    <s v="UCO2xUZoK5RDyNukqo6gxuYw"/>
    <s v="UCqYI3lmZgTsRs202mY15QfA"/>
    <s v="128, 128, 128"/>
    <n v="3"/>
    <m/>
    <n v="40"/>
    <m/>
    <m/>
    <m/>
    <m/>
    <s v="No"/>
    <n v="392"/>
    <m/>
    <m/>
    <s v="Commented Video"/>
    <x v="0"/>
    <s v="Drink water!!!!!"/>
    <s v="UCO2xUZoK5RDyNukqo6gxuYw"/>
    <s v="Aswin Achu"/>
    <s v="http://www.youtube.com/channel/UCO2xUZoK5RDyNukqo6gxuYw"/>
    <m/>
    <s v="V4-3xDi_Ems"/>
    <s v="https://www.youtube.com/watch?v=V4-3xDi_Ems"/>
    <s v="none"/>
    <n v="0"/>
    <x v="389"/>
    <d v="2023-08-07T19:32:21.000"/>
    <m/>
    <m/>
    <m/>
    <n v="1"/>
    <n v="1"/>
    <n v="1"/>
    <n v="0"/>
    <n v="0"/>
    <n v="0"/>
    <n v="0"/>
    <n v="0"/>
    <n v="0"/>
    <n v="2"/>
    <n v="100"/>
    <n v="2"/>
  </r>
  <r>
    <s v="UCDCiRw1N5YI3MvkPzOMM0iA"/>
    <s v="UCqYI3lmZgTsRs202mY15QfA"/>
    <s v="128, 128, 128"/>
    <n v="3"/>
    <m/>
    <n v="40"/>
    <m/>
    <m/>
    <m/>
    <m/>
    <s v="No"/>
    <n v="393"/>
    <m/>
    <m/>
    <s v="Commented Video"/>
    <x v="0"/>
    <s v="cereal is crap, you need to take a nutritian class."/>
    <s v="UCDCiRw1N5YI3MvkPzOMM0iA"/>
    <s v="Mikki Mik"/>
    <s v="http://www.youtube.com/channel/UCDCiRw1N5YI3MvkPzOMM0iA"/>
    <m/>
    <s v="V4-3xDi_Ems"/>
    <s v="https://www.youtube.com/watch?v=V4-3xDi_Ems"/>
    <s v="none"/>
    <n v="0"/>
    <x v="390"/>
    <d v="2023-08-08T09:46:22.000"/>
    <m/>
    <m/>
    <m/>
    <n v="1"/>
    <n v="1"/>
    <n v="1"/>
    <n v="0"/>
    <n v="0"/>
    <n v="1"/>
    <n v="10"/>
    <n v="0"/>
    <n v="0"/>
    <n v="3"/>
    <n v="30"/>
    <n v="10"/>
  </r>
  <r>
    <s v="UCWbtHCdm7dHwaxI3apWk0tQ"/>
    <s v="UCqYI3lmZgTsRs202mY15QfA"/>
    <s v="128, 128, 128"/>
    <n v="3"/>
    <m/>
    <n v="40"/>
    <m/>
    <m/>
    <m/>
    <m/>
    <s v="No"/>
    <n v="394"/>
    <m/>
    <m/>
    <s v="Commented Video"/>
    <x v="0"/>
    <s v="How do you get rid of varicocele with out surgery"/>
    <s v="UCWbtHCdm7dHwaxI3apWk0tQ"/>
    <s v="Ronny King"/>
    <s v="http://www.youtube.com/channel/UCWbtHCdm7dHwaxI3apWk0tQ"/>
    <m/>
    <s v="V4-3xDi_Ems"/>
    <s v="https://www.youtube.com/watch?v=V4-3xDi_Ems"/>
    <s v="none"/>
    <n v="0"/>
    <x v="391"/>
    <d v="2023-08-09T01:24:51.000"/>
    <m/>
    <m/>
    <m/>
    <n v="1"/>
    <n v="1"/>
    <n v="1"/>
    <n v="0"/>
    <n v="0"/>
    <n v="0"/>
    <n v="0"/>
    <n v="0"/>
    <n v="0"/>
    <n v="3"/>
    <n v="30"/>
    <n v="10"/>
  </r>
  <r>
    <s v="UCKcoMTqxz7Qj8WdRIF6r7iA"/>
    <s v="UCqYI3lmZgTsRs202mY15QfA"/>
    <s v="128, 128, 128"/>
    <n v="3"/>
    <m/>
    <n v="40"/>
    <m/>
    <m/>
    <m/>
    <m/>
    <s v="No"/>
    <n v="395"/>
    <m/>
    <m/>
    <s v="Commented Video"/>
    <x v="0"/>
    <s v="... with more water."/>
    <s v="UCKcoMTqxz7Qj8WdRIF6r7iA"/>
    <s v="_"/>
    <s v="http://www.youtube.com/channel/UCKcoMTqxz7Qj8WdRIF6r7iA"/>
    <m/>
    <s v="V4-3xDi_Ems"/>
    <s v="https://www.youtube.com/watch?v=V4-3xDi_Ems"/>
    <s v="none"/>
    <n v="0"/>
    <x v="392"/>
    <d v="2023-08-09T02:24:15.000"/>
    <m/>
    <m/>
    <m/>
    <n v="1"/>
    <n v="1"/>
    <n v="1"/>
    <n v="0"/>
    <n v="0"/>
    <n v="0"/>
    <n v="0"/>
    <n v="0"/>
    <n v="0"/>
    <n v="1"/>
    <n v="33.333333333333336"/>
    <n v="3"/>
  </r>
  <r>
    <s v="UCLbwznb7IXELp0YxtULXpMQ"/>
    <s v="UCqYI3lmZgTsRs202mY15QfA"/>
    <s v="128, 128, 128"/>
    <n v="3"/>
    <m/>
    <n v="40"/>
    <m/>
    <m/>
    <m/>
    <m/>
    <s v="No"/>
    <n v="396"/>
    <m/>
    <m/>
    <s v="Commented Video"/>
    <x v="0"/>
    <s v="How does my phone know I needed this. 😂"/>
    <s v="UCLbwznb7IXELp0YxtULXpMQ"/>
    <s v="Leroy Johnston"/>
    <s v="http://www.youtube.com/channel/UCLbwznb7IXELp0YxtULXpMQ"/>
    <m/>
    <s v="V4-3xDi_Ems"/>
    <s v="https://www.youtube.com/watch?v=V4-3xDi_Ems"/>
    <s v="none"/>
    <n v="0"/>
    <x v="393"/>
    <d v="2023-08-09T08:07:38.000"/>
    <m/>
    <m/>
    <m/>
    <n v="1"/>
    <n v="1"/>
    <n v="1"/>
    <n v="0"/>
    <n v="0"/>
    <n v="0"/>
    <n v="0"/>
    <n v="0"/>
    <n v="0"/>
    <n v="1"/>
    <n v="12.5"/>
    <n v="8"/>
  </r>
  <r>
    <s v="UCqbTtfu9tQTvXsYsSfFFhzw"/>
    <s v="UCqYI3lmZgTsRs202mY15QfA"/>
    <s v="128, 128, 128"/>
    <n v="3"/>
    <m/>
    <n v="40"/>
    <m/>
    <m/>
    <m/>
    <m/>
    <s v="No"/>
    <n v="397"/>
    <m/>
    <m/>
    <s v="Commented Video"/>
    <x v="0"/>
    <s v="Metamucil is the best"/>
    <s v="UCqbTtfu9tQTvXsYsSfFFhzw"/>
    <s v="bigJ"/>
    <s v="http://www.youtube.com/channel/UCqbTtfu9tQTvXsYsSfFFhzw"/>
    <m/>
    <s v="V4-3xDi_Ems"/>
    <s v="https://www.youtube.com/watch?v=V4-3xDi_Ems"/>
    <s v="none"/>
    <n v="0"/>
    <x v="394"/>
    <d v="2023-08-09T12:22:08.000"/>
    <m/>
    <m/>
    <m/>
    <n v="1"/>
    <n v="1"/>
    <n v="1"/>
    <n v="1"/>
    <n v="25"/>
    <n v="0"/>
    <n v="0"/>
    <n v="0"/>
    <n v="0"/>
    <n v="1"/>
    <n v="25"/>
    <n v="4"/>
  </r>
  <r>
    <s v="UCIlsvXr6slgsp3xfEfzB8gg"/>
    <s v="UCqYI3lmZgTsRs202mY15QfA"/>
    <s v="128, 128, 128"/>
    <n v="3"/>
    <m/>
    <n v="40"/>
    <m/>
    <m/>
    <m/>
    <m/>
    <s v="No"/>
    <n v="398"/>
    <m/>
    <m/>
    <s v="Commented Video"/>
    <x v="0"/>
    <s v="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
    <s v="UCIlsvXr6slgsp3xfEfzB8gg"/>
    <s v="Johnny"/>
    <s v="http://www.youtube.com/channel/UCIlsvXr6slgsp3xfEfzB8gg"/>
    <m/>
    <s v="V4-3xDi_Ems"/>
    <s v="https://www.youtube.com/watch?v=V4-3xDi_Ems"/>
    <s v="none"/>
    <n v="0"/>
    <x v="395"/>
    <d v="2023-08-14T11:48:14.000"/>
    <m/>
    <m/>
    <m/>
    <n v="1"/>
    <n v="1"/>
    <n v="1"/>
    <n v="4"/>
    <n v="3.8095238095238093"/>
    <n v="2"/>
    <n v="1.9047619047619047"/>
    <n v="0"/>
    <n v="0"/>
    <n v="24"/>
    <n v="22.857142857142858"/>
    <n v="105"/>
  </r>
  <r>
    <s v="UCjIiEH0pLLOD70rgztI7-tw"/>
    <s v="UCqYI3lmZgTsRs202mY15QfA"/>
    <s v="128, 128, 128"/>
    <n v="3"/>
    <m/>
    <n v="40"/>
    <m/>
    <m/>
    <m/>
    <m/>
    <s v="No"/>
    <n v="399"/>
    <m/>
    <m/>
    <s v="Commented Video"/>
    <x v="0"/>
    <s v="Why do some doctors say fiber is not good if you suffer from constipation?"/>
    <s v="UCjIiEH0pLLOD70rgztI7-tw"/>
    <s v="C B"/>
    <s v="http://www.youtube.com/channel/UCjIiEH0pLLOD70rgztI7-tw"/>
    <m/>
    <s v="V4-3xDi_Ems"/>
    <s v="https://www.youtube.com/watch?v=V4-3xDi_Ems"/>
    <s v="none"/>
    <n v="0"/>
    <x v="396"/>
    <d v="2023-08-14T22:55:57.000"/>
    <m/>
    <m/>
    <m/>
    <n v="1"/>
    <n v="1"/>
    <n v="1"/>
    <n v="1"/>
    <n v="7.142857142857143"/>
    <n v="1"/>
    <n v="7.142857142857143"/>
    <n v="0"/>
    <n v="0"/>
    <n v="3"/>
    <n v="21.428571428571427"/>
    <n v="14"/>
  </r>
  <r>
    <s v="UCy5alV9seV9cbMwIhrSghaQ"/>
    <s v="UCqYI3lmZgTsRs202mY15QfA"/>
    <s v="128, 128, 128"/>
    <n v="3"/>
    <m/>
    <n v="40"/>
    <m/>
    <m/>
    <m/>
    <m/>
    <s v="No"/>
    <n v="400"/>
    <m/>
    <m/>
    <s v="Commented Video"/>
    <x v="0"/>
    <s v="Increase water not fiber&lt;br&gt;Fiber can make it worst&lt;br&gt;More fiber more poo more pain"/>
    <s v="UCy5alV9seV9cbMwIhrSghaQ"/>
    <s v="potato aim"/>
    <s v="http://www.youtube.com/channel/UCy5alV9seV9cbMwIhrSghaQ"/>
    <m/>
    <s v="V4-3xDi_Ems"/>
    <s v="https://www.youtube.com/watch?v=V4-3xDi_Ems"/>
    <s v="none"/>
    <n v="1"/>
    <x v="397"/>
    <d v="2023-08-15T21:41:08.000"/>
    <m/>
    <m/>
    <m/>
    <n v="1"/>
    <n v="1"/>
    <n v="1"/>
    <n v="0"/>
    <n v="0"/>
    <n v="2"/>
    <n v="11.764705882352942"/>
    <n v="0"/>
    <n v="0"/>
    <n v="6"/>
    <n v="35.294117647058826"/>
    <n v="17"/>
  </r>
  <r>
    <s v="UC8CF8mRiWUxpq8P7YawQMgg"/>
    <s v="UCqYI3lmZgTsRs202mY15QfA"/>
    <s v="128, 128, 128"/>
    <n v="3"/>
    <m/>
    <n v="40"/>
    <m/>
    <m/>
    <m/>
    <m/>
    <s v="No"/>
    <n v="401"/>
    <m/>
    <m/>
    <s v="Commented Video"/>
    <x v="0"/>
    <s v="Does taking calcium dobesilate monohydrate shrink external hemmaroid?"/>
    <s v="UC8CF8mRiWUxpq8P7YawQMgg"/>
    <s v="Donna"/>
    <s v="http://www.youtube.com/channel/UC8CF8mRiWUxpq8P7YawQMgg"/>
    <m/>
    <s v="V4-3xDi_Ems"/>
    <s v="https://www.youtube.com/watch?v=V4-3xDi_Ems"/>
    <s v="none"/>
    <n v="0"/>
    <x v="398"/>
    <d v="2023-08-16T11:27:45.000"/>
    <m/>
    <m/>
    <m/>
    <n v="1"/>
    <n v="1"/>
    <n v="1"/>
    <n v="0"/>
    <n v="0"/>
    <n v="0"/>
    <n v="0"/>
    <n v="0"/>
    <n v="0"/>
    <n v="6"/>
    <n v="75"/>
    <n v="8"/>
  </r>
  <r>
    <s v="UCqX177w_PiXGgkfXfnW4wtw"/>
    <s v="UCqYI3lmZgTsRs202mY15QfA"/>
    <s v="128, 128, 128"/>
    <n v="3"/>
    <m/>
    <n v="40"/>
    <m/>
    <m/>
    <m/>
    <m/>
    <s v="No"/>
    <n v="402"/>
    <m/>
    <m/>
    <s v="Commented Video"/>
    <x v="0"/>
    <s v="Mine Is Inside The Anus Around 2-3 Inches Deep"/>
    <s v="UCqX177w_PiXGgkfXfnW4wtw"/>
    <s v="Mr-Slayer-Sir"/>
    <s v="http://www.youtube.com/channel/UCqX177w_PiXGgkfXfnW4wtw"/>
    <m/>
    <s v="V4-3xDi_Ems"/>
    <s v="https://www.youtube.com/watch?v=V4-3xDi_Ems"/>
    <s v="none"/>
    <n v="0"/>
    <x v="399"/>
    <d v="2023-08-18T01:52:34.000"/>
    <m/>
    <m/>
    <m/>
    <n v="1"/>
    <n v="1"/>
    <n v="1"/>
    <n v="0"/>
    <n v="0"/>
    <n v="0"/>
    <n v="0"/>
    <n v="0"/>
    <n v="0"/>
    <n v="3"/>
    <n v="30"/>
    <n v="10"/>
  </r>
  <r>
    <s v="UCwiD2VBz53qs5CzkKaYLVuw"/>
    <s v="UCqYI3lmZgTsRs202mY15QfA"/>
    <s v="141, 115, 115"/>
    <n v="6.5"/>
    <m/>
    <n v="27.5"/>
    <m/>
    <m/>
    <m/>
    <m/>
    <s v="No"/>
    <n v="403"/>
    <m/>
    <m/>
    <s v="Commented Video"/>
    <x v="0"/>
    <s v="Ty so much dr❤❤❤"/>
    <s v="UCwiD2VBz53qs5CzkKaYLVuw"/>
    <s v="Evangeline Verasammy"/>
    <s v="http://www.youtube.com/channel/UCwiD2VBz53qs5CzkKaYLVuw"/>
    <m/>
    <s v="5QB8QAuirzA"/>
    <s v="https://www.youtube.com/watch?v=5QB8QAuirzA"/>
    <s v="none"/>
    <n v="0"/>
    <x v="400"/>
    <d v="2023-08-19T13:11:33.000"/>
    <m/>
    <m/>
    <m/>
    <n v="4"/>
    <n v="1"/>
    <n v="1"/>
    <n v="0"/>
    <n v="0"/>
    <n v="0"/>
    <n v="0"/>
    <n v="0"/>
    <n v="0"/>
    <n v="2"/>
    <n v="50"/>
    <n v="4"/>
  </r>
  <r>
    <s v="UC29ufL-6rZlQq74mCGo4qCA"/>
    <s v="UCqYI3lmZgTsRs202mY15QfA"/>
    <s v="128, 128, 128"/>
    <n v="3"/>
    <m/>
    <n v="40"/>
    <m/>
    <m/>
    <m/>
    <m/>
    <s v="No"/>
    <n v="404"/>
    <m/>
    <m/>
    <s v="Commented Video"/>
    <x v="0"/>
    <s v="Wash you butt hole with water and soap get a bidet..."/>
    <s v="UC29ufL-6rZlQq74mCGo4qCA"/>
    <s v="alfian mohamad marzuki"/>
    <s v="http://www.youtube.com/channel/UC29ufL-6rZlQq74mCGo4qCA"/>
    <m/>
    <s v="V4-3xDi_Ems"/>
    <s v="https://www.youtube.com/watch?v=V4-3xDi_Ems"/>
    <s v="none"/>
    <n v="0"/>
    <x v="401"/>
    <d v="2023-08-20T11:39:41.000"/>
    <m/>
    <m/>
    <m/>
    <n v="1"/>
    <n v="1"/>
    <n v="1"/>
    <n v="0"/>
    <n v="0"/>
    <n v="0"/>
    <n v="0"/>
    <n v="0"/>
    <n v="0"/>
    <n v="6"/>
    <n v="54.54545454545455"/>
    <n v="11"/>
  </r>
  <r>
    <s v="UCc-G6FYQXHiTE0f7-ZkFV5Q"/>
    <s v="UCqYI3lmZgTsRs202mY15QfA"/>
    <s v="128, 128, 128"/>
    <n v="3"/>
    <m/>
    <n v="40"/>
    <m/>
    <m/>
    <m/>
    <m/>
    <s v="No"/>
    <n v="405"/>
    <m/>
    <m/>
    <s v="Commented Video"/>
    <x v="0"/>
    <s v="wrong. does t work. cut out carbs and sugar. you never see a lion with herorids"/>
    <s v="UCc-G6FYQXHiTE0f7-ZkFV5Q"/>
    <s v="Michael Tse"/>
    <s v="http://www.youtube.com/channel/UCc-G6FYQXHiTE0f7-ZkFV5Q"/>
    <m/>
    <s v="V4-3xDi_Ems"/>
    <s v="https://www.youtube.com/watch?v=V4-3xDi_Ems"/>
    <s v="none"/>
    <n v="0"/>
    <x v="402"/>
    <d v="2023-08-20T15:56:57.000"/>
    <m/>
    <m/>
    <m/>
    <n v="1"/>
    <n v="1"/>
    <n v="1"/>
    <n v="1"/>
    <n v="6.25"/>
    <n v="1"/>
    <n v="6.25"/>
    <n v="0"/>
    <n v="0"/>
    <n v="5"/>
    <n v="31.25"/>
    <n v="16"/>
  </r>
  <r>
    <s v="UCdh0Do1iYOiMKV-grkbjcjQ"/>
    <s v="UCqYI3lmZgTsRs202mY15QfA"/>
    <s v="128, 128, 128"/>
    <n v="3"/>
    <m/>
    <n v="40"/>
    <m/>
    <m/>
    <m/>
    <m/>
    <s v="No"/>
    <n v="406"/>
    <m/>
    <m/>
    <s v="Commented Video"/>
    <x v="0"/>
    <s v="DO PARASITES .!!"/>
    <s v="UCdh0Do1iYOiMKV-grkbjcjQ"/>
    <s v="abraham ramirez"/>
    <s v="http://www.youtube.com/channel/UCdh0Do1iYOiMKV-grkbjcjQ"/>
    <m/>
    <s v="V4-3xDi_Ems"/>
    <s v="https://www.youtube.com/watch?v=V4-3xDi_Ems"/>
    <s v="none"/>
    <n v="0"/>
    <x v="403"/>
    <d v="2023-08-22T07:11:11.000"/>
    <m/>
    <m/>
    <m/>
    <n v="1"/>
    <n v="1"/>
    <n v="1"/>
    <n v="0"/>
    <n v="0"/>
    <n v="0"/>
    <n v="0"/>
    <n v="0"/>
    <n v="0"/>
    <n v="1"/>
    <n v="50"/>
    <n v="2"/>
  </r>
  <r>
    <s v="UCq_cL6-MVd7lmoT8GcqkGew"/>
    <s v="UCqYI3lmZgTsRs202mY15QfA"/>
    <s v="128, 128, 128"/>
    <n v="3"/>
    <m/>
    <n v="40"/>
    <m/>
    <m/>
    <m/>
    <m/>
    <s v="No"/>
    <n v="407"/>
    <m/>
    <m/>
    <s v="Commented Video"/>
    <x v="0"/>
    <s v="I&amp;#39;m getting @n@l everyday but I never had hemorrhoids before because I just naturally eat vegetables. Eat your vegetables folks!"/>
    <s v="UCq_cL6-MVd7lmoT8GcqkGew"/>
    <s v="Ikan Masin"/>
    <s v="http://www.youtube.com/channel/UCq_cL6-MVd7lmoT8GcqkGew"/>
    <m/>
    <s v="V4-3xDi_Ems"/>
    <s v="https://www.youtube.com/watch?v=V4-3xDi_Ems"/>
    <s v="none"/>
    <n v="0"/>
    <x v="404"/>
    <d v="2023-08-25T09:46:21.000"/>
    <m/>
    <m/>
    <m/>
    <n v="1"/>
    <n v="1"/>
    <n v="1"/>
    <n v="0"/>
    <n v="0"/>
    <n v="0"/>
    <n v="0"/>
    <n v="0"/>
    <n v="0"/>
    <n v="8"/>
    <n v="34.78260869565217"/>
    <n v="23"/>
  </r>
  <r>
    <s v="UCOl9T2briN9rXOhHtA-2UVQ"/>
    <s v="UCqYI3lmZgTsRs202mY15QfA"/>
    <s v="128, 128, 128"/>
    <n v="3"/>
    <m/>
    <n v="40"/>
    <m/>
    <m/>
    <m/>
    <m/>
    <s v="No"/>
    <n v="408"/>
    <m/>
    <m/>
    <s v="Commented Video"/>
    <x v="0"/>
    <s v="Thank Dr Madida for the herbs you sent me for my human papilomavirus🦠... It really worked and cured me."/>
    <s v="UCOl9T2briN9rXOhHtA-2UVQ"/>
    <s v="John Robert"/>
    <s v="http://www.youtube.com/channel/UCOl9T2briN9rXOhHtA-2UVQ"/>
    <m/>
    <s v="V4-3xDi_Ems"/>
    <s v="https://www.youtube.com/watch?v=V4-3xDi_Ems"/>
    <s v="none"/>
    <n v="0"/>
    <x v="405"/>
    <d v="2023-08-26T03:53:48.000"/>
    <m/>
    <m/>
    <m/>
    <n v="1"/>
    <n v="1"/>
    <n v="1"/>
    <n v="1"/>
    <n v="5.2631578947368425"/>
    <n v="0"/>
    <n v="0"/>
    <n v="0"/>
    <n v="0"/>
    <n v="6"/>
    <n v="31.57894736842105"/>
    <n v="19"/>
  </r>
  <r>
    <s v="UCUWn49F_co-2qUwxo0pnCgA"/>
    <s v="UCqYI3lmZgTsRs202mY15QfA"/>
    <s v="128, 128, 128"/>
    <n v="3"/>
    <m/>
    <n v="40"/>
    <m/>
    <m/>
    <m/>
    <m/>
    <s v="No"/>
    <n v="409"/>
    <m/>
    <m/>
    <s v="Commented Video"/>
    <x v="0"/>
    <s v="Preparation H makes your disgusting hemorrhoids disappear.  (I heard it from a friend.)"/>
    <s v="UCUWn49F_co-2qUwxo0pnCgA"/>
    <s v="Jonny Bingo"/>
    <s v="http://www.youtube.com/channel/UCUWn49F_co-2qUwxo0pnCgA"/>
    <m/>
    <s v="V4-3xDi_Ems"/>
    <s v="https://www.youtube.com/watch?v=V4-3xDi_Ems"/>
    <s v="none"/>
    <n v="0"/>
    <x v="406"/>
    <d v="2023-08-28T09:53:10.000"/>
    <m/>
    <m/>
    <m/>
    <n v="1"/>
    <n v="1"/>
    <n v="1"/>
    <n v="0"/>
    <n v="0"/>
    <n v="1"/>
    <n v="7.6923076923076925"/>
    <n v="0"/>
    <n v="0"/>
    <n v="5"/>
    <n v="38.46153846153846"/>
    <n v="13"/>
  </r>
  <r>
    <s v="UCbItBcjAoT3zq55mgQk64zA"/>
    <s v="UCqYI3lmZgTsRs202mY15QfA"/>
    <s v="128, 128, 128"/>
    <n v="3"/>
    <m/>
    <n v="40"/>
    <m/>
    <m/>
    <m/>
    <m/>
    <s v="No"/>
    <n v="410"/>
    <m/>
    <m/>
    <s v="Commented Video"/>
    <x v="0"/>
    <s v="The video I didn’t know I needed - thank you guys !"/>
    <s v="UCbItBcjAoT3zq55mgQk64zA"/>
    <s v="Itai Axelrod"/>
    <s v="http://www.youtube.com/channel/UCbItBcjAoT3zq55mgQk64zA"/>
    <m/>
    <s v="V4-3xDi_Ems"/>
    <s v="https://www.youtube.com/watch?v=V4-3xDi_Ems"/>
    <s v="none"/>
    <n v="0"/>
    <x v="407"/>
    <d v="2023-08-29T23:47:21.000"/>
    <m/>
    <m/>
    <m/>
    <n v="1"/>
    <n v="1"/>
    <n v="1"/>
    <n v="0"/>
    <n v="0"/>
    <n v="0"/>
    <n v="0"/>
    <n v="0"/>
    <n v="0"/>
    <n v="1"/>
    <n v="9.090909090909092"/>
    <n v="11"/>
  </r>
  <r>
    <s v="UCQR2UEbaLONB77tVFAQd-BQ"/>
    <s v="UCqYI3lmZgTsRs202mY15QfA"/>
    <s v="128, 128, 128"/>
    <n v="3"/>
    <m/>
    <n v="40"/>
    <m/>
    <m/>
    <m/>
    <m/>
    <s v="No"/>
    <n v="411"/>
    <m/>
    <m/>
    <s v="Commented Video"/>
    <x v="0"/>
    <s v="I&amp;#39;d just shit it out"/>
    <s v="UCQR2UEbaLONB77tVFAQd-BQ"/>
    <s v="Haron"/>
    <s v="http://www.youtube.com/channel/UCQR2UEbaLONB77tVFAQd-BQ"/>
    <m/>
    <s v="V4-3xDi_Ems"/>
    <s v="https://www.youtube.com/watch?v=V4-3xDi_Ems"/>
    <s v="none"/>
    <n v="0"/>
    <x v="408"/>
    <d v="2023-09-03T15:23:56.000"/>
    <m/>
    <m/>
    <m/>
    <n v="1"/>
    <n v="1"/>
    <n v="1"/>
    <n v="0"/>
    <n v="0"/>
    <n v="1"/>
    <n v="14.285714285714286"/>
    <n v="0"/>
    <n v="0"/>
    <n v="0"/>
    <n v="0"/>
    <n v="7"/>
  </r>
  <r>
    <s v="UC2gpqDFhqNpiziVdgQVlGpg"/>
    <s v="UCqYI3lmZgTsRs202mY15QfA"/>
    <s v="128, 128, 128"/>
    <n v="3"/>
    <m/>
    <n v="40"/>
    <m/>
    <m/>
    <m/>
    <m/>
    <s v="No"/>
    <n v="412"/>
    <m/>
    <m/>
    <s v="Commented Video"/>
    <x v="0"/>
    <s v="Bro stop making me laugh my but hurts every time I laugh or cough Fr 😭🤣🤣🤣"/>
    <s v="UC2gpqDFhqNpiziVdgQVlGpg"/>
    <s v="Marco Jimenez"/>
    <s v="http://www.youtube.com/channel/UC2gpqDFhqNpiziVdgQVlGpg"/>
    <m/>
    <s v="V4-3xDi_Ems"/>
    <s v="https://www.youtube.com/watch?v=V4-3xDi_Ems"/>
    <s v="none"/>
    <n v="0"/>
    <x v="409"/>
    <d v="2023-09-07T23:23:33.000"/>
    <m/>
    <m/>
    <m/>
    <n v="1"/>
    <n v="1"/>
    <n v="1"/>
    <n v="0"/>
    <n v="0"/>
    <n v="1"/>
    <n v="6.666666666666667"/>
    <n v="0"/>
    <n v="0"/>
    <n v="6"/>
    <n v="40"/>
    <n v="15"/>
  </r>
  <r>
    <s v="UCSAiw_lOoornMF7bgO9qozg"/>
    <s v="UCqYI3lmZgTsRs202mY15QfA"/>
    <s v="128, 128, 128"/>
    <n v="3"/>
    <m/>
    <n v="40"/>
    <m/>
    <m/>
    <m/>
    <m/>
    <s v="No"/>
    <n v="413"/>
    <m/>
    <m/>
    <s v="Commented Video"/>
    <x v="0"/>
    <s v="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
    <s v="UCSAiw_lOoornMF7bgO9qozg"/>
    <s v="Shaquille C. - Owe No Man Anything"/>
    <s v="http://www.youtube.com/channel/UCSAiw_lOoornMF7bgO9qozg"/>
    <m/>
    <s v="V4-3xDi_Ems"/>
    <s v="https://www.youtube.com/watch?v=V4-3xDi_Ems"/>
    <s v="none"/>
    <n v="0"/>
    <x v="410"/>
    <d v="2023-09-08T02:21:31.000"/>
    <m/>
    <m/>
    <m/>
    <n v="1"/>
    <n v="1"/>
    <n v="1"/>
    <n v="2"/>
    <n v="1.9801980198019802"/>
    <n v="2"/>
    <n v="1.9801980198019802"/>
    <n v="0"/>
    <n v="0"/>
    <n v="25"/>
    <n v="24.752475247524753"/>
    <n v="101"/>
  </r>
  <r>
    <s v="UCLEIkFjlJXhXU8hu-JUp0Kg"/>
    <s v="UCqYI3lmZgTsRs202mY15QfA"/>
    <s v="128, 128, 128"/>
    <n v="3"/>
    <m/>
    <n v="40"/>
    <m/>
    <m/>
    <m/>
    <m/>
    <s v="No"/>
    <n v="414"/>
    <m/>
    <m/>
    <s v="Commented Video"/>
    <x v="0"/>
    <s v="Horse chestnut Supplement 👍"/>
    <s v="UCLEIkFjlJXhXU8hu-JUp0Kg"/>
    <s v="Suze Auster"/>
    <s v="http://www.youtube.com/channel/UCLEIkFjlJXhXU8hu-JUp0Kg"/>
    <m/>
    <s v="V4-3xDi_Ems"/>
    <s v="https://www.youtube.com/watch?v=V4-3xDi_Ems"/>
    <s v="none"/>
    <n v="0"/>
    <x v="411"/>
    <d v="2023-09-13T03:05:50.000"/>
    <m/>
    <m/>
    <m/>
    <n v="1"/>
    <n v="1"/>
    <n v="1"/>
    <n v="0"/>
    <n v="0"/>
    <n v="0"/>
    <n v="0"/>
    <n v="0"/>
    <n v="0"/>
    <n v="3"/>
    <n v="100"/>
    <n v="3"/>
  </r>
  <r>
    <s v="UCq45QdoE7QppeSdeeds4DYQ"/>
    <s v="UCqYI3lmZgTsRs202mY15QfA"/>
    <s v="128, 128, 128"/>
    <n v="3"/>
    <m/>
    <n v="40"/>
    <m/>
    <m/>
    <m/>
    <m/>
    <s v="No"/>
    <n v="415"/>
    <m/>
    <m/>
    <s v="Commented Video"/>
    <x v="0"/>
    <s v="Simple method &lt;br&gt;Do not hold ……."/>
    <s v="UCq45QdoE7QppeSdeeds4DYQ"/>
    <s v="raji vadi"/>
    <s v="http://www.youtube.com/channel/UCq45QdoE7QppeSdeeds4DYQ"/>
    <m/>
    <s v="V4-3xDi_Ems"/>
    <s v="https://www.youtube.com/watch?v=V4-3xDi_Ems"/>
    <s v="none"/>
    <n v="0"/>
    <x v="412"/>
    <d v="2023-09-14T19:42:18.000"/>
    <m/>
    <m/>
    <m/>
    <n v="1"/>
    <n v="1"/>
    <n v="1"/>
    <n v="0"/>
    <n v="0"/>
    <n v="0"/>
    <n v="0"/>
    <n v="0"/>
    <n v="0"/>
    <n v="3"/>
    <n v="50"/>
    <n v="6"/>
  </r>
  <r>
    <s v="UCTrJv01LlzVcp2oUcOwkb4Q"/>
    <s v="UCqYI3lmZgTsRs202mY15QfA"/>
    <s v="128, 128, 128"/>
    <n v="3"/>
    <m/>
    <n v="40"/>
    <m/>
    <m/>
    <m/>
    <m/>
    <s v="No"/>
    <n v="416"/>
    <m/>
    <m/>
    <s v="Commented Video"/>
    <x v="0"/>
    <s v="My chronic hemorrhoids were gone permanently within 6 days of using the pure and natural herbal medicine from Dr Eromon on YouTube.  Dr Eromon saved my ass"/>
    <s v="UCTrJv01LlzVcp2oUcOwkb4Q"/>
    <s v="Maxim Elspledor"/>
    <s v="http://www.youtube.com/channel/UCTrJv01LlzVcp2oUcOwkb4Q"/>
    <m/>
    <s v="V4-3xDi_Ems"/>
    <s v="https://www.youtube.com/watch?v=V4-3xDi_Ems"/>
    <s v="none"/>
    <n v="0"/>
    <x v="413"/>
    <d v="2023-09-18T04:20:32.000"/>
    <m/>
    <m/>
    <m/>
    <n v="1"/>
    <n v="1"/>
    <n v="1"/>
    <n v="1"/>
    <n v="3.7037037037037037"/>
    <n v="1"/>
    <n v="3.7037037037037037"/>
    <n v="0"/>
    <n v="0"/>
    <n v="11"/>
    <n v="40.74074074074074"/>
    <n v="27"/>
  </r>
  <r>
    <s v="UCqYI3lmZgTsRs202mY15QfA"/>
    <s v="UCqYI3lmZgTsRs202mY15QfA"/>
    <s v="141, 115, 115"/>
    <n v="6.5"/>
    <m/>
    <n v="27.5"/>
    <m/>
    <m/>
    <m/>
    <m/>
    <s v="No"/>
    <n v="417"/>
    <m/>
    <m/>
    <s v="Posted Video"/>
    <x v="1"/>
    <m/>
    <m/>
    <m/>
    <m/>
    <m/>
    <s v="5QB8QAuirzA"/>
    <s v="https://www.youtube.com/watch?v=5QB8QAuirzA"/>
    <m/>
    <m/>
    <x v="414"/>
    <m/>
    <m/>
    <m/>
    <m/>
    <n v="4"/>
    <n v="1"/>
    <n v="1"/>
    <m/>
    <m/>
    <m/>
    <m/>
    <m/>
    <m/>
    <m/>
    <m/>
    <m/>
  </r>
  <r>
    <s v="UCs4aCS-UjgJdhFfnqmLjigg"/>
    <s v="UCqYI3lmZgTsRs202mY15QfA"/>
    <s v="128, 128, 128"/>
    <n v="3"/>
    <m/>
    <n v="40"/>
    <m/>
    <m/>
    <m/>
    <m/>
    <s v="No"/>
    <n v="418"/>
    <m/>
    <m/>
    <s v="Commented Video"/>
    <x v="0"/>
    <s v="Go to your doctor and get your iron studies done. Thank me later!!!"/>
    <s v="UCs4aCS-UjgJdhFfnqmLjigg"/>
    <s v="Liz"/>
    <s v="http://www.youtube.com/channel/UCs4aCS-UjgJdhFfnqmLjigg"/>
    <m/>
    <s v="V4-3xDi_Ems"/>
    <s v="https://www.youtube.com/watch?v=V4-3xDi_Ems"/>
    <s v="none"/>
    <n v="0"/>
    <x v="415"/>
    <d v="2023-09-18T13:57:20.000"/>
    <m/>
    <m/>
    <m/>
    <n v="1"/>
    <n v="1"/>
    <n v="1"/>
    <n v="0"/>
    <n v="0"/>
    <n v="0"/>
    <n v="0"/>
    <n v="0"/>
    <n v="0"/>
    <n v="3"/>
    <n v="23.076923076923077"/>
    <n v="13"/>
  </r>
  <r>
    <s v="UCq-kuTyqK2aMMhi4QYa2gYA"/>
    <s v="UCT7yXmzt1s7mrvcg1OJVBRQ"/>
    <s v="128, 128, 128"/>
    <n v="3"/>
    <m/>
    <n v="40"/>
    <m/>
    <m/>
    <m/>
    <m/>
    <s v="No"/>
    <n v="419"/>
    <m/>
    <m/>
    <s v="Commented Video"/>
    <x v="0"/>
    <s v="Very informative lecture Dr."/>
    <s v="UCq-kuTyqK2aMMhi4QYa2gYA"/>
    <s v="Dr.Saba Amin"/>
    <s v="http://www.youtube.com/channel/UCq-kuTyqK2aMMhi4QYa2gYA"/>
    <m/>
    <s v="3aUEvg57hAI"/>
    <s v="https://www.youtube.com/watch?v=3aUEvg57hAI"/>
    <s v="none"/>
    <n v="0"/>
    <x v="416"/>
    <d v="2023-01-09T14:50:30.000"/>
    <m/>
    <m/>
    <m/>
    <n v="1"/>
    <n v="10"/>
    <n v="10"/>
    <n v="0"/>
    <n v="0"/>
    <n v="0"/>
    <n v="0"/>
    <n v="0"/>
    <n v="0"/>
    <n v="3"/>
    <n v="75"/>
    <n v="4"/>
  </r>
  <r>
    <s v="UCW73fJdVVUhT29oChWWXe3w"/>
    <s v="UCT7yXmzt1s7mrvcg1OJVBRQ"/>
    <s v="128, 128, 128"/>
    <n v="3"/>
    <m/>
    <n v="40"/>
    <m/>
    <m/>
    <m/>
    <m/>
    <s v="No"/>
    <n v="420"/>
    <m/>
    <m/>
    <s v="Commented Video"/>
    <x v="0"/>
    <s v="Its always very interesting to study about financial management, such a delicate balance. thank you for such a good lecture Dr. Khaled."/>
    <s v="UCW73fJdVVUhT29oChWWXe3w"/>
    <s v="C12 abn Al-bb"/>
    <s v="http://www.youtube.com/channel/UCW73fJdVVUhT29oChWWXe3w"/>
    <m/>
    <s v="3aUEvg57hAI"/>
    <s v="https://www.youtube.com/watch?v=3aUEvg57hAI"/>
    <s v="none"/>
    <n v="0"/>
    <x v="417"/>
    <d v="2023-01-10T17:46:44.000"/>
    <m/>
    <m/>
    <m/>
    <n v="1"/>
    <n v="10"/>
    <n v="10"/>
    <n v="3"/>
    <n v="13.636363636363637"/>
    <n v="0"/>
    <n v="0"/>
    <n v="0"/>
    <n v="0"/>
    <n v="7"/>
    <n v="31.818181818181817"/>
    <n v="22"/>
  </r>
  <r>
    <s v="UCT7yXmzt1s7mrvcg1OJVBRQ"/>
    <s v="UCT7yXmzt1s7mrvcg1OJVBRQ"/>
    <s v="128, 128, 128"/>
    <n v="3"/>
    <m/>
    <n v="40"/>
    <m/>
    <m/>
    <m/>
    <m/>
    <s v="No"/>
    <n v="421"/>
    <m/>
    <m/>
    <s v="Posted Video"/>
    <x v="1"/>
    <m/>
    <m/>
    <m/>
    <m/>
    <m/>
    <s v="3aUEvg57hAI"/>
    <s v="https://www.youtube.com/watch?v=3aUEvg57hAI"/>
    <m/>
    <m/>
    <x v="418"/>
    <m/>
    <m/>
    <m/>
    <m/>
    <n v="1"/>
    <n v="10"/>
    <n v="10"/>
    <m/>
    <m/>
    <m/>
    <m/>
    <m/>
    <m/>
    <m/>
    <m/>
    <m/>
  </r>
  <r>
    <s v="UClMjhzaO86ynNplMrRfoB4Q"/>
    <s v="UCT7yXmzt1s7mrvcg1OJVBRQ"/>
    <s v="128, 128, 128"/>
    <n v="3"/>
    <m/>
    <n v="40"/>
    <m/>
    <m/>
    <m/>
    <m/>
    <s v="No"/>
    <n v="422"/>
    <m/>
    <m/>
    <s v="Commented Video"/>
    <x v="0"/>
    <s v="Great video!"/>
    <s v="UClMjhzaO86ynNplMrRfoB4Q"/>
    <s v="Cobra Financial Solutions"/>
    <s v="http://www.youtube.com/channel/UClMjhzaO86ynNplMrRfoB4Q"/>
    <m/>
    <s v="3aUEvg57hAI"/>
    <s v="https://www.youtube.com/watch?v=3aUEvg57hAI"/>
    <s v="none"/>
    <n v="0"/>
    <x v="419"/>
    <d v="2023-01-13T18:54:16.000"/>
    <m/>
    <m/>
    <m/>
    <n v="1"/>
    <n v="10"/>
    <n v="10"/>
    <n v="1"/>
    <n v="50"/>
    <n v="0"/>
    <n v="0"/>
    <n v="0"/>
    <n v="0"/>
    <n v="0"/>
    <n v="0"/>
    <n v="2"/>
  </r>
  <r>
    <s v="UCrUXf4iY0j_IQGpFPsTQa1Q"/>
    <s v="UC8yH-uI81UUtEMDsowQyx1g"/>
    <s v="128, 128, 128"/>
    <n v="3"/>
    <m/>
    <n v="40"/>
    <m/>
    <m/>
    <m/>
    <m/>
    <s v="No"/>
    <n v="423"/>
    <m/>
    <m/>
    <s v="Commented Video"/>
    <x v="0"/>
    <s v="And yet too date,  Department of Health, has not admitted foreign qualified doctors?!"/>
    <s v="UCrUXf4iY0j_IQGpFPsTQa1Q"/>
    <s v="Human"/>
    <s v="http://www.youtube.com/channel/UCrUXf4iY0j_IQGpFPsTQa1Q"/>
    <m/>
    <s v="HeygX8UYhCA"/>
    <s v="https://www.youtube.com/watch?v=HeygX8UYhCA"/>
    <s v="none"/>
    <n v="2"/>
    <x v="420"/>
    <d v="2023-09-09T04:25:16.000"/>
    <m/>
    <m/>
    <m/>
    <n v="1"/>
    <n v="5"/>
    <n v="5"/>
    <n v="1"/>
    <n v="7.6923076923076925"/>
    <n v="0"/>
    <n v="0"/>
    <n v="0"/>
    <n v="0"/>
    <n v="5"/>
    <n v="38.46153846153846"/>
    <n v="13"/>
  </r>
  <r>
    <s v="UCgM23NLmNQQP4rdr0z9OV6w"/>
    <s v="UC8yH-uI81UUtEMDsowQyx1g"/>
    <s v="128, 128, 128"/>
    <n v="3"/>
    <m/>
    <n v="40"/>
    <m/>
    <m/>
    <m/>
    <m/>
    <s v="No"/>
    <n v="424"/>
    <m/>
    <m/>
    <s v="Commented Video"/>
    <x v="0"/>
    <s v="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
    <s v="UCgM23NLmNQQP4rdr0z9OV6w"/>
    <s v="Cheryl Penny"/>
    <s v="http://www.youtube.com/channel/UCgM23NLmNQQP4rdr0z9OV6w"/>
    <m/>
    <s v="HeygX8UYhCA"/>
    <s v="https://www.youtube.com/watch?v=HeygX8UYhCA"/>
    <s v="none"/>
    <n v="1"/>
    <x v="421"/>
    <d v="2023-09-09T04:39:18.000"/>
    <m/>
    <m/>
    <m/>
    <n v="1"/>
    <n v="5"/>
    <n v="5"/>
    <n v="1"/>
    <n v="1.3157894736842106"/>
    <n v="0"/>
    <n v="0"/>
    <n v="0"/>
    <n v="0"/>
    <n v="23"/>
    <n v="30.263157894736842"/>
    <n v="76"/>
  </r>
  <r>
    <s v="UCqXLQYDIEN1NdwqGDImJ5jA"/>
    <s v="UC8yH-uI81UUtEMDsowQyx1g"/>
    <s v="128, 128, 128"/>
    <n v="3"/>
    <m/>
    <n v="40"/>
    <m/>
    <m/>
    <m/>
    <m/>
    <s v="No"/>
    <n v="425"/>
    <m/>
    <m/>
    <s v="Commented Video"/>
    <x v="0"/>
    <s v="Keep voting ANC and EFF... the doctors will run away"/>
    <s v="UCqXLQYDIEN1NdwqGDImJ5jA"/>
    <s v="Andrew Mc Farlane"/>
    <s v="http://www.youtube.com/channel/UCqXLQYDIEN1NdwqGDImJ5jA"/>
    <m/>
    <s v="HeygX8UYhCA"/>
    <s v="https://www.youtube.com/watch?v=HeygX8UYhCA"/>
    <s v="none"/>
    <n v="8"/>
    <x v="422"/>
    <d v="2023-09-09T05:41:57.000"/>
    <m/>
    <m/>
    <m/>
    <n v="1"/>
    <n v="5"/>
    <n v="5"/>
    <n v="0"/>
    <n v="0"/>
    <n v="0"/>
    <n v="0"/>
    <n v="0"/>
    <n v="0"/>
    <n v="5"/>
    <n v="50"/>
    <n v="10"/>
  </r>
  <r>
    <s v="UCwbTK9LMWW5Hu683te9YcRQ"/>
    <s v="UC8yH-uI81UUtEMDsowQyx1g"/>
    <s v="128, 128, 128"/>
    <n v="3"/>
    <m/>
    <n v="40"/>
    <m/>
    <m/>
    <m/>
    <m/>
    <s v="No"/>
    <n v="426"/>
    <m/>
    <m/>
    <s v="Commented Video"/>
    <x v="0"/>
    <s v="Dont worry Fake doctors  are on  the way"/>
    <s v="UCwbTK9LMWW5Hu683te9YcRQ"/>
    <s v="gigi"/>
    <s v="http://www.youtube.com/channel/UCwbTK9LMWW5Hu683te9YcRQ"/>
    <m/>
    <s v="HeygX8UYhCA"/>
    <s v="https://www.youtube.com/watch?v=HeygX8UYhCA"/>
    <s v="none"/>
    <n v="0"/>
    <x v="423"/>
    <d v="2023-09-09T06:03:43.000"/>
    <m/>
    <m/>
    <m/>
    <n v="1"/>
    <n v="5"/>
    <n v="5"/>
    <n v="0"/>
    <n v="0"/>
    <n v="2"/>
    <n v="25"/>
    <n v="0"/>
    <n v="0"/>
    <n v="1"/>
    <n v="12.5"/>
    <n v="8"/>
  </r>
  <r>
    <s v="UCE8wRMsUR3Q2lj3izQ-yN6A"/>
    <s v="UC8yH-uI81UUtEMDsowQyx1g"/>
    <s v="128, 128, 128"/>
    <n v="3"/>
    <m/>
    <n v="40"/>
    <m/>
    <m/>
    <m/>
    <m/>
    <s v="No"/>
    <n v="427"/>
    <m/>
    <m/>
    <s v="Commented Video"/>
    <x v="0"/>
    <s v="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
    <s v="UCE8wRMsUR3Q2lj3izQ-yN6A"/>
    <s v="Bad Habbitz"/>
    <s v="http://www.youtube.com/channel/UCE8wRMsUR3Q2lj3izQ-yN6A"/>
    <m/>
    <s v="HeygX8UYhCA"/>
    <s v="https://www.youtube.com/watch?v=HeygX8UYhCA"/>
    <s v="none"/>
    <n v="11"/>
    <x v="424"/>
    <d v="2023-09-09T06:25:10.000"/>
    <m/>
    <m/>
    <m/>
    <n v="1"/>
    <n v="5"/>
    <n v="5"/>
    <n v="4"/>
    <n v="7.407407407407407"/>
    <n v="0"/>
    <n v="0"/>
    <n v="0"/>
    <n v="0"/>
    <n v="20"/>
    <n v="37.03703703703704"/>
    <n v="54"/>
  </r>
  <r>
    <s v="UCAl9DhRv3T6VbQFhMy4ZfjA"/>
    <s v="UC8yH-uI81UUtEMDsowQyx1g"/>
    <s v="128, 128, 128"/>
    <n v="3"/>
    <m/>
    <n v="40"/>
    <m/>
    <m/>
    <m/>
    <m/>
    <s v="No"/>
    <n v="428"/>
    <m/>
    <m/>
    <s v="Commented Video"/>
    <x v="0"/>
    <s v="And yet they say doctors from other countries are &amp;quot;takingvtheir jobs&amp;quot;. 😢 This shallow mondset must stop because SA is not and cannot be an island."/>
    <s v="UCAl9DhRv3T6VbQFhMy4ZfjA"/>
    <s v="Ngala Hansel"/>
    <s v="http://www.youtube.com/channel/UCAl9DhRv3T6VbQFhMy4ZfjA"/>
    <m/>
    <s v="HeygX8UYhCA"/>
    <s v="https://www.youtube.com/watch?v=HeygX8UYhCA"/>
    <s v="none"/>
    <n v="3"/>
    <x v="425"/>
    <d v="2023-09-09T11:17:36.000"/>
    <m/>
    <m/>
    <m/>
    <n v="1"/>
    <n v="5"/>
    <n v="5"/>
    <n v="0"/>
    <n v="0"/>
    <n v="1"/>
    <n v="3.7037037037037037"/>
    <n v="0"/>
    <n v="0"/>
    <n v="8"/>
    <n v="29.62962962962963"/>
    <n v="27"/>
  </r>
  <r>
    <s v="UCqaNnkbltkl2EZ2q-f90l_w"/>
    <s v="UC8yH-uI81UUtEMDsowQyx1g"/>
    <s v="128, 128, 128"/>
    <n v="3"/>
    <m/>
    <n v="40"/>
    <m/>
    <m/>
    <m/>
    <m/>
    <s v="No"/>
    <n v="429"/>
    <m/>
    <m/>
    <s v="Commented Video"/>
    <x v="0"/>
    <s v="Why did the gvt refuses  employ foreign doctors"/>
    <s v="UCqaNnkbltkl2EZ2q-f90l_w"/>
    <s v="Lupious Chiwanza"/>
    <s v="http://www.youtube.com/channel/UCqaNnkbltkl2EZ2q-f90l_w"/>
    <m/>
    <s v="HeygX8UYhCA"/>
    <s v="https://www.youtube.com/watch?v=HeygX8UYhCA"/>
    <s v="none"/>
    <n v="3"/>
    <x v="426"/>
    <d v="2023-09-09T11:24:27.000"/>
    <m/>
    <m/>
    <m/>
    <n v="1"/>
    <n v="5"/>
    <n v="5"/>
    <n v="0"/>
    <n v="0"/>
    <n v="1"/>
    <n v="12.5"/>
    <n v="0"/>
    <n v="0"/>
    <n v="4"/>
    <n v="50"/>
    <n v="8"/>
  </r>
  <r>
    <s v="UCe4kPsTw5pTJC4Y1NmnxQRg"/>
    <s v="UC8yH-uI81UUtEMDsowQyx1g"/>
    <s v="128, 128, 128"/>
    <n v="3"/>
    <m/>
    <n v="40"/>
    <m/>
    <m/>
    <m/>
    <m/>
    <s v="No"/>
    <n v="430"/>
    <m/>
    <m/>
    <s v="Commented Video"/>
    <x v="0"/>
    <s v="There are so many unemployed doctors in the country, department of health says there’s no money to employ them. As a result, most doctors are hassling in private and in the mines."/>
    <s v="UCe4kPsTw5pTJC4Y1NmnxQRg"/>
    <s v="Hadassah First"/>
    <s v="http://www.youtube.com/channel/UCe4kPsTw5pTJC4Y1NmnxQRg"/>
    <m/>
    <s v="HeygX8UYhCA"/>
    <s v="https://www.youtube.com/watch?v=HeygX8UYhCA"/>
    <s v="none"/>
    <n v="6"/>
    <x v="427"/>
    <d v="2023-09-09T14:01:09.000"/>
    <m/>
    <m/>
    <m/>
    <n v="1"/>
    <n v="5"/>
    <n v="5"/>
    <n v="0"/>
    <n v="0"/>
    <n v="1"/>
    <n v="3.0303030303030303"/>
    <n v="0"/>
    <n v="0"/>
    <n v="11"/>
    <n v="33.333333333333336"/>
    <n v="33"/>
  </r>
  <r>
    <s v="UC0LCq_OqhMElPUSFvxbp_WQ"/>
    <s v="UC8yH-uI81UUtEMDsowQyx1g"/>
    <s v="128, 128, 128"/>
    <n v="3"/>
    <m/>
    <n v="40"/>
    <m/>
    <m/>
    <m/>
    <m/>
    <s v="No"/>
    <n v="431"/>
    <m/>
    <m/>
    <s v="Commented Video"/>
    <x v="0"/>
    <s v="The anc is like the devil They came to Destroy To Steal and to Kill!!!"/>
    <s v="UC0LCq_OqhMElPUSFvxbp_WQ"/>
    <s v="Clara Damons"/>
    <s v="http://www.youtube.com/channel/UC0LCq_OqhMElPUSFvxbp_WQ"/>
    <m/>
    <s v="HeygX8UYhCA"/>
    <s v="https://www.youtube.com/watch?v=HeygX8UYhCA"/>
    <s v="none"/>
    <n v="0"/>
    <x v="428"/>
    <d v="2023-09-09T16:15:13.000"/>
    <m/>
    <m/>
    <m/>
    <n v="1"/>
    <n v="5"/>
    <n v="5"/>
    <n v="1"/>
    <n v="6.666666666666667"/>
    <n v="4"/>
    <n v="26.666666666666668"/>
    <n v="0"/>
    <n v="0"/>
    <n v="1"/>
    <n v="6.666666666666667"/>
    <n v="15"/>
  </r>
  <r>
    <s v="UCgFqD3On_ANmpXNY5EOG2HA"/>
    <s v="UC8yH-uI81UUtEMDsowQyx1g"/>
    <s v="128, 128, 128"/>
    <n v="3"/>
    <m/>
    <n v="40"/>
    <m/>
    <m/>
    <m/>
    <m/>
    <s v="No"/>
    <n v="432"/>
    <m/>
    <m/>
    <s v="Commented Video"/>
    <x v="0"/>
    <s v="I wonder why!!!"/>
    <s v="UCgFqD3On_ANmpXNY5EOG2HA"/>
    <s v="Shirl West"/>
    <s v="http://www.youtube.com/channel/UCgFqD3On_ANmpXNY5EOG2HA"/>
    <m/>
    <s v="HeygX8UYhCA"/>
    <s v="https://www.youtube.com/watch?v=HeygX8UYhCA"/>
    <s v="none"/>
    <n v="1"/>
    <x v="429"/>
    <d v="2023-09-09T19:03:35.000"/>
    <m/>
    <m/>
    <m/>
    <n v="1"/>
    <n v="5"/>
    <n v="5"/>
    <n v="0"/>
    <n v="0"/>
    <n v="0"/>
    <n v="0"/>
    <n v="0"/>
    <n v="0"/>
    <n v="0"/>
    <n v="0"/>
    <n v="3"/>
  </r>
  <r>
    <s v="UCOpDvOhCc0NB81DNvZeVQNg"/>
    <s v="UC8yH-uI81UUtEMDsowQyx1g"/>
    <s v="128, 128, 128"/>
    <n v="3"/>
    <m/>
    <n v="40"/>
    <m/>
    <m/>
    <m/>
    <m/>
    <s v="No"/>
    <n v="433"/>
    <m/>
    <m/>
    <s v="Commented Video"/>
    <x v="0"/>
    <s v="Yes it&amp;#39;s going to get worse."/>
    <s v="UCOpDvOhCc0NB81DNvZeVQNg"/>
    <s v="Suminthra Ramsuran"/>
    <s v="http://www.youtube.com/channel/UCOpDvOhCc0NB81DNvZeVQNg"/>
    <m/>
    <s v="HeygX8UYhCA"/>
    <s v="https://www.youtube.com/watch?v=HeygX8UYhCA"/>
    <s v="none"/>
    <n v="3"/>
    <x v="430"/>
    <d v="2023-09-09T19:03:47.000"/>
    <m/>
    <m/>
    <m/>
    <n v="1"/>
    <n v="5"/>
    <n v="5"/>
    <n v="0"/>
    <n v="0"/>
    <n v="1"/>
    <n v="12.5"/>
    <n v="0"/>
    <n v="0"/>
    <n v="0"/>
    <n v="0"/>
    <n v="8"/>
  </r>
  <r>
    <s v="UCwrvFEDIvasD8EesYt-_VlA"/>
    <s v="UC8yH-uI81UUtEMDsowQyx1g"/>
    <s v="128, 128, 128"/>
    <n v="3"/>
    <m/>
    <n v="40"/>
    <m/>
    <m/>
    <m/>
    <m/>
    <s v="No"/>
    <n v="434"/>
    <m/>
    <m/>
    <s v="Commented Video"/>
    <x v="0"/>
    <s v="then they say foreigners are taking their jobs"/>
    <s v="UCwrvFEDIvasD8EesYt-_VlA"/>
    <s v="baba Malachi"/>
    <s v="http://www.youtube.com/channel/UCwrvFEDIvasD8EesYt-_VlA"/>
    <m/>
    <s v="HeygX8UYhCA"/>
    <s v="https://www.youtube.com/watch?v=HeygX8UYhCA"/>
    <s v="none"/>
    <n v="0"/>
    <x v="431"/>
    <d v="2023-09-09T19:54:05.000"/>
    <m/>
    <m/>
    <m/>
    <n v="1"/>
    <n v="5"/>
    <n v="5"/>
    <n v="0"/>
    <n v="0"/>
    <n v="0"/>
    <n v="0"/>
    <n v="0"/>
    <n v="0"/>
    <n v="2"/>
    <n v="25"/>
    <n v="8"/>
  </r>
  <r>
    <s v="UC4JGtkkIk0ZUCg_EDa_A5og"/>
    <s v="UC8yH-uI81UUtEMDsowQyx1g"/>
    <s v="128, 128, 128"/>
    <n v="3"/>
    <m/>
    <n v="40"/>
    <m/>
    <m/>
    <m/>
    <m/>
    <s v="No"/>
    <n v="435"/>
    <m/>
    <m/>
    <s v="Commented Video"/>
    <x v="0"/>
    <s v="Foreign trained doctors and even some of local trained are sitting at home unemployed."/>
    <s v="UC4JGtkkIk0ZUCg_EDa_A5og"/>
    <s v="Windy"/>
    <s v="http://www.youtube.com/channel/UC4JGtkkIk0ZUCg_EDa_A5og"/>
    <m/>
    <s v="HeygX8UYhCA"/>
    <s v="https://www.youtube.com/watch?v=HeygX8UYhCA"/>
    <s v="none"/>
    <n v="2"/>
    <x v="432"/>
    <d v="2023-09-10T20:45:29.000"/>
    <m/>
    <m/>
    <m/>
    <n v="1"/>
    <n v="5"/>
    <n v="5"/>
    <n v="0"/>
    <n v="0"/>
    <n v="1"/>
    <n v="7.142857142857143"/>
    <n v="0"/>
    <n v="0"/>
    <n v="7"/>
    <n v="50"/>
    <n v="14"/>
  </r>
  <r>
    <s v="UCQuMHlEhwyQy55RLe_ZX2ww"/>
    <s v="UC8yH-uI81UUtEMDsowQyx1g"/>
    <s v="128, 128, 128"/>
    <n v="3"/>
    <m/>
    <n v="40"/>
    <m/>
    <m/>
    <m/>
    <m/>
    <s v="No"/>
    <n v="436"/>
    <m/>
    <m/>
    <s v="Commented Video"/>
    <x v="0"/>
    <s v="...majority of S.African Drs work abroad &lt;br&gt;Thank you to the BEE"/>
    <s v="UCQuMHlEhwyQy55RLe_ZX2ww"/>
    <s v="BNG MNH"/>
    <s v="http://www.youtube.com/channel/UCQuMHlEhwyQy55RLe_ZX2ww"/>
    <m/>
    <s v="HeygX8UYhCA"/>
    <s v="https://www.youtube.com/watch?v=HeygX8UYhCA"/>
    <s v="none"/>
    <n v="1"/>
    <x v="433"/>
    <d v="2023-09-11T01:09:36.000"/>
    <m/>
    <m/>
    <m/>
    <n v="1"/>
    <n v="5"/>
    <n v="5"/>
    <n v="1"/>
    <n v="7.6923076923076925"/>
    <n v="0"/>
    <n v="0"/>
    <n v="0"/>
    <n v="0"/>
    <n v="4"/>
    <n v="30.76923076923077"/>
    <n v="13"/>
  </r>
  <r>
    <s v="UCJXrvYl_yi07f2WQ4bBi61A"/>
    <s v="UC8yH-uI81UUtEMDsowQyx1g"/>
    <s v="141, 115, 115"/>
    <n v="6.5"/>
    <m/>
    <n v="27.5"/>
    <m/>
    <m/>
    <m/>
    <m/>
    <s v="No"/>
    <n v="437"/>
    <m/>
    <m/>
    <s v="Commented Video"/>
    <x v="0"/>
    <s v="Shortage of specialists in Canada too. Orthopedic surgery needed can have you on a waiting list for 18 months or more."/>
    <s v="UCJXrvYl_yi07f2WQ4bBi61A"/>
    <s v="Ena Diedericks"/>
    <s v="http://www.youtube.com/channel/UCJXrvYl_yi07f2WQ4bBi61A"/>
    <m/>
    <s v="HeygX8UYhCA"/>
    <s v="https://www.youtube.com/watch?v=HeygX8UYhCA"/>
    <s v="none"/>
    <n v="0"/>
    <x v="434"/>
    <d v="2023-09-11T22:21:24.000"/>
    <m/>
    <m/>
    <m/>
    <n v="4"/>
    <n v="5"/>
    <n v="5"/>
    <n v="0"/>
    <n v="0"/>
    <n v="1"/>
    <n v="4.761904761904762"/>
    <n v="0"/>
    <n v="0"/>
    <n v="8"/>
    <n v="38.095238095238095"/>
    <n v="21"/>
  </r>
  <r>
    <s v="UC4xnqWp5r7wANtgDOImNqFg"/>
    <s v="UC8yH-uI81UUtEMDsowQyx1g"/>
    <s v="128, 128, 128"/>
    <n v="3"/>
    <m/>
    <n v="40"/>
    <m/>
    <m/>
    <m/>
    <m/>
    <s v="No"/>
    <n v="438"/>
    <m/>
    <m/>
    <s v="Commented Video"/>
    <x v="0"/>
    <s v="Viva ANC... Viva darkness... Viva ANC Viva hypocrisy.... BLACK SOUTH AFRICA WHY YOU LIVING IN DARKNESS?... Viva ANC... Viva aimless, pointless and useless"/>
    <s v="UC4xnqWp5r7wANtgDOImNqFg"/>
    <s v="Wayne Caboz"/>
    <s v="http://www.youtube.com/channel/UC4xnqWp5r7wANtgDOImNqFg"/>
    <m/>
    <s v="HeygX8UYhCA"/>
    <s v="https://www.youtube.com/watch?v=HeygX8UYhCA"/>
    <s v="none"/>
    <n v="0"/>
    <x v="435"/>
    <d v="2023-09-12T12:26:13.000"/>
    <m/>
    <m/>
    <m/>
    <n v="1"/>
    <n v="5"/>
    <n v="5"/>
    <n v="0"/>
    <n v="0"/>
    <n v="6"/>
    <n v="26.08695652173913"/>
    <n v="0"/>
    <n v="0"/>
    <n v="13"/>
    <n v="56.52173913043478"/>
    <n v="23"/>
  </r>
  <r>
    <s v="UCighPl8K04wQmKEb0gHzF_A"/>
    <s v="UCewUFNurytMD6cFODfVOxnA"/>
    <s v="128, 128, 128"/>
    <n v="3"/>
    <m/>
    <n v="40"/>
    <m/>
    <m/>
    <m/>
    <m/>
    <s v="No"/>
    <n v="439"/>
    <m/>
    <m/>
    <s v="Commented Video"/>
    <x v="0"/>
    <s v="No idea what you’re talking about"/>
    <s v="UCighPl8K04wQmKEb0gHzF_A"/>
    <s v="Hermes trismegistus"/>
    <s v="http://www.youtube.com/channel/UCighPl8K04wQmKEb0gHzF_A"/>
    <m/>
    <s v="RQV_2EyHtZw"/>
    <s v="https://www.youtube.com/watch?v=RQV_2EyHtZw"/>
    <s v="none"/>
    <n v="3"/>
    <x v="436"/>
    <d v="2023-08-12T01:03:13.000"/>
    <m/>
    <m/>
    <m/>
    <n v="1"/>
    <n v="9"/>
    <n v="9"/>
    <n v="0"/>
    <n v="0"/>
    <n v="0"/>
    <n v="0"/>
    <n v="0"/>
    <n v="0"/>
    <n v="2"/>
    <n v="28.571428571428573"/>
    <n v="7"/>
  </r>
  <r>
    <s v="UCL4i-tUH7Ca38WGkmYLrQVg"/>
    <s v="UCewUFNurytMD6cFODfVOxnA"/>
    <s v="128, 128, 128"/>
    <n v="3"/>
    <m/>
    <n v="40"/>
    <m/>
    <m/>
    <m/>
    <m/>
    <s v="No"/>
    <n v="440"/>
    <m/>
    <m/>
    <s v="Commented Video"/>
    <x v="0"/>
    <s v="Okay bot account."/>
    <s v="UCL4i-tUH7Ca38WGkmYLrQVg"/>
    <s v="James Frey"/>
    <s v="http://www.youtube.com/channel/UCL4i-tUH7Ca38WGkmYLrQVg"/>
    <m/>
    <s v="RQV_2EyHtZw"/>
    <s v="https://www.youtube.com/watch?v=RQV_2EyHtZw"/>
    <s v="none"/>
    <n v="0"/>
    <x v="437"/>
    <d v="2023-08-12T02:25:34.000"/>
    <m/>
    <m/>
    <m/>
    <n v="1"/>
    <n v="9"/>
    <n v="9"/>
    <n v="0"/>
    <n v="0"/>
    <n v="0"/>
    <n v="0"/>
    <n v="0"/>
    <n v="0"/>
    <n v="2"/>
    <n v="66.66666666666667"/>
    <n v="3"/>
  </r>
  <r>
    <s v="UCewUFNurytMD6cFODfVOxnA"/>
    <s v="UCewUFNurytMD6cFODfVOxnA"/>
    <s v="154, 102, 102"/>
    <n v="10"/>
    <m/>
    <n v="15"/>
    <m/>
    <m/>
    <m/>
    <m/>
    <s v="No"/>
    <n v="441"/>
    <m/>
    <m/>
    <s v="Posted Video"/>
    <x v="1"/>
    <m/>
    <m/>
    <m/>
    <m/>
    <m/>
    <s v="Ud4SrFdeMk0"/>
    <s v="https://www.youtube.com/watch?v=Ud4SrFdeMk0"/>
    <m/>
    <m/>
    <x v="438"/>
    <m/>
    <m/>
    <m/>
    <m/>
    <n v="9"/>
    <n v="9"/>
    <n v="9"/>
    <m/>
    <m/>
    <m/>
    <m/>
    <m/>
    <m/>
    <m/>
    <m/>
    <m/>
  </r>
  <r>
    <s v="UC2PnpVR_3pzZe9_P0ZB_WuA"/>
    <s v="UCewUFNurytMD6cFODfVOxnA"/>
    <s v="128, 128, 128"/>
    <n v="3"/>
    <m/>
    <n v="40"/>
    <m/>
    <m/>
    <m/>
    <m/>
    <s v="No"/>
    <n v="442"/>
    <m/>
    <m/>
    <s v="Commented Video"/>
    <x v="0"/>
    <s v="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
    <s v="UC2PnpVR_3pzZe9_P0ZB_WuA"/>
    <s v="Jatonne Mitchell"/>
    <s v="http://www.youtube.com/channel/UC2PnpVR_3pzZe9_P0ZB_WuA"/>
    <m/>
    <s v="RQV_2EyHtZw"/>
    <s v="https://www.youtube.com/watch?v=RQV_2EyHtZw"/>
    <s v="none"/>
    <n v="0"/>
    <x v="439"/>
    <d v="2023-08-19T21:09:20.000"/>
    <m/>
    <m/>
    <m/>
    <n v="1"/>
    <n v="9"/>
    <n v="9"/>
    <n v="2"/>
    <n v="2.7027027027027026"/>
    <n v="1"/>
    <n v="1.3513513513513513"/>
    <n v="0"/>
    <n v="0"/>
    <n v="18"/>
    <n v="24.324324324324323"/>
    <n v="74"/>
  </r>
  <r>
    <s v="UCkHQo0-FAGmJeyDPa-USHLg"/>
    <s v="UC8yH-uI81UUtEMDsowQyx1g"/>
    <s v="128, 128, 128"/>
    <n v="3"/>
    <m/>
    <n v="40"/>
    <m/>
    <m/>
    <m/>
    <m/>
    <s v="No"/>
    <n v="443"/>
    <m/>
    <m/>
    <s v="Commented Video"/>
    <x v="0"/>
    <s v="The ANC have destroyed every entity in SA, now its the health systems turn.....what an evil bunch😊"/>
    <s v="UCkHQo0-FAGmJeyDPa-USHLg"/>
    <s v="The Watcher"/>
    <s v="http://www.youtube.com/channel/UCkHQo0-FAGmJeyDPa-USHLg"/>
    <m/>
    <s v="F6OoW7hqnPs"/>
    <s v="https://www.youtube.com/watch?v=F6OoW7hqnPs"/>
    <s v="none"/>
    <n v="3"/>
    <x v="440"/>
    <d v="2023-06-19T19:59:35.000"/>
    <m/>
    <m/>
    <m/>
    <n v="1"/>
    <n v="5"/>
    <n v="5"/>
    <n v="0"/>
    <n v="0"/>
    <n v="1"/>
    <n v="5.555555555555555"/>
    <n v="0"/>
    <n v="0"/>
    <n v="7"/>
    <n v="38.888888888888886"/>
    <n v="18"/>
  </r>
  <r>
    <s v="UCXTGE9rvyG5ui7C1eQ59Ouw"/>
    <s v="UC8yH-uI81UUtEMDsowQyx1g"/>
    <s v="128, 128, 128"/>
    <n v="3"/>
    <m/>
    <n v="40"/>
    <m/>
    <m/>
    <m/>
    <m/>
    <s v="No"/>
    <n v="444"/>
    <m/>
    <m/>
    <s v="Commented Video"/>
    <x v="0"/>
    <s v="The doctors are going to leave every country in the world will be chomping at the bit to have them and their experience."/>
    <s v="UCXTGE9rvyG5ui7C1eQ59Ouw"/>
    <s v="Daniel Schauffer"/>
    <s v="http://www.youtube.com/channel/UCXTGE9rvyG5ui7C1eQ59Ouw"/>
    <m/>
    <s v="F6OoW7hqnPs"/>
    <s v="https://www.youtube.com/watch?v=F6OoW7hqnPs"/>
    <s v="none"/>
    <n v="2"/>
    <x v="441"/>
    <d v="2023-06-19T20:02:02.000"/>
    <m/>
    <m/>
    <m/>
    <n v="1"/>
    <n v="5"/>
    <n v="5"/>
    <n v="0"/>
    <n v="0"/>
    <n v="0"/>
    <n v="0"/>
    <n v="0"/>
    <n v="0"/>
    <n v="7"/>
    <n v="30.434782608695652"/>
    <n v="23"/>
  </r>
  <r>
    <s v="UCNRvBUJ3tvLXgcFg9-wpVag"/>
    <s v="UC8yH-uI81UUtEMDsowQyx1g"/>
    <s v="128, 128, 128"/>
    <n v="3"/>
    <m/>
    <n v="40"/>
    <m/>
    <m/>
    <m/>
    <m/>
    <s v="No"/>
    <n v="445"/>
    <m/>
    <m/>
    <s v="Commented Video"/>
    <x v="0"/>
    <s v="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
    <s v="UCNRvBUJ3tvLXgcFg9-wpVag"/>
    <s v="leon hue"/>
    <s v="http://www.youtube.com/channel/UCNRvBUJ3tvLXgcFg9-wpVag"/>
    <m/>
    <s v="F6OoW7hqnPs"/>
    <s v="https://www.youtube.com/watch?v=F6OoW7hqnPs"/>
    <s v="none"/>
    <n v="0"/>
    <x v="442"/>
    <d v="2023-06-19T20:10:19.000"/>
    <m/>
    <m/>
    <m/>
    <n v="1"/>
    <n v="5"/>
    <n v="5"/>
    <n v="5"/>
    <n v="3.2051282051282053"/>
    <n v="9"/>
    <n v="5.769230769230769"/>
    <n v="0"/>
    <n v="0"/>
    <n v="58"/>
    <n v="37.17948717948718"/>
    <n v="156"/>
  </r>
  <r>
    <s v="UCqXJmx8_6S9eUmRbvFc9GAA"/>
    <s v="UC8yH-uI81UUtEMDsowQyx1g"/>
    <s v="128, 128, 128"/>
    <n v="3"/>
    <m/>
    <n v="40"/>
    <m/>
    <m/>
    <m/>
    <m/>
    <s v="No"/>
    <n v="446"/>
    <m/>
    <m/>
    <s v="Commented Video"/>
    <x v="0"/>
    <s v="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
    <s v="UCqXJmx8_6S9eUmRbvFc9GAA"/>
    <s v="It's time for a multipolar world"/>
    <s v="http://www.youtube.com/channel/UCqXJmx8_6S9eUmRbvFc9GAA"/>
    <m/>
    <s v="F6OoW7hqnPs"/>
    <s v="https://www.youtube.com/watch?v=F6OoW7hqnPs"/>
    <s v="none"/>
    <n v="0"/>
    <x v="443"/>
    <d v="2023-06-19T20:37:04.000"/>
    <m/>
    <m/>
    <m/>
    <n v="1"/>
    <n v="5"/>
    <n v="5"/>
    <n v="6"/>
    <n v="6.25"/>
    <n v="3"/>
    <n v="3.125"/>
    <n v="0"/>
    <n v="0"/>
    <n v="30"/>
    <n v="31.25"/>
    <n v="96"/>
  </r>
  <r>
    <s v="UC3RbSovcnvfRVt5fqj4rr-Q"/>
    <s v="UC8yH-uI81UUtEMDsowQyx1g"/>
    <s v="128, 128, 128"/>
    <n v="3"/>
    <m/>
    <n v="40"/>
    <m/>
    <m/>
    <m/>
    <m/>
    <s v="No"/>
    <n v="447"/>
    <m/>
    <m/>
    <s v="Commented Video"/>
    <x v="0"/>
    <s v="Your channel has been a valuable resource for me."/>
    <s v="UC3RbSovcnvfRVt5fqj4rr-Q"/>
    <s v="Grow YouTube Views | Gain Fame"/>
    <s v="http://www.youtube.com/channel/UC3RbSovcnvfRVt5fqj4rr-Q"/>
    <m/>
    <s v="F6OoW7hqnPs"/>
    <s v="https://www.youtube.com/watch?v=F6OoW7hqnPs"/>
    <s v="none"/>
    <n v="0"/>
    <x v="444"/>
    <d v="2023-06-19T22:58:14.000"/>
    <m/>
    <m/>
    <m/>
    <n v="1"/>
    <n v="5"/>
    <n v="5"/>
    <n v="1"/>
    <n v="11.11111111111111"/>
    <n v="0"/>
    <n v="0"/>
    <n v="0"/>
    <n v="0"/>
    <n v="1"/>
    <n v="11.11111111111111"/>
    <n v="9"/>
  </r>
  <r>
    <s v="UCI6RmXqnjjOBp5-8ghsBJFw"/>
    <s v="UC8yH-uI81UUtEMDsowQyx1g"/>
    <s v="128, 128, 128"/>
    <n v="3"/>
    <m/>
    <n v="40"/>
    <m/>
    <m/>
    <m/>
    <m/>
    <s v="No"/>
    <n v="448"/>
    <m/>
    <m/>
    <s v="Commented Video"/>
    <x v="0"/>
    <s v="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
    <s v="UCI6RmXqnjjOBp5-8ghsBJFw"/>
    <s v="N â p e z"/>
    <s v="http://www.youtube.com/channel/UCI6RmXqnjjOBp5-8ghsBJFw"/>
    <m/>
    <s v="F6OoW7hqnPs"/>
    <s v="https://www.youtube.com/watch?v=F6OoW7hqnPs"/>
    <s v="none"/>
    <n v="0"/>
    <x v="445"/>
    <d v="2023-06-20T14:34:15.000"/>
    <m/>
    <m/>
    <m/>
    <n v="1"/>
    <n v="5"/>
    <n v="5"/>
    <n v="2"/>
    <n v="4.081632653061225"/>
    <n v="2"/>
    <n v="4.081632653061225"/>
    <n v="0"/>
    <n v="0"/>
    <n v="19"/>
    <n v="38.775510204081634"/>
    <n v="49"/>
  </r>
  <r>
    <s v="UC8yH-uI81UUtEMDsowQyx1g"/>
    <s v="UC8yH-uI81UUtEMDsowQyx1g"/>
    <s v="141, 115, 115"/>
    <n v="6.5"/>
    <m/>
    <n v="27.5"/>
    <m/>
    <m/>
    <m/>
    <m/>
    <s v="No"/>
    <n v="449"/>
    <m/>
    <m/>
    <s v="Posted Video"/>
    <x v="1"/>
    <m/>
    <m/>
    <m/>
    <m/>
    <m/>
    <s v="HeygX8UYhCA"/>
    <s v="https://www.youtube.com/watch?v=HeygX8UYhCA"/>
    <m/>
    <m/>
    <x v="446"/>
    <m/>
    <m/>
    <m/>
    <m/>
    <n v="4"/>
    <n v="5"/>
    <n v="5"/>
    <m/>
    <m/>
    <m/>
    <m/>
    <m/>
    <m/>
    <m/>
    <m/>
    <m/>
  </r>
  <r>
    <s v="UC67ByJZceqEg7ZdPJHpNMVA"/>
    <s v="UC8yH-uI81UUtEMDsowQyx1g"/>
    <s v="128, 128, 128"/>
    <n v="3"/>
    <m/>
    <n v="40"/>
    <m/>
    <m/>
    <m/>
    <m/>
    <s v="No"/>
    <n v="450"/>
    <m/>
    <m/>
    <s v="Commented Video"/>
    <x v="0"/>
    <s v="Who is in charge of managing the current public health care service and how well is it performing? Is the NHI going to be managed by the same entity?"/>
    <s v="UC67ByJZceqEg7ZdPJHpNMVA"/>
    <s v="Bradley Rowlett"/>
    <s v="http://www.youtube.com/channel/UC67ByJZceqEg7ZdPJHpNMVA"/>
    <m/>
    <s v="F6OoW7hqnPs"/>
    <s v="https://www.youtube.com/watch?v=F6OoW7hqnPs"/>
    <s v="none"/>
    <n v="0"/>
    <x v="447"/>
    <d v="2023-06-24T12:46:48.000"/>
    <m/>
    <m/>
    <m/>
    <n v="1"/>
    <n v="5"/>
    <n v="5"/>
    <n v="1"/>
    <n v="3.4482758620689653"/>
    <n v="0"/>
    <n v="0"/>
    <n v="0"/>
    <n v="0"/>
    <n v="11"/>
    <n v="37.93103448275862"/>
    <n v="29"/>
  </r>
  <r>
    <s v="UCcjLqsXt8IZJ9tgdC417Jog"/>
    <s v="UCDtqUmBIjQWbe9rpnyOQ_Gg"/>
    <s v="128, 128, 128"/>
    <n v="3"/>
    <m/>
    <n v="40"/>
    <m/>
    <m/>
    <m/>
    <m/>
    <s v="No"/>
    <n v="451"/>
    <m/>
    <m/>
    <s v="Commented Video"/>
    <x v="0"/>
    <s v="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quot;http://my.call/&quot;&gt;MY.CALL&lt;/a&gt; TO THEM.AND REFUSED ME MEDS IM REALLY SO DISAPPOINTED THAT THEY WOULD. Behave So Unprofessional SO MY ONLY CONCERN &lt;a href=&quot;http://is.my/&quot;&gt;IS.MY&lt;/a&gt; HEALTH N AN EFFICIENT MEDICAL AID SCHEME SO IVE NOW CANVELLED DISCOVERY N TOOK A PLAN WITH ONEPLAN FOR.MUCH CHEAPER FULL COVER TOP OF THE RANGE THE RESPONSE I HAD WITH &lt;a href=&quot;http://them.in/&quot;&gt;THEM.IN&lt;/a&gt; ONE DAY WAS EXCELLENT COMPARED TO DISCOVERY FOR 35 YRS TOTALLY NOT.WHAT I EXPECTED 🌸"/>
    <s v="UCcjLqsXt8IZJ9tgdC417Jog"/>
    <s v="Julie Govender"/>
    <s v="http://www.youtube.com/channel/UCcjLqsXt8IZJ9tgdC417Jog"/>
    <m/>
    <s v="6YhlYu70uNA"/>
    <s v="https://www.youtube.com/watch?v=6YhlYu70uNA"/>
    <s v="none"/>
    <n v="0"/>
    <x v="448"/>
    <d v="2022-12-06T00:45:42.000"/>
    <s v="http://my.call/ http://is.my/ http://them.in/"/>
    <s v="my.call is.my them.in"/>
    <m/>
    <n v="1"/>
    <n v="7"/>
    <n v="7"/>
    <n v="3"/>
    <n v="1.6853932584269662"/>
    <n v="4"/>
    <n v="2.247191011235955"/>
    <n v="0"/>
    <n v="0"/>
    <n v="53"/>
    <n v="29.775280898876403"/>
    <n v="178"/>
  </r>
  <r>
    <s v="UCNKCltKyRNk_ojLGPYcHQhQ"/>
    <s v="UCDtqUmBIjQWbe9rpnyOQ_Gg"/>
    <s v="128, 128, 128"/>
    <n v="3"/>
    <m/>
    <n v="40"/>
    <m/>
    <m/>
    <m/>
    <m/>
    <s v="No"/>
    <n v="452"/>
    <m/>
    <m/>
    <s v="Commented Video"/>
    <x v="0"/>
    <s v="During the covid plandemic Discovery insisted that their clients get the &amp;quot;jab&amp;quot; yet they were not willing to pay out claims for any side effects the jab might have caused ????"/>
    <s v="UCNKCltKyRNk_ojLGPYcHQhQ"/>
    <s v="Silent &amp; Violent"/>
    <s v="http://www.youtube.com/channel/UCNKCltKyRNk_ojLGPYcHQhQ"/>
    <m/>
    <s v="6YhlYu70uNA"/>
    <s v="https://www.youtube.com/watch?v=6YhlYu70uNA"/>
    <s v="none"/>
    <n v="0"/>
    <x v="449"/>
    <d v="2022-12-13T10:46:21.000"/>
    <m/>
    <m/>
    <m/>
    <n v="1"/>
    <n v="7"/>
    <n v="7"/>
    <n v="1"/>
    <n v="3.125"/>
    <n v="0"/>
    <n v="0"/>
    <n v="0"/>
    <n v="0"/>
    <n v="11"/>
    <n v="34.375"/>
    <n v="32"/>
  </r>
  <r>
    <s v="UC1gWGhsNOQWLmz6yxaxjg9w"/>
    <s v="UCDtqUmBIjQWbe9rpnyOQ_Gg"/>
    <s v="128, 128, 128"/>
    <n v="3"/>
    <m/>
    <n v="40"/>
    <m/>
    <m/>
    <m/>
    <m/>
    <s v="No"/>
    <n v="453"/>
    <m/>
    <m/>
    <s v="Commented Video"/>
    <x v="0"/>
    <s v="And there health guidelines like low fat diets and cholesterol will kill you eventually."/>
    <s v="UC1gWGhsNOQWLmz6yxaxjg9w"/>
    <s v="johan vw"/>
    <s v="http://www.youtube.com/channel/UC1gWGhsNOQWLmz6yxaxjg9w"/>
    <m/>
    <s v="6YhlYu70uNA"/>
    <s v="https://www.youtube.com/watch?v=6YhlYu70uNA"/>
    <s v="none"/>
    <n v="0"/>
    <x v="450"/>
    <d v="2023-01-21T14:06:12.000"/>
    <m/>
    <m/>
    <m/>
    <n v="1"/>
    <n v="7"/>
    <n v="7"/>
    <n v="1"/>
    <n v="7.142857142857143"/>
    <n v="2"/>
    <n v="14.285714285714286"/>
    <n v="0"/>
    <n v="0"/>
    <n v="5"/>
    <n v="35.714285714285715"/>
    <n v="14"/>
  </r>
  <r>
    <s v="UCLBBTXyFkcZf-pYdsD1yuJg"/>
    <s v="UCDtqUmBIjQWbe9rpnyOQ_Gg"/>
    <s v="128, 128, 128"/>
    <n v="3"/>
    <m/>
    <n v="40"/>
    <m/>
    <m/>
    <m/>
    <m/>
    <s v="No"/>
    <n v="454"/>
    <m/>
    <m/>
    <s v="Commented Video"/>
    <x v="0"/>
    <s v="bull$hit... money is their driving  force. go f@ck yorselfs"/>
    <s v="UCLBBTXyFkcZf-pYdsD1yuJg"/>
    <s v="Dan Van Zyl"/>
    <s v="http://www.youtube.com/channel/UCLBBTXyFkcZf-pYdsD1yuJg"/>
    <m/>
    <s v="6YhlYu70uNA"/>
    <s v="https://www.youtube.com/watch?v=6YhlYu70uNA"/>
    <s v="none"/>
    <n v="0"/>
    <x v="451"/>
    <d v="2023-01-22T01:56:25.000"/>
    <m/>
    <m/>
    <m/>
    <n v="1"/>
    <n v="7"/>
    <n v="7"/>
    <n v="0"/>
    <n v="0"/>
    <n v="0"/>
    <n v="0"/>
    <n v="0"/>
    <n v="0"/>
    <n v="7"/>
    <n v="63.63636363636363"/>
    <n v="11"/>
  </r>
  <r>
    <s v="UCqDUQ46mjsmQ_q-3qCiz2Kw"/>
    <s v="UCDtqUmBIjQWbe9rpnyOQ_Gg"/>
    <s v="128, 128, 128"/>
    <n v="3"/>
    <m/>
    <n v="40"/>
    <m/>
    <m/>
    <m/>
    <m/>
    <s v="No"/>
    <n v="455"/>
    <m/>
    <m/>
    <s v="Commented Video"/>
    <x v="0"/>
    <s v="How do I join Medical Aid Scheme I used to be you member I am now a Senior citizen"/>
    <s v="UCqDUQ46mjsmQ_q-3qCiz2Kw"/>
    <s v="Eunice Sebatane"/>
    <s v="http://www.youtube.com/channel/UCqDUQ46mjsmQ_q-3qCiz2Kw"/>
    <m/>
    <s v="6YhlYu70uNA"/>
    <s v="https://www.youtube.com/watch?v=6YhlYu70uNA"/>
    <s v="none"/>
    <n v="1"/>
    <x v="452"/>
    <d v="2023-02-22T15:32:40.000"/>
    <m/>
    <m/>
    <m/>
    <n v="1"/>
    <n v="7"/>
    <n v="7"/>
    <n v="0"/>
    <n v="0"/>
    <n v="0"/>
    <n v="0"/>
    <n v="0"/>
    <n v="0"/>
    <n v="7"/>
    <n v="36.8421052631579"/>
    <n v="19"/>
  </r>
  <r>
    <s v="UC1xRO5b_pOmY1lMSKUCNpQA"/>
    <s v="UCDtqUmBIjQWbe9rpnyOQ_Gg"/>
    <s v="128, 128, 128"/>
    <n v="3"/>
    <m/>
    <n v="40"/>
    <m/>
    <m/>
    <m/>
    <m/>
    <s v="No"/>
    <n v="456"/>
    <m/>
    <m/>
    <s v="Commented Video"/>
    <x v="0"/>
    <s v="&amp;quot;Hospital health cover&amp;quot; more like guidelines than actual cover"/>
    <s v="UC1xRO5b_pOmY1lMSKUCNpQA"/>
    <s v="Green 85"/>
    <s v="http://www.youtube.com/channel/UC1xRO5b_pOmY1lMSKUCNpQA"/>
    <m/>
    <s v="6YhlYu70uNA"/>
    <s v="https://www.youtube.com/watch?v=6YhlYu70uNA"/>
    <s v="none"/>
    <n v="0"/>
    <x v="453"/>
    <d v="2023-04-04T03:24:31.000"/>
    <m/>
    <m/>
    <m/>
    <n v="1"/>
    <n v="7"/>
    <n v="7"/>
    <n v="1"/>
    <n v="9.090909090909092"/>
    <n v="0"/>
    <n v="0"/>
    <n v="0"/>
    <n v="0"/>
    <n v="6"/>
    <n v="54.54545454545455"/>
    <n v="11"/>
  </r>
  <r>
    <s v="UCgU61elVyVxGxkkji2CC48w"/>
    <s v="UCDtqUmBIjQWbe9rpnyOQ_Gg"/>
    <s v="128, 128, 128"/>
    <n v="3"/>
    <m/>
    <n v="40"/>
    <m/>
    <m/>
    <m/>
    <m/>
    <s v="No"/>
    <n v="457"/>
    <m/>
    <m/>
    <s v="Commented Video"/>
    <x v="0"/>
    <s v="I need a quote for 2 pensioners for medical aid."/>
    <s v="UCgU61elVyVxGxkkji2CC48w"/>
    <s v="Mike Horn"/>
    <s v="http://www.youtube.com/channel/UCgU61elVyVxGxkkji2CC48w"/>
    <m/>
    <s v="6YhlYu70uNA"/>
    <s v="https://www.youtube.com/watch?v=6YhlYu70uNA"/>
    <s v="none"/>
    <n v="1"/>
    <x v="454"/>
    <d v="2023-04-17T14:40:25.000"/>
    <m/>
    <m/>
    <m/>
    <n v="1"/>
    <n v="7"/>
    <n v="7"/>
    <n v="0"/>
    <n v="0"/>
    <n v="0"/>
    <n v="0"/>
    <n v="0"/>
    <n v="0"/>
    <n v="4"/>
    <n v="40"/>
    <n v="10"/>
  </r>
  <r>
    <s v="UCjOfdA1KzgHwW4zsFMZmALw"/>
    <s v="UCDtqUmBIjQWbe9rpnyOQ_Gg"/>
    <s v="128, 128, 128"/>
    <n v="3"/>
    <m/>
    <n v="40"/>
    <m/>
    <m/>
    <m/>
    <m/>
    <s v="No"/>
    <n v="458"/>
    <m/>
    <m/>
    <s v="Commented Video"/>
    <x v="0"/>
    <s v="I am experiencing so many problems with this hence I am here! I have not been able to use this at all! I still pay cash for my medication!"/>
    <s v="UCjOfdA1KzgHwW4zsFMZmALw"/>
    <s v="Dimpho Mokhoantle"/>
    <s v="http://www.youtube.com/channel/UCjOfdA1KzgHwW4zsFMZmALw"/>
    <m/>
    <s v="6YhlYu70uNA"/>
    <s v="https://www.youtube.com/watch?v=6YhlYu70uNA"/>
    <s v="none"/>
    <n v="0"/>
    <x v="455"/>
    <d v="2023-04-18T22:03:45.000"/>
    <m/>
    <m/>
    <m/>
    <n v="1"/>
    <n v="7"/>
    <n v="7"/>
    <n v="0"/>
    <n v="0"/>
    <n v="1"/>
    <n v="3.4482758620689653"/>
    <n v="0"/>
    <n v="0"/>
    <n v="4"/>
    <n v="13.793103448275861"/>
    <n v="29"/>
  </r>
  <r>
    <s v="UCcndhjlrsFV4Yr29aBFo9Uw"/>
    <s v="UCDtqUmBIjQWbe9rpnyOQ_Gg"/>
    <s v="128, 128, 128"/>
    <n v="3"/>
    <m/>
    <n v="40"/>
    <m/>
    <m/>
    <m/>
    <m/>
    <s v="No"/>
    <n v="459"/>
    <m/>
    <m/>
    <s v="Commented Video"/>
    <x v="0"/>
    <s v="I need a agent to contact me for a quote"/>
    <s v="UCcndhjlrsFV4Yr29aBFo9Uw"/>
    <s v="Reagan Govender"/>
    <s v="http://www.youtube.com/channel/UCcndhjlrsFV4Yr29aBFo9Uw"/>
    <m/>
    <s v="6YhlYu70uNA"/>
    <s v="https://www.youtube.com/watch?v=6YhlYu70uNA"/>
    <s v="none"/>
    <n v="0"/>
    <x v="456"/>
    <d v="2023-05-03T00:56:59.000"/>
    <m/>
    <m/>
    <m/>
    <n v="1"/>
    <n v="7"/>
    <n v="7"/>
    <n v="0"/>
    <n v="0"/>
    <n v="0"/>
    <n v="0"/>
    <n v="0"/>
    <n v="0"/>
    <n v="3"/>
    <n v="30"/>
    <n v="10"/>
  </r>
  <r>
    <s v="UCRZy7IXMuEE1OEeTLkvmlfw"/>
    <s v="UCDtqUmBIjQWbe9rpnyOQ_Gg"/>
    <s v="128, 128, 128"/>
    <n v="3"/>
    <m/>
    <n v="40"/>
    <m/>
    <m/>
    <m/>
    <m/>
    <s v="No"/>
    <n v="460"/>
    <m/>
    <m/>
    <s v="Commented Video"/>
    <x v="0"/>
    <s v="Does your medical aid have a waiting period?"/>
    <s v="UCRZy7IXMuEE1OEeTLkvmlfw"/>
    <s v="Sisb Mokoena"/>
    <s v="http://www.youtube.com/channel/UCRZy7IXMuEE1OEeTLkvmlfw"/>
    <m/>
    <s v="6YhlYu70uNA"/>
    <s v="https://www.youtube.com/watch?v=6YhlYu70uNA"/>
    <s v="none"/>
    <n v="0"/>
    <x v="457"/>
    <d v="2023-06-08T08:02:52.000"/>
    <m/>
    <m/>
    <m/>
    <n v="1"/>
    <n v="7"/>
    <n v="7"/>
    <n v="0"/>
    <n v="0"/>
    <n v="0"/>
    <n v="0"/>
    <n v="0"/>
    <n v="0"/>
    <n v="4"/>
    <n v="50"/>
    <n v="8"/>
  </r>
  <r>
    <s v="UCDtqUmBIjQWbe9rpnyOQ_Gg"/>
    <s v="UCDtqUmBIjQWbe9rpnyOQ_Gg"/>
    <s v="128, 128, 128"/>
    <n v="3"/>
    <m/>
    <n v="40"/>
    <m/>
    <m/>
    <m/>
    <m/>
    <s v="No"/>
    <n v="461"/>
    <m/>
    <m/>
    <s v="Posted Video"/>
    <x v="1"/>
    <m/>
    <m/>
    <m/>
    <m/>
    <m/>
    <s v="6YhlYu70uNA"/>
    <s v="https://www.youtube.com/watch?v=6YhlYu70uNA"/>
    <m/>
    <m/>
    <x v="458"/>
    <m/>
    <m/>
    <m/>
    <m/>
    <n v="1"/>
    <n v="7"/>
    <n v="7"/>
    <m/>
    <m/>
    <m/>
    <m/>
    <m/>
    <m/>
    <m/>
    <m/>
    <m/>
  </r>
  <r>
    <s v="UCEBLRxDfnpw6KYChcCy5uVA"/>
    <s v="UCDtqUmBIjQWbe9rpnyOQ_Gg"/>
    <s v="128, 128, 128"/>
    <n v="3"/>
    <m/>
    <n v="40"/>
    <m/>
    <m/>
    <m/>
    <m/>
    <s v="No"/>
    <n v="462"/>
    <m/>
    <m/>
    <s v="Commented Video"/>
    <x v="0"/>
    <s v="If MSA is depleted for the year and for whatever reason I need to change to a plan that doesn’t have MSA what should I be aware of?"/>
    <s v="UCEBLRxDfnpw6KYChcCy5uVA"/>
    <s v="Neem Creates"/>
    <s v="http://www.youtube.com/channel/UCEBLRxDfnpw6KYChcCy5uVA"/>
    <m/>
    <s v="6YhlYu70uNA"/>
    <s v="https://www.youtube.com/watch?v=6YhlYu70uNA"/>
    <s v="none"/>
    <n v="0"/>
    <x v="459"/>
    <d v="2023-06-10T17:08:19.000"/>
    <m/>
    <m/>
    <m/>
    <n v="1"/>
    <n v="7"/>
    <n v="7"/>
    <n v="0"/>
    <n v="0"/>
    <n v="0"/>
    <n v="0"/>
    <n v="0"/>
    <n v="0"/>
    <n v="7"/>
    <n v="24.137931034482758"/>
    <n v="29"/>
  </r>
  <r>
    <s v="UCEqFPaBdYvPflg9x0ahKARw"/>
    <s v="UC6uXQpDkNbPa9bHV8P0PPRA"/>
    <s v="128, 128, 128"/>
    <n v="3"/>
    <m/>
    <n v="40"/>
    <m/>
    <m/>
    <m/>
    <m/>
    <s v="No"/>
    <n v="463"/>
    <m/>
    <m/>
    <s v="Commented Video"/>
    <x v="0"/>
    <s v="I&amp;#39;m very happy with Affinity Health it&amp;#39;s very affordable and meets my medical concerns"/>
    <s v="UCEqFPaBdYvPflg9x0ahKARw"/>
    <s v="zunaid Ismail"/>
    <s v="http://www.youtube.com/channel/UCEqFPaBdYvPflg9x0ahKARw"/>
    <m/>
    <s v="muXoYfBWkzg"/>
    <s v="https://www.youtube.com/watch?v=muXoYfBWkzg"/>
    <s v="none"/>
    <n v="0"/>
    <x v="460"/>
    <d v="2023-01-18T20:08:57.000"/>
    <m/>
    <m/>
    <m/>
    <n v="1"/>
    <n v="13"/>
    <n v="13"/>
    <n v="3"/>
    <n v="16.666666666666668"/>
    <n v="1"/>
    <n v="5.555555555555555"/>
    <n v="0"/>
    <n v="0"/>
    <n v="3"/>
    <n v="16.666666666666668"/>
    <n v="18"/>
  </r>
  <r>
    <s v="UC6uXQpDkNbPa9bHV8P0PPRA"/>
    <s v="UC6uXQpDkNbPa9bHV8P0PPRA"/>
    <s v="171, 85, 85"/>
    <n v="10"/>
    <m/>
    <n v="15"/>
    <m/>
    <m/>
    <m/>
    <m/>
    <s v="No"/>
    <n v="464"/>
    <m/>
    <m/>
    <s v="Posted Video"/>
    <x v="1"/>
    <m/>
    <m/>
    <m/>
    <m/>
    <m/>
    <s v="muXoYfBWkzg"/>
    <s v="https://www.youtube.com/watch?v=muXoYfBWkzg"/>
    <m/>
    <m/>
    <x v="461"/>
    <m/>
    <m/>
    <m/>
    <m/>
    <n v="16"/>
    <n v="13"/>
    <n v="13"/>
    <m/>
    <m/>
    <m/>
    <m/>
    <m/>
    <m/>
    <m/>
    <m/>
    <m/>
  </r>
  <r>
    <s v="UCwBtuBSQJvCyBghKP84irzg"/>
    <s v="UCsba91UGiQLFOb5DN3Z_AdQ"/>
    <s v="128, 128, 128"/>
    <n v="3"/>
    <m/>
    <n v="40"/>
    <m/>
    <m/>
    <m/>
    <m/>
    <s v="No"/>
    <n v="465"/>
    <m/>
    <m/>
    <s v="Commented Video"/>
    <x v="0"/>
    <s v="are there going to be any giveaways anytime soon???"/>
    <s v="UCwBtuBSQJvCyBghKP84irzg"/>
    <s v="Grow YouTube Views | Gain Fame"/>
    <s v="http://www.youtube.com/channel/UCwBtuBSQJvCyBghKP84irzg"/>
    <m/>
    <s v="mVN9p4-zDxw"/>
    <s v="https://www.youtube.com/watch?v=mVN9p4-zDxw"/>
    <s v="none"/>
    <n v="0"/>
    <x v="462"/>
    <d v="2023-08-24T22:34:02.000"/>
    <m/>
    <m/>
    <m/>
    <n v="1"/>
    <n v="12"/>
    <n v="12"/>
    <n v="0"/>
    <n v="0"/>
    <n v="0"/>
    <n v="0"/>
    <n v="0"/>
    <n v="0"/>
    <n v="2"/>
    <n v="22.22222222222222"/>
    <n v="9"/>
  </r>
  <r>
    <s v="UCsba91UGiQLFOb5DN3Z_AdQ"/>
    <s v="UCsba91UGiQLFOb5DN3Z_AdQ"/>
    <s v="128, 128, 128"/>
    <n v="3"/>
    <m/>
    <n v="40"/>
    <m/>
    <m/>
    <m/>
    <m/>
    <s v="No"/>
    <n v="466"/>
    <m/>
    <m/>
    <s v="Posted Video"/>
    <x v="1"/>
    <m/>
    <m/>
    <m/>
    <m/>
    <m/>
    <s v="mVN9p4-zDxw"/>
    <s v="https://www.youtube.com/watch?v=mVN9p4-zDxw"/>
    <m/>
    <m/>
    <x v="463"/>
    <m/>
    <m/>
    <m/>
    <m/>
    <n v="1"/>
    <n v="12"/>
    <n v="12"/>
    <m/>
    <m/>
    <m/>
    <m/>
    <m/>
    <m/>
    <m/>
    <m/>
    <m/>
  </r>
  <r>
    <s v="UCIilJVJpNJ1Wl_nMajXdXqA"/>
    <s v="UCknLrEdhRCp1aegoMqRaCZg"/>
    <s v="128, 128, 128"/>
    <n v="3"/>
    <m/>
    <n v="40"/>
    <m/>
    <m/>
    <m/>
    <m/>
    <s v="No"/>
    <n v="467"/>
    <m/>
    <m/>
    <s v="Commented Video"/>
    <x v="0"/>
    <s v="Because they are self idolatrous money worshippers who do not know Jesus Christ."/>
    <s v="UCIilJVJpNJ1Wl_nMajXdXqA"/>
    <s v="alison welch"/>
    <s v="http://www.youtube.com/channel/UCIilJVJpNJ1Wl_nMajXdXqA"/>
    <m/>
    <s v="QNvu01OGv-Y"/>
    <s v="https://www.youtube.com/watch?v=QNvu01OGv-Y"/>
    <s v="none"/>
    <n v="0"/>
    <x v="464"/>
    <d v="2023-08-20T18:05:27.000"/>
    <m/>
    <m/>
    <m/>
    <n v="1"/>
    <n v="2"/>
    <n v="2"/>
    <n v="0"/>
    <n v="0"/>
    <n v="0"/>
    <n v="0"/>
    <n v="0"/>
    <n v="0"/>
    <n v="5"/>
    <n v="38.46153846153846"/>
    <n v="13"/>
  </r>
  <r>
    <s v="UCxXrlyseexGXxmP73jScvFQ"/>
    <s v="UCknLrEdhRCp1aegoMqRaCZg"/>
    <s v="128, 128, 128"/>
    <n v="3"/>
    <m/>
    <n v="40"/>
    <m/>
    <m/>
    <m/>
    <m/>
    <s v="No"/>
    <n v="468"/>
    <m/>
    <m/>
    <s v="Commented Video"/>
    <x v="0"/>
    <s v="so who will be left in your country."/>
    <s v="UCxXrlyseexGXxmP73jScvFQ"/>
    <s v="pauline mutheu"/>
    <s v="http://www.youtube.com/channel/UCxXrlyseexGXxmP73jScvFQ"/>
    <m/>
    <s v="QNvu01OGv-Y"/>
    <s v="https://www.youtube.com/watch?v=QNvu01OGv-Y"/>
    <s v="none"/>
    <n v="12"/>
    <x v="465"/>
    <d v="2023-08-20T18:20:10.000"/>
    <m/>
    <m/>
    <m/>
    <n v="1"/>
    <n v="2"/>
    <n v="2"/>
    <n v="0"/>
    <n v="0"/>
    <n v="0"/>
    <n v="0"/>
    <n v="0"/>
    <n v="0"/>
    <n v="2"/>
    <n v="25"/>
    <n v="8"/>
  </r>
  <r>
    <s v="UCH5BZoWAlkqtDje0mDgPwrg"/>
    <s v="UCknLrEdhRCp1aegoMqRaCZg"/>
    <s v="128, 128, 128"/>
    <n v="3"/>
    <m/>
    <n v="40"/>
    <m/>
    <m/>
    <m/>
    <m/>
    <s v="No"/>
    <n v="469"/>
    <m/>
    <m/>
    <s v="Commented Video"/>
    <x v="0"/>
    <s v="Leaving to reach where? Germany?"/>
    <s v="UCH5BZoWAlkqtDje0mDgPwrg"/>
    <s v="࿗  भारतवर्ष  ࿗"/>
    <s v="http://www.youtube.com/channel/UCH5BZoWAlkqtDje0mDgPwrg"/>
    <m/>
    <s v="QNvu01OGv-Y"/>
    <s v="https://www.youtube.com/watch?v=QNvu01OGv-Y"/>
    <s v="none"/>
    <n v="1"/>
    <x v="466"/>
    <d v="2023-08-20T18:21:59.000"/>
    <m/>
    <m/>
    <m/>
    <n v="1"/>
    <n v="2"/>
    <n v="2"/>
    <n v="0"/>
    <n v="0"/>
    <n v="0"/>
    <n v="0"/>
    <n v="0"/>
    <n v="0"/>
    <n v="3"/>
    <n v="60"/>
    <n v="5"/>
  </r>
  <r>
    <s v="UCJUkxCgf2-A8bTRuKiUXFag"/>
    <s v="UCknLrEdhRCp1aegoMqRaCZg"/>
    <s v="128, 128, 128"/>
    <n v="3"/>
    <m/>
    <n v="40"/>
    <m/>
    <m/>
    <m/>
    <m/>
    <s v="No"/>
    <n v="470"/>
    <m/>
    <m/>
    <s v="Commented Video"/>
    <x v="0"/>
    <s v="Well. They should stay at home. A lot of chaps turning up in dinghy&amp;#39;s with their knives, claiming to be engineers and doctors are finding that western hospitals are not the same as Nigerian hospitals"/>
    <s v="UCJUkxCgf2-A8bTRuKiUXFag"/>
    <s v="The Mad Farmer"/>
    <s v="http://www.youtube.com/channel/UCJUkxCgf2-A8bTRuKiUXFag"/>
    <m/>
    <s v="QNvu01OGv-Y"/>
    <s v="https://www.youtube.com/watch?v=QNvu01OGv-Y"/>
    <s v="none"/>
    <n v="2"/>
    <x v="467"/>
    <d v="2023-08-20T18:25:54.000"/>
    <m/>
    <m/>
    <m/>
    <n v="1"/>
    <n v="2"/>
    <n v="2"/>
    <n v="1"/>
    <n v="2.7027027027027026"/>
    <n v="0"/>
    <n v="0"/>
    <n v="0"/>
    <n v="0"/>
    <n v="14"/>
    <n v="37.83783783783784"/>
    <n v="37"/>
  </r>
  <r>
    <s v="UCS3zgpGpu_U4oU4Lsdz1IUg"/>
    <s v="UCknLrEdhRCp1aegoMqRaCZg"/>
    <s v="128, 128, 128"/>
    <n v="3"/>
    <m/>
    <n v="40"/>
    <m/>
    <m/>
    <m/>
    <m/>
    <s v="No"/>
    <n v="471"/>
    <m/>
    <m/>
    <s v="Commented Video"/>
    <x v="0"/>
    <s v="How is the country going change when the people that can bring that change leave.  Imagine Germany if every educated person had left after ww2.&lt;br&gt;Where and how did he get his education?&lt;br&gt;Country&amp;#39;s need doers not takers."/>
    <s v="UCS3zgpGpu_U4oU4Lsdz1IUg"/>
    <s v="Michael H"/>
    <s v="http://www.youtube.com/channel/UCS3zgpGpu_U4oU4Lsdz1IUg"/>
    <m/>
    <s v="QNvu01OGv-Y"/>
    <s v="https://www.youtube.com/watch?v=QNvu01OGv-Y"/>
    <s v="none"/>
    <n v="3"/>
    <x v="468"/>
    <d v="2023-08-20T18:27:51.000"/>
    <m/>
    <m/>
    <m/>
    <n v="1"/>
    <n v="2"/>
    <n v="2"/>
    <n v="1"/>
    <n v="2.380952380952381"/>
    <n v="0"/>
    <n v="0"/>
    <n v="0"/>
    <n v="0"/>
    <n v="15"/>
    <n v="35.714285714285715"/>
    <n v="42"/>
  </r>
  <r>
    <s v="UCqPuEe1SgLWoCukMWSrzFOA"/>
    <s v="UCknLrEdhRCp1aegoMqRaCZg"/>
    <s v="128, 128, 128"/>
    <n v="3"/>
    <m/>
    <n v="40"/>
    <m/>
    <m/>
    <m/>
    <m/>
    <s v="No"/>
    <n v="472"/>
    <m/>
    <m/>
    <s v="Commented Video"/>
    <x v="0"/>
    <s v="My MPH thesis: will publish this as soon as possible"/>
    <s v="UCqPuEe1SgLWoCukMWSrzFOA"/>
    <s v="Arubuola Ebenezer"/>
    <s v="http://www.youtube.com/channel/UCqPuEe1SgLWoCukMWSrzFOA"/>
    <m/>
    <s v="QNvu01OGv-Y"/>
    <s v="https://www.youtube.com/watch?v=QNvu01OGv-Y"/>
    <s v="none"/>
    <n v="1"/>
    <x v="469"/>
    <d v="2023-08-20T18:32:42.000"/>
    <m/>
    <m/>
    <m/>
    <n v="1"/>
    <n v="2"/>
    <n v="2"/>
    <n v="0"/>
    <n v="0"/>
    <n v="0"/>
    <n v="0"/>
    <n v="0"/>
    <n v="0"/>
    <n v="3"/>
    <n v="30"/>
    <n v="10"/>
  </r>
  <r>
    <s v="UCwlTNogRVdJjrj9AHoZG3Mg"/>
    <s v="UCknLrEdhRCp1aegoMqRaCZg"/>
    <s v="128, 128, 128"/>
    <n v="3"/>
    <m/>
    <n v="40"/>
    <m/>
    <m/>
    <m/>
    <m/>
    <s v="No"/>
    <n v="473"/>
    <m/>
    <m/>
    <s v="Commented Video"/>
    <x v="0"/>
    <s v="just cancel their licence and doctor degree or make law that doctor should work atleast 10 years in the country."/>
    <s v="UCwlTNogRVdJjrj9AHoZG3Mg"/>
    <s v="Star M"/>
    <s v="http://www.youtube.com/channel/UCwlTNogRVdJjrj9AHoZG3Mg"/>
    <m/>
    <s v="QNvu01OGv-Y"/>
    <s v="https://www.youtube.com/watch?v=QNvu01OGv-Y"/>
    <s v="none"/>
    <n v="3"/>
    <x v="470"/>
    <d v="2023-08-20T18:35:30.000"/>
    <m/>
    <m/>
    <m/>
    <n v="1"/>
    <n v="2"/>
    <n v="2"/>
    <n v="1"/>
    <n v="5"/>
    <n v="0"/>
    <n v="0"/>
    <n v="0"/>
    <n v="0"/>
    <n v="9"/>
    <n v="45"/>
    <n v="20"/>
  </r>
  <r>
    <s v="UCj8XF379pUvcEMXF3CbdXkw"/>
    <s v="UCknLrEdhRCp1aegoMqRaCZg"/>
    <s v="128, 128, 128"/>
    <n v="3"/>
    <m/>
    <n v="40"/>
    <m/>
    <m/>
    <m/>
    <m/>
    <s v="No"/>
    <n v="474"/>
    <m/>
    <m/>
    <s v="Commented Video"/>
    <x v="0"/>
    <s v="They should leave and try their luck in other countries where their skills will be appreciated"/>
    <s v="UCj8XF379pUvcEMXF3CbdXkw"/>
    <s v="Truth Teller"/>
    <s v="http://www.youtube.com/channel/UCj8XF379pUvcEMXF3CbdXkw"/>
    <m/>
    <s v="QNvu01OGv-Y"/>
    <s v="https://www.youtube.com/watch?v=QNvu01OGv-Y"/>
    <s v="none"/>
    <n v="8"/>
    <x v="471"/>
    <d v="2023-08-20T18:44:26.000"/>
    <m/>
    <m/>
    <m/>
    <n v="1"/>
    <n v="2"/>
    <n v="2"/>
    <n v="2"/>
    <n v="12.5"/>
    <n v="0"/>
    <n v="0"/>
    <n v="0"/>
    <n v="0"/>
    <n v="4"/>
    <n v="25"/>
    <n v="16"/>
  </r>
  <r>
    <s v="UC19sWaqXdxrjnCRXKy4mg-Q"/>
    <s v="UCknLrEdhRCp1aegoMqRaCZg"/>
    <s v="128, 128, 128"/>
    <n v="3"/>
    <m/>
    <n v="40"/>
    <m/>
    <m/>
    <m/>
    <m/>
    <s v="No"/>
    <n v="475"/>
    <m/>
    <m/>
    <s v="Commented Video"/>
    <x v="0"/>
    <s v="The west strip mines the 3rd world for resources and people, leaving the countries improvised and brain drained"/>
    <s v="UC19sWaqXdxrjnCRXKy4mg-Q"/>
    <s v="asdgh"/>
    <s v="http://www.youtube.com/channel/UC19sWaqXdxrjnCRXKy4mg-Q"/>
    <m/>
    <s v="QNvu01OGv-Y"/>
    <s v="https://www.youtube.com/watch?v=QNvu01OGv-Y"/>
    <s v="none"/>
    <n v="1"/>
    <x v="472"/>
    <d v="2023-08-20T18:56:14.000"/>
    <m/>
    <m/>
    <m/>
    <n v="1"/>
    <n v="2"/>
    <n v="2"/>
    <n v="0"/>
    <n v="0"/>
    <n v="1"/>
    <n v="5.555555555555555"/>
    <n v="0"/>
    <n v="0"/>
    <n v="11"/>
    <n v="61.111111111111114"/>
    <n v="18"/>
  </r>
  <r>
    <s v="UCMmYeNobfU1erL5KunJ0OfQ"/>
    <s v="UCknLrEdhRCp1aegoMqRaCZg"/>
    <s v="128, 128, 128"/>
    <n v="3"/>
    <m/>
    <n v="40"/>
    <m/>
    <m/>
    <m/>
    <m/>
    <s v="No"/>
    <n v="476"/>
    <m/>
    <m/>
    <s v="Commented Video"/>
    <x v="0"/>
    <s v="Economic migration is a natural human thing - this is not “an issue” specific to Nigeria. We can see a lot of migration out of Asia as well"/>
    <s v="UCMmYeNobfU1erL5KunJ0OfQ"/>
    <s v="Lilian"/>
    <s v="http://www.youtube.com/channel/UCMmYeNobfU1erL5KunJ0OfQ"/>
    <m/>
    <s v="QNvu01OGv-Y"/>
    <s v="https://www.youtube.com/watch?v=QNvu01OGv-Y"/>
    <s v="none"/>
    <n v="17"/>
    <x v="473"/>
    <d v="2023-08-20T18:56:38.000"/>
    <m/>
    <m/>
    <m/>
    <n v="1"/>
    <n v="2"/>
    <n v="2"/>
    <n v="1"/>
    <n v="3.7037037037037037"/>
    <n v="1"/>
    <n v="3.7037037037037037"/>
    <n v="0"/>
    <n v="0"/>
    <n v="10"/>
    <n v="37.03703703703704"/>
    <n v="27"/>
  </r>
  <r>
    <s v="UCblXTng8t8ELWi2_bvR0VnA"/>
    <s v="UCknLrEdhRCp1aegoMqRaCZg"/>
    <s v="128, 128, 128"/>
    <n v="3"/>
    <m/>
    <n v="40"/>
    <m/>
    <m/>
    <m/>
    <m/>
    <s v="No"/>
    <n v="477"/>
    <m/>
    <m/>
    <s v="Commented Video"/>
    <x v="0"/>
    <s v="Nigerians will run anywhere instead of building their own nation shame on u..."/>
    <s v="UCblXTng8t8ELWi2_bvR0VnA"/>
    <s v="Zack Galante"/>
    <s v="http://www.youtube.com/channel/UCblXTng8t8ELWi2_bvR0VnA"/>
    <m/>
    <s v="QNvu01OGv-Y"/>
    <s v="https://www.youtube.com/watch?v=QNvu01OGv-Y"/>
    <s v="none"/>
    <n v="1"/>
    <x v="474"/>
    <d v="2023-08-20T19:01:22.000"/>
    <m/>
    <m/>
    <m/>
    <n v="1"/>
    <n v="2"/>
    <n v="2"/>
    <n v="0"/>
    <n v="0"/>
    <n v="1"/>
    <n v="7.6923076923076925"/>
    <n v="0"/>
    <n v="0"/>
    <n v="3"/>
    <n v="23.076923076923077"/>
    <n v="13"/>
  </r>
  <r>
    <s v="UCfuVPsdveNmN7ZotWZXLnVQ"/>
    <s v="UCknLrEdhRCp1aegoMqRaCZg"/>
    <s v="128, 128, 128"/>
    <n v="3"/>
    <m/>
    <n v="40"/>
    <m/>
    <m/>
    <m/>
    <m/>
    <s v="No"/>
    <n v="478"/>
    <m/>
    <m/>
    <s v="Commented Video"/>
    <x v="0"/>
    <s v="Africans are leaving Africa because their governments don&amp;#39;t know how to run the countries."/>
    <s v="UCfuVPsdveNmN7ZotWZXLnVQ"/>
    <s v="Faral Limacha"/>
    <s v="http://www.youtube.com/channel/UCfuVPsdveNmN7ZotWZXLnVQ"/>
    <m/>
    <s v="QNvu01OGv-Y"/>
    <s v="https://www.youtube.com/watch?v=QNvu01OGv-Y"/>
    <s v="none"/>
    <n v="2"/>
    <x v="475"/>
    <d v="2023-08-20T19:05:32.000"/>
    <m/>
    <m/>
    <m/>
    <n v="1"/>
    <n v="2"/>
    <n v="2"/>
    <n v="0"/>
    <n v="0"/>
    <n v="0"/>
    <n v="0"/>
    <n v="0"/>
    <n v="0"/>
    <n v="5"/>
    <n v="31.25"/>
    <n v="16"/>
  </r>
  <r>
    <s v="UC-Vsu2Rq8-B4Us_LD6XsTrw"/>
    <s v="UCknLrEdhRCp1aegoMqRaCZg"/>
    <s v="128, 128, 128"/>
    <n v="3"/>
    <m/>
    <n v="40"/>
    <m/>
    <m/>
    <m/>
    <m/>
    <s v="No"/>
    <n v="479"/>
    <m/>
    <m/>
    <s v="Commented Video"/>
    <x v="0"/>
    <s v="Because they people there care more about hating gay people and kissing Russian a* then anything else"/>
    <s v="UC-Vsu2Rq8-B4Us_LD6XsTrw"/>
    <s v="Blana"/>
    <s v="http://www.youtube.com/channel/UC-Vsu2Rq8-B4Us_LD6XsTrw"/>
    <m/>
    <s v="QNvu01OGv-Y"/>
    <s v="https://www.youtube.com/watch?v=QNvu01OGv-Y"/>
    <s v="none"/>
    <n v="0"/>
    <x v="476"/>
    <d v="2023-08-20T19:17:38.000"/>
    <m/>
    <m/>
    <m/>
    <n v="1"/>
    <n v="2"/>
    <n v="2"/>
    <n v="0"/>
    <n v="0"/>
    <n v="1"/>
    <n v="5.882352941176471"/>
    <n v="0"/>
    <n v="0"/>
    <n v="6"/>
    <n v="35.294117647058826"/>
    <n v="17"/>
  </r>
  <r>
    <s v="UCf4pZc-iceY4rRW_FIH1Unw"/>
    <s v="UCknLrEdhRCp1aegoMqRaCZg"/>
    <s v="128, 128, 128"/>
    <n v="3"/>
    <m/>
    <n v="40"/>
    <m/>
    <m/>
    <m/>
    <m/>
    <s v="No"/>
    <n v="480"/>
    <m/>
    <m/>
    <s v="Commented Video"/>
    <x v="0"/>
    <s v="Nigeria will be heading for their own coup soon. The citizens deserve better."/>
    <s v="UCf4pZc-iceY4rRW_FIH1Unw"/>
    <s v="Star Light"/>
    <s v="http://www.youtube.com/channel/UCf4pZc-iceY4rRW_FIH1Unw"/>
    <m/>
    <s v="QNvu01OGv-Y"/>
    <s v="https://www.youtube.com/watch?v=QNvu01OGv-Y"/>
    <s v="none"/>
    <n v="5"/>
    <x v="477"/>
    <d v="2023-08-20T19:23:52.000"/>
    <m/>
    <m/>
    <m/>
    <n v="1"/>
    <n v="2"/>
    <n v="2"/>
    <n v="1"/>
    <n v="7.6923076923076925"/>
    <n v="0"/>
    <n v="0"/>
    <n v="0"/>
    <n v="0"/>
    <n v="5"/>
    <n v="38.46153846153846"/>
    <n v="13"/>
  </r>
  <r>
    <s v="UCORptN_cZjib1yvvXJb0qDQ"/>
    <s v="UCknLrEdhRCp1aegoMqRaCZg"/>
    <s v="128, 128, 128"/>
    <n v="3"/>
    <m/>
    <n v="40"/>
    <m/>
    <m/>
    <m/>
    <m/>
    <s v="No"/>
    <n v="481"/>
    <m/>
    <m/>
    <s v="Commented Video"/>
    <x v="0"/>
    <s v="Because pay is much better in Britain. Their own government should create incentives for them to stay. Have to compete in a global economy"/>
    <s v="UCORptN_cZjib1yvvXJb0qDQ"/>
    <s v="Trevor Sutherland"/>
    <s v="http://www.youtube.com/channel/UCORptN_cZjib1yvvXJb0qDQ"/>
    <m/>
    <s v="QNvu01OGv-Y"/>
    <s v="https://www.youtube.com/watch?v=QNvu01OGv-Y"/>
    <s v="none"/>
    <n v="22"/>
    <x v="478"/>
    <d v="2023-08-20T19:25:59.000"/>
    <m/>
    <m/>
    <m/>
    <n v="1"/>
    <n v="2"/>
    <n v="2"/>
    <n v="1"/>
    <n v="4.166666666666667"/>
    <n v="0"/>
    <n v="0"/>
    <n v="0"/>
    <n v="0"/>
    <n v="9"/>
    <n v="37.5"/>
    <n v="24"/>
  </r>
  <r>
    <s v="UCH_Mw514yZ1p-1goGHzqPAg"/>
    <s v="UCknLrEdhRCp1aegoMqRaCZg"/>
    <s v="128, 128, 128"/>
    <n v="3"/>
    <m/>
    <n v="40"/>
    <m/>
    <m/>
    <m/>
    <m/>
    <s v="No"/>
    <n v="482"/>
    <m/>
    <m/>
    <s v="Commented Video"/>
    <x v="0"/>
    <s v="💔"/>
    <s v="UCH_Mw514yZ1p-1goGHzqPAg"/>
    <s v="lord sauron"/>
    <s v="http://www.youtube.com/channel/UCH_Mw514yZ1p-1goGHzqPAg"/>
    <m/>
    <s v="QNvu01OGv-Y"/>
    <s v="https://www.youtube.com/watch?v=QNvu01OGv-Y"/>
    <s v="none"/>
    <n v="0"/>
    <x v="479"/>
    <d v="2023-08-20T19:30:57.000"/>
    <m/>
    <m/>
    <m/>
    <n v="1"/>
    <n v="2"/>
    <n v="2"/>
    <n v="0"/>
    <n v="0"/>
    <n v="0"/>
    <n v="0"/>
    <n v="0"/>
    <n v="0"/>
    <n v="0"/>
    <n v="0"/>
    <n v="0"/>
  </r>
  <r>
    <s v="UC3_WGzeTLyiVjTdOCrDzBgg"/>
    <s v="UCknLrEdhRCp1aegoMqRaCZg"/>
    <s v="128, 128, 128"/>
    <n v="3"/>
    <m/>
    <n v="40"/>
    <m/>
    <m/>
    <m/>
    <m/>
    <s v="No"/>
    <n v="483"/>
    <m/>
    <m/>
    <s v="Commented Video"/>
    <x v="0"/>
    <s v="Also the world: &amp;quot;The West is full of racism, facism and all other kinds of badisms.&amp;quot;"/>
    <s v="UC3_WGzeTLyiVjTdOCrDzBgg"/>
    <s v="Thomas Philip"/>
    <s v="http://www.youtube.com/channel/UC3_WGzeTLyiVjTdOCrDzBgg"/>
    <m/>
    <s v="QNvu01OGv-Y"/>
    <s v="https://www.youtube.com/watch?v=QNvu01OGv-Y"/>
    <s v="none"/>
    <n v="1"/>
    <x v="480"/>
    <d v="2023-08-20T19:37:55.000"/>
    <m/>
    <m/>
    <m/>
    <n v="1"/>
    <n v="2"/>
    <n v="2"/>
    <n v="0"/>
    <n v="0"/>
    <n v="1"/>
    <n v="5.555555555555555"/>
    <n v="0"/>
    <n v="0"/>
    <n v="5"/>
    <n v="27.77777777777778"/>
    <n v="18"/>
  </r>
  <r>
    <s v="UCb3poqstXx4qdaw2w_5tBQw"/>
    <s v="UCknLrEdhRCp1aegoMqRaCZg"/>
    <s v="128, 128, 128"/>
    <n v="3"/>
    <m/>
    <n v="40"/>
    <m/>
    <m/>
    <m/>
    <m/>
    <s v="No"/>
    <n v="484"/>
    <m/>
    <m/>
    <s v="Commented Video"/>
    <x v="0"/>
    <s v="Always things remained the same people migrate to where there is hope but will always came back with what day have."/>
    <s v="UCb3poqstXx4qdaw2w_5tBQw"/>
    <s v="Nyale Kambombo"/>
    <s v="http://www.youtube.com/channel/UCb3poqstXx4qdaw2w_5tBQw"/>
    <m/>
    <s v="QNvu01OGv-Y"/>
    <s v="https://www.youtube.com/watch?v=QNvu01OGv-Y"/>
    <s v="none"/>
    <n v="0"/>
    <x v="481"/>
    <d v="2023-08-20T19:38:57.000"/>
    <m/>
    <m/>
    <m/>
    <n v="1"/>
    <n v="2"/>
    <n v="2"/>
    <n v="0"/>
    <n v="0"/>
    <n v="0"/>
    <n v="0"/>
    <n v="0"/>
    <n v="0"/>
    <n v="5"/>
    <n v="23.80952380952381"/>
    <n v="21"/>
  </r>
  <r>
    <s v="UCHhpxmEbI_QzJiynEHx7-ZQ"/>
    <s v="UCknLrEdhRCp1aegoMqRaCZg"/>
    <s v="128, 128, 128"/>
    <n v="3"/>
    <m/>
    <n v="40"/>
    <m/>
    <m/>
    <m/>
    <m/>
    <s v="No"/>
    <n v="485"/>
    <m/>
    <m/>
    <s v="Commented Video"/>
    <x v="0"/>
    <s v="I don&amp;#39;t blame them.  Once Russia arrives anywhere, its all death, destruction, corruption, and lawlessness.  Watch what happens."/>
    <s v="UCHhpxmEbI_QzJiynEHx7-ZQ"/>
    <s v="MDK MEusa"/>
    <s v="http://www.youtube.com/channel/UCHhpxmEbI_QzJiynEHx7-ZQ"/>
    <m/>
    <s v="QNvu01OGv-Y"/>
    <s v="https://www.youtube.com/watch?v=QNvu01OGv-Y"/>
    <s v="none"/>
    <n v="1"/>
    <x v="482"/>
    <d v="2023-08-20T19:45:36.000"/>
    <m/>
    <m/>
    <m/>
    <n v="1"/>
    <n v="2"/>
    <n v="2"/>
    <n v="0"/>
    <n v="0"/>
    <n v="5"/>
    <n v="25"/>
    <n v="0"/>
    <n v="0"/>
    <n v="2"/>
    <n v="10"/>
    <n v="20"/>
  </r>
  <r>
    <s v="UC4LoMsTr6vDlSGu65YhHubw"/>
    <s v="UCknLrEdhRCp1aegoMqRaCZg"/>
    <s v="128, 128, 128"/>
    <n v="3"/>
    <m/>
    <n v="40"/>
    <m/>
    <m/>
    <m/>
    <m/>
    <s v="No"/>
    <n v="486"/>
    <m/>
    <m/>
    <s v="Commented Video"/>
    <x v="0"/>
    <s v="Who is responsible in Africa, act now with the family planing education."/>
    <s v="UC4LoMsTr6vDlSGu65YhHubw"/>
    <s v="TheNet"/>
    <s v="http://www.youtube.com/channel/UC4LoMsTr6vDlSGu65YhHubw"/>
    <m/>
    <s v="QNvu01OGv-Y"/>
    <s v="https://www.youtube.com/watch?v=QNvu01OGv-Y"/>
    <s v="none"/>
    <n v="1"/>
    <x v="483"/>
    <d v="2023-08-20T19:46:57.000"/>
    <m/>
    <m/>
    <m/>
    <n v="1"/>
    <n v="2"/>
    <n v="2"/>
    <n v="0"/>
    <n v="0"/>
    <n v="0"/>
    <n v="0"/>
    <n v="0"/>
    <n v="0"/>
    <n v="6"/>
    <n v="50"/>
    <n v="12"/>
  </r>
  <r>
    <s v="UCNs2K7uGB5PcQGz6SlAJ7-Q"/>
    <s v="UCknLrEdhRCp1aegoMqRaCZg"/>
    <s v="141, 115, 115"/>
    <n v="6.5"/>
    <m/>
    <n v="27.5"/>
    <m/>
    <m/>
    <m/>
    <m/>
    <s v="No"/>
    <n v="487"/>
    <m/>
    <m/>
    <s v="Commented Video"/>
    <x v="0"/>
    <s v="Not surprising for such a dysfunctional country, culture and way of life."/>
    <s v="UCNs2K7uGB5PcQGz6SlAJ7-Q"/>
    <s v="Paul As-Siddiq"/>
    <s v="http://www.youtube.com/channel/UCNs2K7uGB5PcQGz6SlAJ7-Q"/>
    <m/>
    <s v="QNvu01OGv-Y"/>
    <s v="https://www.youtube.com/watch?v=QNvu01OGv-Y"/>
    <s v="none"/>
    <n v="1"/>
    <x v="484"/>
    <d v="2023-08-20T20:20:48.000"/>
    <m/>
    <m/>
    <m/>
    <n v="4"/>
    <n v="2"/>
    <n v="2"/>
    <n v="0"/>
    <n v="0"/>
    <n v="0"/>
    <n v="0"/>
    <n v="0"/>
    <n v="0"/>
    <n v="5"/>
    <n v="41.666666666666664"/>
    <n v="12"/>
  </r>
  <r>
    <s v="UCuttF8lm2JC0qq6_aZZI59A"/>
    <s v="UCknLrEdhRCp1aegoMqRaCZg"/>
    <s v="128, 128, 128"/>
    <n v="3"/>
    <m/>
    <n v="40"/>
    <m/>
    <m/>
    <m/>
    <m/>
    <s v="No"/>
    <n v="488"/>
    <m/>
    <m/>
    <s v="Commented Video"/>
    <x v="0"/>
    <s v="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
    <s v="UCuttF8lm2JC0qq6_aZZI59A"/>
    <s v="Kath Ev"/>
    <s v="http://www.youtube.com/channel/UCuttF8lm2JC0qq6_aZZI59A"/>
    <m/>
    <s v="QNvu01OGv-Y"/>
    <s v="https://www.youtube.com/watch?v=QNvu01OGv-Y"/>
    <s v="none"/>
    <n v="0"/>
    <x v="485"/>
    <d v="2023-08-20T20:24:14.000"/>
    <m/>
    <m/>
    <m/>
    <n v="1"/>
    <n v="2"/>
    <n v="2"/>
    <n v="1"/>
    <n v="1.2658227848101267"/>
    <n v="2"/>
    <n v="2.5316455696202533"/>
    <n v="0"/>
    <n v="0"/>
    <n v="21"/>
    <n v="26.582278481012658"/>
    <n v="79"/>
  </r>
  <r>
    <s v="UCXrbNDfwznFm4ApkcYyezAQ"/>
    <s v="UCknLrEdhRCp1aegoMqRaCZg"/>
    <s v="128, 128, 128"/>
    <n v="3"/>
    <m/>
    <n v="40"/>
    <m/>
    <m/>
    <m/>
    <m/>
    <s v="No"/>
    <n v="489"/>
    <m/>
    <m/>
    <s v="Commented Video"/>
    <x v="0"/>
    <s v="Same reason they’re leaving Florida, in the US?"/>
    <s v="UCXrbNDfwznFm4ApkcYyezAQ"/>
    <s v="Angus MacFrankenstein"/>
    <s v="http://www.youtube.com/channel/UCXrbNDfwznFm4ApkcYyezAQ"/>
    <m/>
    <s v="QNvu01OGv-Y"/>
    <s v="https://www.youtube.com/watch?v=QNvu01OGv-Y"/>
    <s v="none"/>
    <n v="3"/>
    <x v="486"/>
    <d v="2023-08-20T20:39:40.000"/>
    <m/>
    <m/>
    <m/>
    <n v="1"/>
    <n v="2"/>
    <n v="2"/>
    <n v="0"/>
    <n v="0"/>
    <n v="0"/>
    <n v="0"/>
    <n v="0"/>
    <n v="0"/>
    <n v="3"/>
    <n v="33.333333333333336"/>
    <n v="9"/>
  </r>
  <r>
    <s v="UCmws-L08D4Co5vRL_QM6VAg"/>
    <s v="UCknLrEdhRCp1aegoMqRaCZg"/>
    <s v="128, 128, 128"/>
    <n v="3"/>
    <m/>
    <n v="40"/>
    <m/>
    <m/>
    <m/>
    <m/>
    <s v="No"/>
    <n v="490"/>
    <m/>
    <m/>
    <s v="Commented Video"/>
    <x v="0"/>
    <s v="Duuuhhh... Because they can? The world lacks doctors so why wouldn&amp;#39;t you go to the US or Europe? Nigeria is a dump. Absolutely everyone in their right mind would leave the very minute they can."/>
    <s v="UCmws-L08D4Co5vRL_QM6VAg"/>
    <s v="Mysterio Anonymous"/>
    <s v="http://www.youtube.com/channel/UCmws-L08D4Co5vRL_QM6VAg"/>
    <m/>
    <s v="QNvu01OGv-Y"/>
    <s v="https://www.youtube.com/watch?v=QNvu01OGv-Y"/>
    <s v="none"/>
    <n v="1"/>
    <x v="487"/>
    <d v="2023-08-20T20:42:28.000"/>
    <m/>
    <m/>
    <m/>
    <n v="1"/>
    <n v="2"/>
    <n v="2"/>
    <n v="1"/>
    <n v="2.7027027027027026"/>
    <n v="2"/>
    <n v="5.405405405405405"/>
    <n v="0"/>
    <n v="0"/>
    <n v="9"/>
    <n v="24.324324324324323"/>
    <n v="37"/>
  </r>
  <r>
    <s v="UC_5s0ngEVGxtq--kCxbcD_A"/>
    <s v="UCknLrEdhRCp1aegoMqRaCZg"/>
    <s v="128, 128, 128"/>
    <n v="3"/>
    <m/>
    <n v="40"/>
    <m/>
    <m/>
    <m/>
    <m/>
    <s v="No"/>
    <n v="491"/>
    <m/>
    <m/>
    <s v="Commented Video"/>
    <x v="0"/>
    <s v="if u were a doctor would u choose to live in Nigeria? ur a freaking doctor that gets paid a lot anywhere u go."/>
    <s v="UC_5s0ngEVGxtq--kCxbcD_A"/>
    <s v="Cross"/>
    <s v="http://www.youtube.com/channel/UC_5s0ngEVGxtq--kCxbcD_A"/>
    <m/>
    <s v="QNvu01OGv-Y"/>
    <s v="https://www.youtube.com/watch?v=QNvu01OGv-Y"/>
    <s v="none"/>
    <n v="4"/>
    <x v="488"/>
    <d v="2023-08-20T20:46:53.000"/>
    <m/>
    <m/>
    <m/>
    <n v="1"/>
    <n v="2"/>
    <n v="2"/>
    <n v="0"/>
    <n v="0"/>
    <n v="1"/>
    <n v="4.166666666666667"/>
    <n v="0"/>
    <n v="0"/>
    <n v="8"/>
    <n v="33.333333333333336"/>
    <n v="24"/>
  </r>
  <r>
    <s v="UCz7f9p6fRxm1dD1m1ofk7QA"/>
    <s v="UCknLrEdhRCp1aegoMqRaCZg"/>
    <s v="128, 128, 128"/>
    <n v="3"/>
    <m/>
    <n v="40"/>
    <m/>
    <m/>
    <m/>
    <m/>
    <s v="No"/>
    <n v="492"/>
    <m/>
    <m/>
    <s v="Commented Video"/>
    <x v="0"/>
    <s v="&lt;b&gt;Neocolonialism&lt;/b&gt; at its worse.  This is why we need to stop allowing it, for moral reasons. We can train our own doctors TYVM.&lt;br&gt;&lt;br&gt;Anyway, AI will replace them all."/>
    <s v="UCz7f9p6fRxm1dD1m1ofk7QA"/>
    <s v="New Moon"/>
    <s v="http://www.youtube.com/channel/UCz7f9p6fRxm1dD1m1ofk7QA"/>
    <m/>
    <s v="QNvu01OGv-Y"/>
    <s v="https://www.youtube.com/watch?v=QNvu01OGv-Y"/>
    <s v="none"/>
    <n v="0"/>
    <x v="489"/>
    <d v="2023-08-20T20:53:36.000"/>
    <m/>
    <m/>
    <m/>
    <n v="1"/>
    <n v="2"/>
    <n v="2"/>
    <n v="0"/>
    <n v="0"/>
    <n v="1"/>
    <n v="3.0303030303030303"/>
    <n v="0"/>
    <n v="0"/>
    <n v="10"/>
    <n v="30.303030303030305"/>
    <n v="33"/>
  </r>
  <r>
    <s v="UC55LZaO-y5DR0dkWTPS68HA"/>
    <s v="UCknLrEdhRCp1aegoMqRaCZg"/>
    <s v="141, 115, 115"/>
    <n v="6.5"/>
    <m/>
    <n v="27.5"/>
    <m/>
    <m/>
    <m/>
    <m/>
    <s v="No"/>
    <n v="493"/>
    <m/>
    <m/>
    <s v="Commented Video"/>
    <x v="0"/>
    <s v="&lt;a href=&quot;https://www.youtube.com/watch?v=QNvu01OGv-Y&amp;amp;t=6m11s&quot;&gt;6:11&lt;/a&gt; She said it. People with the ability to leave will leave because it is not safe or profitable to remain in Africa. &lt;br&gt;&lt;br&gt;This is one of many reasons why mass immigration into Europe from Afica is a HUGE problem."/>
    <s v="UC55LZaO-y5DR0dkWTPS68HA"/>
    <s v="James Clark"/>
    <s v="http://www.youtube.com/channel/UC55LZaO-y5DR0dkWTPS68HA"/>
    <m/>
    <s v="QNvu01OGv-Y"/>
    <s v="https://www.youtube.com/watch?v=QNvu01OGv-Y"/>
    <s v="none"/>
    <n v="4"/>
    <x v="490"/>
    <d v="2023-08-20T20:48:37.000"/>
    <s v="https://www.youtube.com/watch?v=QNvu01OGv-Y&amp;amp;t=6m11s"/>
    <s v="youtube.com"/>
    <m/>
    <n v="4"/>
    <n v="2"/>
    <n v="2"/>
    <n v="1"/>
    <n v="1.7543859649122806"/>
    <n v="1"/>
    <n v="1.7543859649122806"/>
    <n v="0"/>
    <n v="0"/>
    <n v="16"/>
    <n v="28.07017543859649"/>
    <n v="57"/>
  </r>
  <r>
    <s v="UCcJNNuCzeeQkpUEZjM9auFg"/>
    <s v="UCknLrEdhRCp1aegoMqRaCZg"/>
    <s v="128, 128, 128"/>
    <n v="3"/>
    <m/>
    <n v="40"/>
    <m/>
    <m/>
    <m/>
    <m/>
    <s v="No"/>
    <n v="494"/>
    <m/>
    <m/>
    <s v="Commented Video"/>
    <x v="0"/>
    <s v="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
    <s v="UCcJNNuCzeeQkpUEZjM9auFg"/>
    <s v="Jinxe vis"/>
    <s v="http://www.youtube.com/channel/UCcJNNuCzeeQkpUEZjM9auFg"/>
    <m/>
    <s v="QNvu01OGv-Y"/>
    <s v="https://www.youtube.com/watch?v=QNvu01OGv-Y"/>
    <s v="none"/>
    <n v="0"/>
    <x v="491"/>
    <d v="2023-08-20T20:57:51.000"/>
    <m/>
    <m/>
    <m/>
    <n v="1"/>
    <n v="2"/>
    <n v="2"/>
    <n v="1"/>
    <n v="1.408450704225352"/>
    <n v="0"/>
    <n v="0"/>
    <n v="0"/>
    <n v="0"/>
    <n v="30"/>
    <n v="42.25352112676056"/>
    <n v="71"/>
  </r>
  <r>
    <s v="UCJFgt0We8TKrh-UbX6TdiVg"/>
    <s v="UCknLrEdhRCp1aegoMqRaCZg"/>
    <s v="128, 128, 128"/>
    <n v="3"/>
    <m/>
    <n v="40"/>
    <m/>
    <m/>
    <m/>
    <m/>
    <s v="No"/>
    <n v="495"/>
    <m/>
    <m/>
    <s v="Commented Video"/>
    <x v="0"/>
    <s v="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
    <s v="UCJFgt0We8TKrh-UbX6TdiVg"/>
    <s v="Asi-oqua Bassey"/>
    <s v="http://www.youtube.com/channel/UCJFgt0We8TKrh-UbX6TdiVg"/>
    <m/>
    <s v="QNvu01OGv-Y"/>
    <s v="https://www.youtube.com/watch?v=QNvu01OGv-Y"/>
    <s v="none"/>
    <n v="7"/>
    <x v="492"/>
    <d v="2023-08-20T20:58:43.000"/>
    <m/>
    <m/>
    <m/>
    <n v="1"/>
    <n v="2"/>
    <n v="2"/>
    <n v="8"/>
    <n v="3.669724770642202"/>
    <n v="1"/>
    <n v="0.45871559633027525"/>
    <n v="0"/>
    <n v="0"/>
    <n v="91"/>
    <n v="41.74311926605505"/>
    <n v="218"/>
  </r>
  <r>
    <s v="UCkOeSfUzVPPLkxKWy33qO9g"/>
    <s v="UCknLrEdhRCp1aegoMqRaCZg"/>
    <s v="141, 115, 115"/>
    <n v="6.5"/>
    <m/>
    <n v="27.5"/>
    <m/>
    <m/>
    <m/>
    <m/>
    <s v="No"/>
    <n v="496"/>
    <m/>
    <m/>
    <s v="Commented Video"/>
    <x v="0"/>
    <s v="It&amp;#39;s not just doctors. Every highly qualified professional is leaving. I&amp;#39;m an engineer with a masters degree in business and another specialization. It&amp;#39;s not just the pay, it&amp;#39;s the security. Remember our Police stations close early due to security reasons. 😅."/>
    <s v="UCkOeSfUzVPPLkxKWy33qO9g"/>
    <s v="soTommy"/>
    <s v="http://www.youtube.com/channel/UCkOeSfUzVPPLkxKWy33qO9g"/>
    <m/>
    <s v="QNvu01OGv-Y"/>
    <s v="https://www.youtube.com/watch?v=QNvu01OGv-Y"/>
    <s v="none"/>
    <n v="30"/>
    <x v="493"/>
    <d v="2023-08-20T21:18:51.000"/>
    <m/>
    <m/>
    <m/>
    <n v="4"/>
    <n v="2"/>
    <n v="2"/>
    <n v="2"/>
    <n v="4.166666666666667"/>
    <n v="0"/>
    <n v="0"/>
    <n v="0"/>
    <n v="0"/>
    <n v="16"/>
    <n v="33.333333333333336"/>
    <n v="48"/>
  </r>
  <r>
    <s v="UCW269Xw8c4JZkTdDugBxoJg"/>
    <s v="UCknLrEdhRCp1aegoMqRaCZg"/>
    <s v="128, 128, 128"/>
    <n v="3"/>
    <m/>
    <n v="40"/>
    <m/>
    <m/>
    <m/>
    <m/>
    <s v="No"/>
    <n v="497"/>
    <m/>
    <m/>
    <s v="Commented Video"/>
    <x v="0"/>
    <s v="Nigerians come to Saskatchewan, Canada. We have affordable housing and lots of job vacancies."/>
    <s v="UCW269Xw8c4JZkTdDugBxoJg"/>
    <s v="James Lascelle"/>
    <s v="http://www.youtube.com/channel/UCW269Xw8c4JZkTdDugBxoJg"/>
    <m/>
    <s v="QNvu01OGv-Y"/>
    <s v="https://www.youtube.com/watch?v=QNvu01OGv-Y"/>
    <s v="none"/>
    <n v="0"/>
    <x v="494"/>
    <d v="2023-08-20T21:27:05.000"/>
    <m/>
    <m/>
    <m/>
    <n v="1"/>
    <n v="2"/>
    <n v="2"/>
    <n v="1"/>
    <n v="7.142857142857143"/>
    <n v="0"/>
    <n v="0"/>
    <n v="0"/>
    <n v="0"/>
    <n v="7"/>
    <n v="50"/>
    <n v="14"/>
  </r>
  <r>
    <s v="UCNkNOakUpGFOUms0NIlR6VQ"/>
    <s v="UCknLrEdhRCp1aegoMqRaCZg"/>
    <s v="128, 128, 128"/>
    <n v="3"/>
    <m/>
    <n v="40"/>
    <m/>
    <m/>
    <m/>
    <m/>
    <s v="No"/>
    <n v="498"/>
    <m/>
    <m/>
    <s v="Commented Video"/>
    <x v="0"/>
    <s v="Sadly one just wonder what happens to not only Medical Professionals but also other professionals. Funny enough the government don’t care, but are only interested in promoting legislations that better their own welfare"/>
    <s v="UCNkNOakUpGFOUms0NIlR6VQ"/>
    <s v="Ernest Abor"/>
    <s v="http://www.youtube.com/channel/UCNkNOakUpGFOUms0NIlR6VQ"/>
    <m/>
    <s v="QNvu01OGv-Y"/>
    <s v="https://www.youtube.com/watch?v=QNvu01OGv-Y"/>
    <s v="none"/>
    <n v="4"/>
    <x v="495"/>
    <d v="2023-08-20T21:27:19.000"/>
    <m/>
    <m/>
    <m/>
    <n v="1"/>
    <n v="2"/>
    <n v="2"/>
    <n v="1"/>
    <n v="2.9411764705882355"/>
    <n v="2"/>
    <n v="5.882352941176471"/>
    <n v="0"/>
    <n v="0"/>
    <n v="9"/>
    <n v="26.470588235294116"/>
    <n v="34"/>
  </r>
  <r>
    <s v="UCYiClT59wh9GGFNw8RF5ecw"/>
    <s v="UCknLrEdhRCp1aegoMqRaCZg"/>
    <s v="128, 128, 128"/>
    <n v="3"/>
    <m/>
    <n v="40"/>
    <m/>
    <m/>
    <m/>
    <m/>
    <s v="No"/>
    <n v="499"/>
    <m/>
    <m/>
    <s v="Commented Video"/>
    <x v="0"/>
    <s v="❤❤❤"/>
    <s v="UCYiClT59wh9GGFNw8RF5ecw"/>
    <s v="Shahida Nusrat"/>
    <s v="http://www.youtube.com/channel/UCYiClT59wh9GGFNw8RF5ecw"/>
    <m/>
    <s v="QNvu01OGv-Y"/>
    <s v="https://www.youtube.com/watch?v=QNvu01OGv-Y"/>
    <s v="none"/>
    <n v="0"/>
    <x v="496"/>
    <d v="2023-08-20T21:41:44.000"/>
    <m/>
    <m/>
    <m/>
    <n v="1"/>
    <n v="2"/>
    <n v="2"/>
    <n v="0"/>
    <n v="0"/>
    <n v="0"/>
    <n v="0"/>
    <n v="0"/>
    <n v="0"/>
    <n v="0"/>
    <n v="0"/>
    <n v="0"/>
  </r>
  <r>
    <s v="UCPbQogybo9ugVqDevZ511hg"/>
    <s v="UCknLrEdhRCp1aegoMqRaCZg"/>
    <s v="128, 128, 128"/>
    <n v="3"/>
    <m/>
    <n v="40"/>
    <m/>
    <m/>
    <m/>
    <m/>
    <s v="No"/>
    <n v="500"/>
    <m/>
    <m/>
    <s v="Commented Video"/>
    <x v="0"/>
    <s v="Are they good enough. Is their qualification up to western standards."/>
    <s v="UCPbQogybo9ugVqDevZ511hg"/>
    <s v="jamie"/>
    <s v="http://www.youtube.com/channel/UCPbQogybo9ugVqDevZ511hg"/>
    <m/>
    <s v="QNvu01OGv-Y"/>
    <s v="https://www.youtube.com/watch?v=QNvu01OGv-Y"/>
    <s v="none"/>
    <n v="0"/>
    <x v="497"/>
    <d v="2023-08-20T21:48:34.000"/>
    <m/>
    <m/>
    <m/>
    <n v="1"/>
    <n v="2"/>
    <n v="2"/>
    <n v="1"/>
    <n v="9.090909090909092"/>
    <n v="0"/>
    <n v="0"/>
    <n v="0"/>
    <n v="0"/>
    <n v="3"/>
    <n v="27.272727272727273"/>
    <n v="11"/>
  </r>
  <r>
    <s v="UCY6wQpAem-Z4zFuwPo1b5vg"/>
    <s v="UCknLrEdhRCp1aegoMqRaCZg"/>
    <s v="128, 128, 128"/>
    <n v="3"/>
    <m/>
    <n v="40"/>
    <m/>
    <m/>
    <m/>
    <m/>
    <s v="No"/>
    <n v="501"/>
    <m/>
    <m/>
    <s v="Commented Video"/>
    <x v="0"/>
    <s v="Many foreign doctors here in Canada work as security guards, janitors, taxi drivers etc. Don&amp;#39;t be fooled with sweet promises of good life."/>
    <s v="UCY6wQpAem-Z4zFuwPo1b5vg"/>
    <s v="Vancouver Watcher"/>
    <s v="http://www.youtube.com/channel/UCY6wQpAem-Z4zFuwPo1b5vg"/>
    <m/>
    <s v="QNvu01OGv-Y"/>
    <s v="https://www.youtube.com/watch?v=QNvu01OGv-Y"/>
    <s v="none"/>
    <n v="18"/>
    <x v="498"/>
    <d v="2023-08-20T21:58:52.000"/>
    <m/>
    <m/>
    <m/>
    <n v="1"/>
    <n v="2"/>
    <n v="2"/>
    <n v="4"/>
    <n v="16"/>
    <n v="1"/>
    <n v="4"/>
    <n v="0"/>
    <n v="0"/>
    <n v="10"/>
    <n v="40"/>
    <n v="25"/>
  </r>
  <r>
    <s v="UCoLbgssVprBoJA1lmVLEpNA"/>
    <s v="UCknLrEdhRCp1aegoMqRaCZg"/>
    <s v="128, 128, 128"/>
    <n v="3"/>
    <m/>
    <n v="40"/>
    <m/>
    <m/>
    <m/>
    <m/>
    <s v="No"/>
    <n v="502"/>
    <m/>
    <m/>
    <s v="Commented Video"/>
    <x v="0"/>
    <s v="Humans has always moved from place to place for betterment. Something everyone in the west knows well too. 😂😅"/>
    <s v="UCoLbgssVprBoJA1lmVLEpNA"/>
    <s v="Neo South"/>
    <s v="http://www.youtube.com/channel/UCoLbgssVprBoJA1lmVLEpNA"/>
    <m/>
    <s v="QNvu01OGv-Y"/>
    <s v="https://www.youtube.com/watch?v=QNvu01OGv-Y"/>
    <s v="none"/>
    <n v="4"/>
    <x v="499"/>
    <d v="2023-08-20T22:01:26.000"/>
    <m/>
    <m/>
    <m/>
    <n v="1"/>
    <n v="2"/>
    <n v="2"/>
    <n v="1"/>
    <n v="5.555555555555555"/>
    <n v="0"/>
    <n v="0"/>
    <n v="0"/>
    <n v="0"/>
    <n v="6"/>
    <n v="33.333333333333336"/>
    <n v="18"/>
  </r>
  <r>
    <s v="UCB796-WE4aiExY6p0EF3NFw"/>
    <s v="UCknLrEdhRCp1aegoMqRaCZg"/>
    <s v="128, 128, 128"/>
    <n v="3"/>
    <m/>
    <n v="40"/>
    <m/>
    <m/>
    <m/>
    <m/>
    <s v="No"/>
    <n v="503"/>
    <m/>
    <m/>
    <s v="Commented Video"/>
    <x v="0"/>
    <s v="Money is the root of all evil..."/>
    <s v="UCB796-WE4aiExY6p0EF3NFw"/>
    <s v="Chevoy McDermott"/>
    <s v="http://www.youtube.com/channel/UCB796-WE4aiExY6p0EF3NFw"/>
    <m/>
    <s v="QNvu01OGv-Y"/>
    <s v="https://www.youtube.com/watch?v=QNvu01OGv-Y"/>
    <s v="none"/>
    <n v="0"/>
    <x v="500"/>
    <d v="2023-08-20T22:07:35.000"/>
    <m/>
    <m/>
    <m/>
    <n v="1"/>
    <n v="2"/>
    <n v="2"/>
    <n v="0"/>
    <n v="0"/>
    <n v="1"/>
    <n v="14.285714285714286"/>
    <n v="0"/>
    <n v="0"/>
    <n v="2"/>
    <n v="28.571428571428573"/>
    <n v="7"/>
  </r>
  <r>
    <s v="UCY0T82sEeQozvvRBtRkD6fg"/>
    <s v="UCknLrEdhRCp1aegoMqRaCZg"/>
    <s v="128, 128, 128"/>
    <n v="3"/>
    <m/>
    <n v="40"/>
    <m/>
    <m/>
    <m/>
    <m/>
    <s v="No"/>
    <n v="504"/>
    <m/>
    <m/>
    <s v="Commented Video"/>
    <x v="0"/>
    <s v="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
    <s v="UCY0T82sEeQozvvRBtRkD6fg"/>
    <s v="spandanbd"/>
    <s v="http://www.youtube.com/channel/UCY0T82sEeQozvvRBtRkD6fg"/>
    <m/>
    <s v="QNvu01OGv-Y"/>
    <s v="https://www.youtube.com/watch?v=QNvu01OGv-Y"/>
    <s v="none"/>
    <n v="1"/>
    <x v="501"/>
    <d v="2023-08-20T22:10:30.000"/>
    <m/>
    <m/>
    <m/>
    <n v="1"/>
    <n v="2"/>
    <n v="2"/>
    <n v="3"/>
    <n v="2.6548672566371683"/>
    <n v="2"/>
    <n v="1.7699115044247788"/>
    <n v="0"/>
    <n v="0"/>
    <n v="39"/>
    <n v="34.51327433628319"/>
    <n v="113"/>
  </r>
  <r>
    <s v="UCQmyB1SAI2rFv-i7kdaijMg"/>
    <s v="UCknLrEdhRCp1aegoMqRaCZg"/>
    <s v="128, 128, 128"/>
    <n v="3"/>
    <m/>
    <n v="40"/>
    <m/>
    <m/>
    <m/>
    <m/>
    <s v="No"/>
    <n v="505"/>
    <m/>
    <m/>
    <s v="Commented Video"/>
    <x v="0"/>
    <s v="enjoy."/>
    <s v="UCQmyB1SAI2rFv-i7kdaijMg"/>
    <s v="Victor Olatope"/>
    <s v="http://www.youtube.com/channel/UCQmyB1SAI2rFv-i7kdaijMg"/>
    <m/>
    <s v="QNvu01OGv-Y"/>
    <s v="https://www.youtube.com/watch?v=QNvu01OGv-Y"/>
    <s v="none"/>
    <n v="0"/>
    <x v="502"/>
    <d v="2023-08-20T22:15:30.000"/>
    <m/>
    <m/>
    <m/>
    <n v="1"/>
    <n v="2"/>
    <n v="2"/>
    <n v="1"/>
    <n v="100"/>
    <n v="0"/>
    <n v="0"/>
    <n v="0"/>
    <n v="0"/>
    <n v="0"/>
    <n v="0"/>
    <n v="1"/>
  </r>
  <r>
    <s v="UCTfJq_rmj9phsNSTFPL-nkg"/>
    <s v="UCknLrEdhRCp1aegoMqRaCZg"/>
    <s v="128, 128, 128"/>
    <n v="3"/>
    <m/>
    <n v="40"/>
    <m/>
    <m/>
    <m/>
    <m/>
    <s v="No"/>
    <n v="506"/>
    <m/>
    <m/>
    <s v="Commented Video"/>
    <x v="0"/>
    <s v="Because it is nigera lol"/>
    <s v="UCTfJq_rmj9phsNSTFPL-nkg"/>
    <s v="Piccolo Isan"/>
    <s v="http://www.youtube.com/channel/UCTfJq_rmj9phsNSTFPL-nkg"/>
    <m/>
    <s v="QNvu01OGv-Y"/>
    <s v="https://www.youtube.com/watch?v=QNvu01OGv-Y"/>
    <s v="none"/>
    <n v="0"/>
    <x v="503"/>
    <d v="2023-08-20T22:16:34.000"/>
    <m/>
    <m/>
    <m/>
    <n v="1"/>
    <n v="2"/>
    <n v="2"/>
    <n v="0"/>
    <n v="0"/>
    <n v="0"/>
    <n v="0"/>
    <n v="0"/>
    <n v="0"/>
    <n v="2"/>
    <n v="40"/>
    <n v="5"/>
  </r>
  <r>
    <s v="UC2gNisJ2w254FHuhu4lsotw"/>
    <s v="UCknLrEdhRCp1aegoMqRaCZg"/>
    <s v="128, 128, 128"/>
    <n v="3"/>
    <m/>
    <n v="40"/>
    <m/>
    <m/>
    <m/>
    <m/>
    <s v="No"/>
    <n v="507"/>
    <m/>
    <m/>
    <s v="Commented Video"/>
    <x v="0"/>
    <s v="Holy Christ some one stop that nurse DONT COME TO AMERICA. It’s NOT SAFE HERE and nurses ARE NOT PAID WELL at ALL. The medical system is HORRENDOUS HERE. Go to a country were y’all can actually make a living and be safe"/>
    <s v="UC2gNisJ2w254FHuhu4lsotw"/>
    <s v="Gotrek1989"/>
    <s v="http://www.youtube.com/channel/UC2gNisJ2w254FHuhu4lsotw"/>
    <m/>
    <s v="QNvu01OGv-Y"/>
    <s v="https://www.youtube.com/watch?v=QNvu01OGv-Y"/>
    <s v="none"/>
    <n v="4"/>
    <x v="504"/>
    <d v="2023-08-20T22:31:13.000"/>
    <m/>
    <m/>
    <m/>
    <n v="1"/>
    <n v="2"/>
    <n v="2"/>
    <n v="4"/>
    <n v="8.88888888888889"/>
    <n v="1"/>
    <n v="2.2222222222222223"/>
    <n v="0"/>
    <n v="0"/>
    <n v="10"/>
    <n v="22.22222222222222"/>
    <n v="45"/>
  </r>
  <r>
    <s v="UCjyHcHHhrXRrmB6ptm6SnQQ"/>
    <s v="UCknLrEdhRCp1aegoMqRaCZg"/>
    <s v="128, 128, 128"/>
    <n v="3"/>
    <m/>
    <n v="40"/>
    <m/>
    <m/>
    <m/>
    <m/>
    <s v="No"/>
    <n v="508"/>
    <m/>
    <m/>
    <s v="Commented Video"/>
    <x v="0"/>
    <s v="I hope this time its reals doctors and engineers and not the usual people with a doctors degrees in &amp;quot;How to leech most welfare in European countries&amp;quot; or &amp;quot;Bürgergeld and free housing 1x1&amp;quot;."/>
    <s v="UCjyHcHHhrXRrmB6ptm6SnQQ"/>
    <s v="Dezember"/>
    <s v="http://www.youtube.com/channel/UCjyHcHHhrXRrmB6ptm6SnQQ"/>
    <m/>
    <s v="QNvu01OGv-Y"/>
    <s v="https://www.youtube.com/watch?v=QNvu01OGv-Y"/>
    <s v="none"/>
    <n v="1"/>
    <x v="505"/>
    <d v="2023-08-20T22:44:34.000"/>
    <m/>
    <m/>
    <m/>
    <n v="1"/>
    <n v="2"/>
    <n v="2"/>
    <n v="0"/>
    <n v="0"/>
    <n v="1"/>
    <n v="2.7027027027027026"/>
    <n v="0"/>
    <n v="0"/>
    <n v="15"/>
    <n v="40.54054054054054"/>
    <n v="37"/>
  </r>
  <r>
    <s v="UC4phk1sxsyJbY9b6r9Iozlw"/>
    <s v="UCknLrEdhRCp1aegoMqRaCZg"/>
    <s v="128, 128, 128"/>
    <n v="3"/>
    <m/>
    <n v="40"/>
    <m/>
    <m/>
    <m/>
    <m/>
    <s v="No"/>
    <n v="509"/>
    <m/>
    <m/>
    <s v="Commented Video"/>
    <x v="0"/>
    <s v="everyone hate Russia and nigerian communist. . . that why"/>
    <s v="UC4phk1sxsyJbY9b6r9Iozlw"/>
    <s v="Horia Pereat"/>
    <s v="http://www.youtube.com/channel/UC4phk1sxsyJbY9b6r9Iozlw"/>
    <m/>
    <s v="QNvu01OGv-Y"/>
    <s v="https://www.youtube.com/watch?v=QNvu01OGv-Y"/>
    <s v="none"/>
    <n v="0"/>
    <x v="506"/>
    <d v="2023-08-20T23:34:13.000"/>
    <m/>
    <m/>
    <m/>
    <n v="1"/>
    <n v="2"/>
    <n v="2"/>
    <n v="0"/>
    <n v="0"/>
    <n v="1"/>
    <n v="12.5"/>
    <n v="0"/>
    <n v="0"/>
    <n v="3"/>
    <n v="37.5"/>
    <n v="8"/>
  </r>
  <r>
    <s v="UC9KQXBknPBNA0G2dBq9cifQ"/>
    <s v="UCknLrEdhRCp1aegoMqRaCZg"/>
    <s v="128, 128, 128"/>
    <n v="3"/>
    <m/>
    <n v="40"/>
    <m/>
    <m/>
    <m/>
    <m/>
    <s v="No"/>
    <n v="510"/>
    <m/>
    <m/>
    <s v="Commented Video"/>
    <x v="0"/>
    <s v="If the west &amp;quot;drains&amp;quot; Africa off it&amp;#39;s human and mineral resources, then they shouldn&amp;#39;t lament when African youths follow those resources to the west, it&amp;#39;s a dog-eat-dog situation...."/>
    <s v="UC9KQXBknPBNA0G2dBq9cifQ"/>
    <s v="D—E—S"/>
    <s v="http://www.youtube.com/channel/UC9KQXBknPBNA0G2dBq9cifQ"/>
    <m/>
    <s v="QNvu01OGv-Y"/>
    <s v="https://www.youtube.com/watch?v=QNvu01OGv-Y"/>
    <s v="none"/>
    <n v="0"/>
    <x v="507"/>
    <d v="2023-08-20T23:51:41.000"/>
    <m/>
    <m/>
    <m/>
    <n v="1"/>
    <n v="2"/>
    <n v="2"/>
    <n v="0"/>
    <n v="0"/>
    <n v="2"/>
    <n v="5.2631578947368425"/>
    <n v="0"/>
    <n v="0"/>
    <n v="13"/>
    <n v="34.21052631578947"/>
    <n v="38"/>
  </r>
  <r>
    <s v="UCTazwZmE-00MCGpQTM9MArQ"/>
    <s v="UCknLrEdhRCp1aegoMqRaCZg"/>
    <s v="128, 128, 128"/>
    <n v="3"/>
    <m/>
    <n v="40"/>
    <m/>
    <m/>
    <m/>
    <m/>
    <s v="No"/>
    <n v="511"/>
    <m/>
    <m/>
    <s v="Commented Video"/>
    <x v="0"/>
    <s v="People are not leaving just for money, but for security, infrastructure and freedom."/>
    <s v="UCTazwZmE-00MCGpQTM9MArQ"/>
    <s v="Anita Gorše"/>
    <s v="http://www.youtube.com/channel/UCTazwZmE-00MCGpQTM9MArQ"/>
    <m/>
    <s v="QNvu01OGv-Y"/>
    <s v="https://www.youtube.com/watch?v=QNvu01OGv-Y"/>
    <s v="none"/>
    <n v="15"/>
    <x v="508"/>
    <d v="2023-08-20T23:59:43.000"/>
    <m/>
    <m/>
    <m/>
    <n v="1"/>
    <n v="2"/>
    <n v="2"/>
    <n v="1"/>
    <n v="7.6923076923076925"/>
    <n v="0"/>
    <n v="0"/>
    <n v="0"/>
    <n v="0"/>
    <n v="5"/>
    <n v="38.46153846153846"/>
    <n v="13"/>
  </r>
  <r>
    <s v="UC01_NCDSP2rlqMkwIlL3bvQ"/>
    <s v="UCknLrEdhRCp1aegoMqRaCZg"/>
    <s v="128, 128, 128"/>
    <n v="3"/>
    <m/>
    <n v="40"/>
    <m/>
    <m/>
    <m/>
    <m/>
    <s v="No"/>
    <n v="512"/>
    <m/>
    <m/>
    <s v="Commented Video"/>
    <x v="0"/>
    <s v="Recently, I have to resign from working 48hours stretch weekend locum for ₦30k as a Medical Officer. I don tire.😢&lt;br&gt;&lt;br&gt;Now, male CHEWs are the one working as Doctors in some of the hospitals in Lagos.&lt;br&gt;&lt;br&gt;Arise o kompasion! Naijeria skolobe. . . &lt;br&gt;&lt;br&gt;Looks like patriots are now finishing last 😮"/>
    <s v="UC01_NCDSP2rlqMkwIlL3bvQ"/>
    <s v="Captain Specimen"/>
    <s v="http://www.youtube.com/channel/UC01_NCDSP2rlqMkwIlL3bvQ"/>
    <m/>
    <s v="QNvu01OGv-Y"/>
    <s v="https://www.youtube.com/watch?v=QNvu01OGv-Y"/>
    <s v="none"/>
    <n v="0"/>
    <x v="509"/>
    <d v="2023-08-21T00:33:00.000"/>
    <m/>
    <m/>
    <m/>
    <n v="1"/>
    <n v="2"/>
    <n v="2"/>
    <n v="1"/>
    <n v="1.8518518518518519"/>
    <n v="0"/>
    <n v="0"/>
    <n v="0"/>
    <n v="0"/>
    <n v="21"/>
    <n v="38.888888888888886"/>
    <n v="54"/>
  </r>
  <r>
    <s v="UCn94vXUA805IrbJf_SP8wjA"/>
    <s v="UCknLrEdhRCp1aegoMqRaCZg"/>
    <s v="128, 128, 128"/>
    <n v="3"/>
    <m/>
    <n v="40"/>
    <m/>
    <m/>
    <m/>
    <m/>
    <s v="No"/>
    <n v="513"/>
    <m/>
    <m/>
    <s v="Commented Video"/>
    <x v="0"/>
    <s v="This same useless government banned Nigerian medical graduates from Ukraine last year from practicing in Nigeria,"/>
    <s v="UCn94vXUA805IrbJf_SP8wjA"/>
    <s v="English with Sean"/>
    <s v="http://www.youtube.com/channel/UCn94vXUA805IrbJf_SP8wjA"/>
    <m/>
    <s v="QNvu01OGv-Y"/>
    <s v="https://www.youtube.com/watch?v=QNvu01OGv-Y"/>
    <s v="none"/>
    <n v="0"/>
    <x v="510"/>
    <d v="2023-08-21T00:47:45.000"/>
    <m/>
    <m/>
    <m/>
    <n v="1"/>
    <n v="2"/>
    <n v="2"/>
    <n v="0"/>
    <n v="0"/>
    <n v="1"/>
    <n v="6.25"/>
    <n v="0"/>
    <n v="0"/>
    <n v="8"/>
    <n v="50"/>
    <n v="16"/>
  </r>
  <r>
    <s v="UCjsW7CFzRn0rQypCxqYrqww"/>
    <s v="UCknLrEdhRCp1aegoMqRaCZg"/>
    <s v="128, 128, 128"/>
    <n v="3"/>
    <m/>
    <n v="40"/>
    <m/>
    <m/>
    <m/>
    <m/>
    <s v="No"/>
    <n v="514"/>
    <m/>
    <m/>
    <s v="Commented Video"/>
    <x v="0"/>
    <s v="Because the West is so bad at taking care of its own people."/>
    <s v="UCjsW7CFzRn0rQypCxqYrqww"/>
    <s v="TheLastBison"/>
    <s v="http://www.youtube.com/channel/UCjsW7CFzRn0rQypCxqYrqww"/>
    <m/>
    <s v="QNvu01OGv-Y"/>
    <s v="https://www.youtube.com/watch?v=QNvu01OGv-Y"/>
    <s v="none"/>
    <n v="0"/>
    <x v="511"/>
    <d v="2023-08-21T01:01:13.000"/>
    <m/>
    <m/>
    <m/>
    <n v="1"/>
    <n v="2"/>
    <n v="2"/>
    <n v="0"/>
    <n v="0"/>
    <n v="1"/>
    <n v="7.6923076923076925"/>
    <n v="0"/>
    <n v="0"/>
    <n v="3"/>
    <n v="23.076923076923077"/>
    <n v="13"/>
  </r>
  <r>
    <s v="UCs7r9iITqOE-yqbplMDKmDQ"/>
    <s v="UCknLrEdhRCp1aegoMqRaCZg"/>
    <s v="128, 128, 128"/>
    <n v="3"/>
    <m/>
    <n v="40"/>
    <m/>
    <m/>
    <m/>
    <m/>
    <s v="No"/>
    <n v="515"/>
    <m/>
    <m/>
    <s v="Commented Video"/>
    <x v="0"/>
    <s v="Leaving doctors must pay huge money to government that government paid the doctors collage fees. Government is spending huge money on the healthcare for their its people ONLY not for other  country. The most doctors are moving to other developed countries for MONEY only."/>
    <s v="UCs7r9iITqOE-yqbplMDKmDQ"/>
    <s v="SRINIVASAN NATESAN UDAIYAR"/>
    <s v="http://www.youtube.com/channel/UCs7r9iITqOE-yqbplMDKmDQ"/>
    <m/>
    <s v="QNvu01OGv-Y"/>
    <s v="https://www.youtube.com/watch?v=QNvu01OGv-Y"/>
    <s v="none"/>
    <n v="0"/>
    <x v="512"/>
    <d v="2023-08-21T01:02:09.000"/>
    <m/>
    <m/>
    <m/>
    <n v="1"/>
    <n v="2"/>
    <n v="2"/>
    <n v="0"/>
    <n v="0"/>
    <n v="0"/>
    <n v="0"/>
    <n v="0"/>
    <n v="0"/>
    <n v="23"/>
    <n v="52.27272727272727"/>
    <n v="44"/>
  </r>
  <r>
    <s v="UCi8pRq28t2H3voNrKVG5oww"/>
    <s v="UCknLrEdhRCp1aegoMqRaCZg"/>
    <s v="128, 128, 128"/>
    <n v="3"/>
    <m/>
    <n v="40"/>
    <m/>
    <m/>
    <m/>
    <m/>
    <s v="No"/>
    <n v="516"/>
    <m/>
    <m/>
    <s v="Commented Video"/>
    <x v="0"/>
    <s v="Well as an African I can assure you in most Africans countries proffessionals are underpaid"/>
    <s v="UCi8pRq28t2H3voNrKVG5oww"/>
    <s v="Harlos Mining"/>
    <s v="http://www.youtube.com/channel/UCi8pRq28t2H3voNrKVG5oww"/>
    <m/>
    <s v="QNvu01OGv-Y"/>
    <s v="https://www.youtube.com/watch?v=QNvu01OGv-Y"/>
    <s v="none"/>
    <n v="1"/>
    <x v="513"/>
    <d v="2023-08-21T02:09:16.000"/>
    <m/>
    <m/>
    <m/>
    <n v="1"/>
    <n v="2"/>
    <n v="2"/>
    <n v="2"/>
    <n v="13.333333333333334"/>
    <n v="1"/>
    <n v="6.666666666666667"/>
    <n v="0"/>
    <n v="0"/>
    <n v="4"/>
    <n v="26.666666666666668"/>
    <n v="15"/>
  </r>
  <r>
    <s v="UCwKfz2aXwgrHCqVI8q5tDdg"/>
    <s v="UCknLrEdhRCp1aegoMqRaCZg"/>
    <s v="128, 128, 128"/>
    <n v="3"/>
    <m/>
    <n v="40"/>
    <m/>
    <m/>
    <m/>
    <m/>
    <s v="No"/>
    <n v="517"/>
    <m/>
    <m/>
    <s v="Commented Video"/>
    <x v="0"/>
    <s v="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
    <s v="UCwKfz2aXwgrHCqVI8q5tDdg"/>
    <s v="Nusaibah Ibraheem"/>
    <s v="http://www.youtube.com/channel/UCwKfz2aXwgrHCqVI8q5tDdg"/>
    <m/>
    <s v="QNvu01OGv-Y"/>
    <s v="https://www.youtube.com/watch?v=QNvu01OGv-Y"/>
    <s v="none"/>
    <n v="19"/>
    <x v="514"/>
    <d v="2023-08-21T02:44:52.000"/>
    <m/>
    <m/>
    <m/>
    <n v="1"/>
    <n v="2"/>
    <n v="2"/>
    <n v="0"/>
    <n v="0"/>
    <n v="2"/>
    <n v="2.898550724637681"/>
    <n v="0"/>
    <n v="0"/>
    <n v="20"/>
    <n v="28.985507246376812"/>
    <n v="69"/>
  </r>
  <r>
    <s v="UC5ycpbWKBpjx5hCNjQeOaTA"/>
    <s v="UCknLrEdhRCp1aegoMqRaCZg"/>
    <s v="128, 128, 128"/>
    <n v="3"/>
    <m/>
    <n v="40"/>
    <m/>
    <m/>
    <m/>
    <m/>
    <s v="No"/>
    <n v="518"/>
    <m/>
    <m/>
    <s v="Commented Video"/>
    <x v="0"/>
    <s v="Their working in Washington nursing homes also."/>
    <s v="UC5ycpbWKBpjx5hCNjQeOaTA"/>
    <s v="Robert Thompson"/>
    <s v="http://www.youtube.com/channel/UC5ycpbWKBpjx5hCNjQeOaTA"/>
    <m/>
    <s v="QNvu01OGv-Y"/>
    <s v="https://www.youtube.com/watch?v=QNvu01OGv-Y"/>
    <s v="none"/>
    <n v="0"/>
    <x v="515"/>
    <d v="2023-08-21T02:58:43.000"/>
    <m/>
    <m/>
    <m/>
    <n v="1"/>
    <n v="2"/>
    <n v="2"/>
    <n v="0"/>
    <n v="0"/>
    <n v="0"/>
    <n v="0"/>
    <n v="0"/>
    <n v="0"/>
    <n v="4"/>
    <n v="57.142857142857146"/>
    <n v="7"/>
  </r>
  <r>
    <s v="UCbKNT--FSDrlqH6YGyBPxQw"/>
    <s v="UCknLrEdhRCp1aegoMqRaCZg"/>
    <s v="128, 128, 128"/>
    <n v="3"/>
    <m/>
    <n v="40"/>
    <m/>
    <m/>
    <m/>
    <m/>
    <s v="No"/>
    <n v="519"/>
    <m/>
    <m/>
    <s v="Commented Video"/>
    <x v="0"/>
    <s v="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
    <s v="UCbKNT--FSDrlqH6YGyBPxQw"/>
    <s v="De Kev"/>
    <s v="http://www.youtube.com/channel/UCbKNT--FSDrlqH6YGyBPxQw"/>
    <m/>
    <s v="QNvu01OGv-Y"/>
    <s v="https://www.youtube.com/watch?v=QNvu01OGv-Y"/>
    <s v="none"/>
    <n v="15"/>
    <x v="516"/>
    <d v="2023-08-21T04:05:13.000"/>
    <m/>
    <m/>
    <m/>
    <n v="1"/>
    <n v="2"/>
    <n v="2"/>
    <n v="7"/>
    <n v="5.691056910569106"/>
    <n v="3"/>
    <n v="2.4390243902439024"/>
    <n v="0"/>
    <n v="0"/>
    <n v="36"/>
    <n v="29.26829268292683"/>
    <n v="123"/>
  </r>
  <r>
    <s v="UCpYO4Z7HCHEQYBc9rgWK1Nw"/>
    <s v="UCknLrEdhRCp1aegoMqRaCZg"/>
    <s v="128, 128, 128"/>
    <n v="3"/>
    <m/>
    <n v="40"/>
    <m/>
    <m/>
    <m/>
    <m/>
    <s v="No"/>
    <n v="520"/>
    <m/>
    <m/>
    <s v="Commented Video"/>
    <x v="0"/>
    <s v="Nigeria is a perfect example of a failed state."/>
    <s v="UCpYO4Z7HCHEQYBc9rgWK1Nw"/>
    <s v="M D"/>
    <s v="http://www.youtube.com/channel/UCpYO4Z7HCHEQYBc9rgWK1Nw"/>
    <m/>
    <s v="QNvu01OGv-Y"/>
    <s v="https://www.youtube.com/watch?v=QNvu01OGv-Y"/>
    <s v="none"/>
    <n v="0"/>
    <x v="517"/>
    <d v="2023-08-21T04:08:41.000"/>
    <m/>
    <m/>
    <m/>
    <n v="1"/>
    <n v="2"/>
    <n v="2"/>
    <n v="1"/>
    <n v="11.11111111111111"/>
    <n v="1"/>
    <n v="11.11111111111111"/>
    <n v="0"/>
    <n v="0"/>
    <n v="2"/>
    <n v="22.22222222222222"/>
    <n v="9"/>
  </r>
  <r>
    <s v="UCh7lqi3R_UmYsHQnqlOCAEQ"/>
    <s v="UCknLrEdhRCp1aegoMqRaCZg"/>
    <s v="128, 128, 128"/>
    <n v="3"/>
    <m/>
    <n v="40"/>
    <m/>
    <m/>
    <m/>
    <m/>
    <s v="No"/>
    <n v="521"/>
    <m/>
    <m/>
    <s v="Commented Video"/>
    <x v="0"/>
    <s v="Just tax Nigerians going abroad on worldwide income, just like the US does."/>
    <s v="UCh7lqi3R_UmYsHQnqlOCAEQ"/>
    <s v="Ola Palooza"/>
    <s v="http://www.youtube.com/channel/UCh7lqi3R_UmYsHQnqlOCAEQ"/>
    <m/>
    <s v="QNvu01OGv-Y"/>
    <s v="https://www.youtube.com/watch?v=QNvu01OGv-Y"/>
    <s v="none"/>
    <n v="2"/>
    <x v="518"/>
    <d v="2023-08-21T04:29:15.000"/>
    <m/>
    <m/>
    <m/>
    <n v="1"/>
    <n v="2"/>
    <n v="2"/>
    <n v="1"/>
    <n v="7.6923076923076925"/>
    <n v="0"/>
    <n v="0"/>
    <n v="0"/>
    <n v="0"/>
    <n v="4"/>
    <n v="30.76923076923077"/>
    <n v="13"/>
  </r>
  <r>
    <s v="UCh3yf5uoARWEvYyCVLY51RQ"/>
    <s v="UCknLrEdhRCp1aegoMqRaCZg"/>
    <s v="128, 128, 128"/>
    <n v="3"/>
    <m/>
    <n v="40"/>
    <m/>
    <m/>
    <m/>
    <m/>
    <s v="No"/>
    <n v="522"/>
    <m/>
    <m/>
    <s v="Commented Video"/>
    <x v="0"/>
    <s v="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
    <s v="UCh3yf5uoARWEvYyCVLY51RQ"/>
    <s v="Okutama Obioma"/>
    <s v="http://www.youtube.com/channel/UCh3yf5uoARWEvYyCVLY51RQ"/>
    <m/>
    <s v="QNvu01OGv-Y"/>
    <s v="https://www.youtube.com/watch?v=QNvu01OGv-Y"/>
    <s v="none"/>
    <n v="0"/>
    <x v="519"/>
    <d v="2023-08-21T05:06:49.000"/>
    <m/>
    <m/>
    <m/>
    <n v="1"/>
    <n v="2"/>
    <n v="2"/>
    <n v="2"/>
    <n v="2.6315789473684212"/>
    <n v="4"/>
    <n v="5.2631578947368425"/>
    <n v="0"/>
    <n v="0"/>
    <n v="23"/>
    <n v="30.263157894736842"/>
    <n v="76"/>
  </r>
  <r>
    <s v="UCdSbBJ3CNwZUy3pCA0PJpdA"/>
    <s v="UCknLrEdhRCp1aegoMqRaCZg"/>
    <s v="128, 128, 128"/>
    <n v="3"/>
    <m/>
    <n v="40"/>
    <m/>
    <m/>
    <m/>
    <m/>
    <s v="No"/>
    <n v="523"/>
    <m/>
    <m/>
    <s v="Commented Video"/>
    <x v="0"/>
    <s v="Nigerian politicians doesn&amp;#39;t even use Nigerian hospitals."/>
    <s v="UCdSbBJ3CNwZUy3pCA0PJpdA"/>
    <s v="Էմմանուել Էզենվան Մեղր"/>
    <s v="http://www.youtube.com/channel/UCdSbBJ3CNwZUy3pCA0PJpdA"/>
    <m/>
    <s v="QNvu01OGv-Y"/>
    <s v="https://www.youtube.com/watch?v=QNvu01OGv-Y"/>
    <s v="none"/>
    <n v="7"/>
    <x v="520"/>
    <d v="2023-08-21T06:44:07.000"/>
    <m/>
    <m/>
    <m/>
    <n v="1"/>
    <n v="2"/>
    <n v="2"/>
    <n v="0"/>
    <n v="0"/>
    <n v="0"/>
    <n v="0"/>
    <n v="0"/>
    <n v="0"/>
    <n v="4"/>
    <n v="44.44444444444444"/>
    <n v="9"/>
  </r>
  <r>
    <s v="UCQZNFK8ncUO0DogKo5rxhEQ"/>
    <s v="UCknLrEdhRCp1aegoMqRaCZg"/>
    <s v="128, 128, 128"/>
    <n v="3"/>
    <m/>
    <n v="40"/>
    <m/>
    <m/>
    <m/>
    <m/>
    <s v="No"/>
    <n v="524"/>
    <m/>
    <m/>
    <s v="Commented Video"/>
    <x v="0"/>
    <s v="Now Tinbu definitely shudn&amp;#39;t be starting any war with of african neighbors........."/>
    <s v="UCQZNFK8ncUO0DogKo5rxhEQ"/>
    <s v="rich gunning"/>
    <s v="http://www.youtube.com/channel/UCQZNFK8ncUO0DogKo5rxhEQ"/>
    <m/>
    <s v="QNvu01OGv-Y"/>
    <s v="https://www.youtube.com/watch?v=QNvu01OGv-Y"/>
    <s v="none"/>
    <n v="1"/>
    <x v="521"/>
    <d v="2023-08-21T06:58:27.000"/>
    <m/>
    <m/>
    <m/>
    <n v="1"/>
    <n v="2"/>
    <n v="2"/>
    <n v="0"/>
    <n v="0"/>
    <n v="0"/>
    <n v="0"/>
    <n v="0"/>
    <n v="0"/>
    <n v="6"/>
    <n v="42.857142857142854"/>
    <n v="14"/>
  </r>
  <r>
    <s v="UCFj24ZYPMKVe7HzrTHeFO1w"/>
    <s v="UCknLrEdhRCp1aegoMqRaCZg"/>
    <s v="128, 128, 128"/>
    <n v="3"/>
    <m/>
    <n v="40"/>
    <m/>
    <m/>
    <m/>
    <m/>
    <s v="No"/>
    <n v="525"/>
    <m/>
    <m/>
    <s v="Commented Video"/>
    <x v="0"/>
    <s v="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
    <s v="UCFj24ZYPMKVe7HzrTHeFO1w"/>
    <s v="EssLove"/>
    <s v="http://www.youtube.com/channel/UCFj24ZYPMKVe7HzrTHeFO1w"/>
    <m/>
    <s v="QNvu01OGv-Y"/>
    <s v="https://www.youtube.com/watch?v=QNvu01OGv-Y"/>
    <s v="none"/>
    <n v="0"/>
    <x v="522"/>
    <d v="2023-08-21T07:24:01.000"/>
    <m/>
    <m/>
    <m/>
    <n v="1"/>
    <n v="2"/>
    <n v="2"/>
    <n v="4"/>
    <n v="4.081632653061225"/>
    <n v="4"/>
    <n v="4.081632653061225"/>
    <n v="0"/>
    <n v="0"/>
    <n v="26"/>
    <n v="26.53061224489796"/>
    <n v="98"/>
  </r>
  <r>
    <s v="UCZr2delx9ViejpExHtH-bsg"/>
    <s v="UCknLrEdhRCp1aegoMqRaCZg"/>
    <s v="141, 115, 115"/>
    <n v="6.5"/>
    <m/>
    <n v="27.5"/>
    <m/>
    <m/>
    <m/>
    <m/>
    <s v="No"/>
    <n v="526"/>
    <m/>
    <m/>
    <s v="Commented Video"/>
    <x v="0"/>
    <s v="What will WHO do about it?&lt;br&gt;How are doctors qualified?&lt;br&gt;If it&amp;#39;s public universities, free of charge,  the government could force them to stay at least for 4, 5 years after graduation.&lt;br&gt;Or qualify new doctors in a large scale."/>
    <s v="UCZr2delx9ViejpExHtH-bsg"/>
    <s v="citizenBR"/>
    <s v="http://www.youtube.com/channel/UCZr2delx9ViejpExHtH-bsg"/>
    <m/>
    <s v="QNvu01OGv-Y"/>
    <s v="https://www.youtube.com/watch?v=QNvu01OGv-Y"/>
    <s v="none"/>
    <n v="0"/>
    <x v="523"/>
    <d v="2023-08-21T10:48:31.000"/>
    <m/>
    <m/>
    <m/>
    <n v="4"/>
    <n v="2"/>
    <n v="2"/>
    <n v="2"/>
    <n v="4.444444444444445"/>
    <n v="0"/>
    <n v="0"/>
    <n v="0"/>
    <n v="0"/>
    <n v="11"/>
    <n v="24.444444444444443"/>
    <n v="45"/>
  </r>
  <r>
    <s v="UCpxyF835h0owQBODKyblEZg"/>
    <s v="UCknLrEdhRCp1aegoMqRaCZg"/>
    <s v="128, 128, 128"/>
    <n v="3"/>
    <m/>
    <n v="40"/>
    <m/>
    <m/>
    <m/>
    <m/>
    <s v="No"/>
    <n v="527"/>
    <m/>
    <m/>
    <s v="Commented Video"/>
    <x v="0"/>
    <s v="There are also some of us like me who remain in Nigeria, but now a bussiness person.  I have stopped practicing before the Nigerian system kills me. There are many more of us like that. So.that 1/10,000 patients is not legit. Am sure of that. &lt;br&gt;All us to the group that are out"/>
    <s v="UCpxyF835h0owQBODKyblEZg"/>
    <s v="R A"/>
    <s v="http://www.youtube.com/channel/UCpxyF835h0owQBODKyblEZg"/>
    <m/>
    <s v="QNvu01OGv-Y"/>
    <s v="https://www.youtube.com/watch?v=QNvu01OGv-Y"/>
    <s v="none"/>
    <n v="1"/>
    <x v="524"/>
    <d v="2023-08-21T11:59:05.000"/>
    <m/>
    <m/>
    <m/>
    <n v="1"/>
    <n v="2"/>
    <n v="2"/>
    <n v="2"/>
    <n v="3.508771929824561"/>
    <n v="1"/>
    <n v="1.7543859649122806"/>
    <n v="0"/>
    <n v="0"/>
    <n v="13"/>
    <n v="22.80701754385965"/>
    <n v="57"/>
  </r>
  <r>
    <s v="UCoeVqZ8vEtP-zulwW0cPozA"/>
    <s v="UCknLrEdhRCp1aegoMqRaCZg"/>
    <s v="128, 128, 128"/>
    <n v="3"/>
    <m/>
    <n v="40"/>
    <m/>
    <m/>
    <m/>
    <m/>
    <s v="No"/>
    <n v="528"/>
    <m/>
    <m/>
    <s v="Commented Video"/>
    <x v="0"/>
    <s v="Systematic faults in medical practice make doctors fleeing."/>
    <s v="UCoeVqZ8vEtP-zulwW0cPozA"/>
    <s v="袁大陸"/>
    <s v="http://www.youtube.com/channel/UCoeVqZ8vEtP-zulwW0cPozA"/>
    <m/>
    <s v="QNvu01OGv-Y"/>
    <s v="https://www.youtube.com/watch?v=QNvu01OGv-Y"/>
    <s v="none"/>
    <n v="0"/>
    <x v="525"/>
    <d v="2023-08-21T14:23:38.000"/>
    <m/>
    <m/>
    <m/>
    <n v="1"/>
    <n v="2"/>
    <n v="2"/>
    <n v="0"/>
    <n v="0"/>
    <n v="2"/>
    <n v="25"/>
    <n v="0"/>
    <n v="0"/>
    <n v="4"/>
    <n v="50"/>
    <n v="8"/>
  </r>
  <r>
    <s v="UCq2KGwWgjEdkhrVX8Or0nUA"/>
    <s v="UCknLrEdhRCp1aegoMqRaCZg"/>
    <s v="128, 128, 128"/>
    <n v="3"/>
    <m/>
    <n v="40"/>
    <m/>
    <m/>
    <m/>
    <m/>
    <s v="No"/>
    <n v="529"/>
    <m/>
    <m/>
    <s v="Commented Video"/>
    <x v="0"/>
    <s v="If you think this is bad, just wait until Nigeria starts aging. The system should be changed otherwise it will collapse"/>
    <s v="UCq2KGwWgjEdkhrVX8Or0nUA"/>
    <s v="International Investing"/>
    <s v="http://www.youtube.com/channel/UCq2KGwWgjEdkhrVX8Or0nUA"/>
    <m/>
    <s v="QNvu01OGv-Y"/>
    <s v="https://www.youtube.com/watch?v=QNvu01OGv-Y"/>
    <s v="none"/>
    <n v="0"/>
    <x v="526"/>
    <d v="2023-08-21T15:59:46.000"/>
    <m/>
    <m/>
    <m/>
    <n v="1"/>
    <n v="2"/>
    <n v="2"/>
    <n v="0"/>
    <n v="0"/>
    <n v="2"/>
    <n v="9.523809523809524"/>
    <n v="0"/>
    <n v="0"/>
    <n v="7"/>
    <n v="33.333333333333336"/>
    <n v="21"/>
  </r>
  <r>
    <s v="UCU7a7E1vVVarstk6QbGuZew"/>
    <s v="UCknLrEdhRCp1aegoMqRaCZg"/>
    <s v="128, 128, 128"/>
    <n v="3"/>
    <m/>
    <n v="40"/>
    <m/>
    <m/>
    <m/>
    <m/>
    <s v="No"/>
    <n v="530"/>
    <m/>
    <m/>
    <s v="Commented Video"/>
    <x v="0"/>
    <s v="Usar traduzir para português pfavor sempre ok"/>
    <s v="UCU7a7E1vVVarstk6QbGuZew"/>
    <s v="Manono Kiluba"/>
    <s v="http://www.youtube.com/channel/UCU7a7E1vVVarstk6QbGuZew"/>
    <m/>
    <s v="QNvu01OGv-Y"/>
    <s v="https://www.youtube.com/watch?v=QNvu01OGv-Y"/>
    <s v="none"/>
    <n v="0"/>
    <x v="527"/>
    <d v="2023-08-21T17:40:25.000"/>
    <m/>
    <m/>
    <m/>
    <n v="1"/>
    <n v="2"/>
    <n v="2"/>
    <n v="0"/>
    <n v="0"/>
    <n v="0"/>
    <n v="0"/>
    <n v="0"/>
    <n v="0"/>
    <n v="5"/>
    <n v="71.42857142857143"/>
    <n v="7"/>
  </r>
  <r>
    <s v="UCsQZw5xNPYzlK6-Wgocxa2Q"/>
    <s v="UCknLrEdhRCp1aegoMqRaCZg"/>
    <s v="128, 128, 128"/>
    <n v="3"/>
    <m/>
    <n v="40"/>
    <m/>
    <m/>
    <m/>
    <m/>
    <s v="No"/>
    <n v="531"/>
    <m/>
    <m/>
    <s v="Commented Video"/>
    <x v="0"/>
    <s v="It always happens to poor countries. Professional looking for greener pastures in western countries."/>
    <s v="UCsQZw5xNPYzlK6-Wgocxa2Q"/>
    <s v="Ferdinand Pailas"/>
    <s v="http://www.youtube.com/channel/UCsQZw5xNPYzlK6-Wgocxa2Q"/>
    <m/>
    <s v="QNvu01OGv-Y"/>
    <s v="https://www.youtube.com/watch?v=QNvu01OGv-Y"/>
    <s v="none"/>
    <n v="2"/>
    <x v="528"/>
    <d v="2023-08-21T19:41:23.000"/>
    <m/>
    <m/>
    <m/>
    <n v="1"/>
    <n v="2"/>
    <n v="2"/>
    <n v="0"/>
    <n v="0"/>
    <n v="1"/>
    <n v="7.142857142857143"/>
    <n v="0"/>
    <n v="0"/>
    <n v="6"/>
    <n v="42.857142857142854"/>
    <n v="14"/>
  </r>
  <r>
    <s v="UC8GtSV9GhYff3M5XGJ54aXw"/>
    <s v="UCknLrEdhRCp1aegoMqRaCZg"/>
    <s v="128, 128, 128"/>
    <n v="3"/>
    <m/>
    <n v="40"/>
    <m/>
    <m/>
    <m/>
    <m/>
    <s v="No"/>
    <n v="532"/>
    <m/>
    <m/>
    <s v="Commented Video"/>
    <x v="0"/>
    <s v="I’ve said this before but more examples of Africans running away instead of fighting to make THEIR country better for the future 🤦🏾&lt;br&gt;It’s ironic how many Africans run away to the very people who enslaved and colonized and mistreated their ancestors 😂😂 🤦🏾"/>
    <s v="UC8GtSV9GhYff3M5XGJ54aXw"/>
    <s v="jaklin hyde"/>
    <s v="http://www.youtube.com/channel/UC8GtSV9GhYff3M5XGJ54aXw"/>
    <m/>
    <s v="QNvu01OGv-Y"/>
    <s v="https://www.youtube.com/watch?v=QNvu01OGv-Y"/>
    <s v="none"/>
    <n v="1"/>
    <x v="529"/>
    <d v="2023-08-22T00:51:35.000"/>
    <m/>
    <m/>
    <m/>
    <n v="1"/>
    <n v="2"/>
    <n v="2"/>
    <n v="1"/>
    <n v="2.272727272727273"/>
    <n v="1"/>
    <n v="2.272727272727273"/>
    <n v="0"/>
    <n v="0"/>
    <n v="13"/>
    <n v="29.545454545454547"/>
    <n v="44"/>
  </r>
  <r>
    <s v="UCPFy5FBbF6w5gBuLt7yDuoQ"/>
    <s v="UCknLrEdhRCp1aegoMqRaCZg"/>
    <s v="128, 128, 128"/>
    <n v="3"/>
    <m/>
    <n v="40"/>
    <m/>
    <m/>
    <m/>
    <m/>
    <s v="No"/>
    <n v="533"/>
    <m/>
    <m/>
    <s v="Commented Video"/>
    <x v="0"/>
    <s v="Why not go work in Russia?"/>
    <s v="UCPFy5FBbF6w5gBuLt7yDuoQ"/>
    <s v="Sibusiso Maseko"/>
    <s v="http://www.youtube.com/channel/UCPFy5FBbF6w5gBuLt7yDuoQ"/>
    <m/>
    <s v="QNvu01OGv-Y"/>
    <s v="https://www.youtube.com/watch?v=QNvu01OGv-Y"/>
    <s v="none"/>
    <n v="0"/>
    <x v="530"/>
    <d v="2023-08-22T01:01:49.000"/>
    <m/>
    <m/>
    <m/>
    <n v="1"/>
    <n v="2"/>
    <n v="2"/>
    <n v="1"/>
    <n v="16.666666666666668"/>
    <n v="0"/>
    <n v="0"/>
    <n v="0"/>
    <n v="0"/>
    <n v="1"/>
    <n v="16.666666666666668"/>
    <n v="6"/>
  </r>
  <r>
    <s v="UC_VTIa2BmuHAn0-hWEFNkjQ"/>
    <s v="UCknLrEdhRCp1aegoMqRaCZg"/>
    <s v="128, 128, 128"/>
    <n v="3"/>
    <m/>
    <n v="40"/>
    <m/>
    <m/>
    <m/>
    <m/>
    <s v="No"/>
    <n v="534"/>
    <m/>
    <m/>
    <s v="Commented Video"/>
    <x v="0"/>
    <s v="WHO   SAY  BRAIN?!   FIX THE DRAIN!!"/>
    <s v="UC_VTIa2BmuHAn0-hWEFNkjQ"/>
    <s v="Skreety04"/>
    <s v="http://www.youtube.com/channel/UC_VTIa2BmuHAn0-hWEFNkjQ"/>
    <m/>
    <s v="QNvu01OGv-Y"/>
    <s v="https://www.youtube.com/watch?v=QNvu01OGv-Y"/>
    <s v="none"/>
    <n v="0"/>
    <x v="531"/>
    <d v="2023-08-23T02:44:07.000"/>
    <m/>
    <m/>
    <m/>
    <n v="1"/>
    <n v="2"/>
    <n v="2"/>
    <n v="0"/>
    <n v="0"/>
    <n v="1"/>
    <n v="16.666666666666668"/>
    <n v="0"/>
    <n v="0"/>
    <n v="2"/>
    <n v="33.333333333333336"/>
    <n v="6"/>
  </r>
  <r>
    <s v="UCtqI5iwQxmxR04uUCRtCiQg"/>
    <s v="UCknLrEdhRCp1aegoMqRaCZg"/>
    <s v="141, 115, 115"/>
    <n v="6.5"/>
    <m/>
    <n v="27.5"/>
    <m/>
    <m/>
    <m/>
    <m/>
    <s v="No"/>
    <n v="535"/>
    <m/>
    <m/>
    <s v="Commented Video"/>
    <x v="0"/>
    <s v="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
    <s v="UCtqI5iwQxmxR04uUCRtCiQg"/>
    <s v="Fun Viral Videos"/>
    <s v="http://www.youtube.com/channel/UCtqI5iwQxmxR04uUCRtCiQg"/>
    <m/>
    <s v="QNvu01OGv-Y"/>
    <s v="https://www.youtube.com/watch?v=QNvu01OGv-Y"/>
    <s v="none"/>
    <n v="1"/>
    <x v="532"/>
    <d v="2023-08-23T22:08:18.000"/>
    <m/>
    <m/>
    <m/>
    <n v="4"/>
    <n v="2"/>
    <n v="2"/>
    <n v="3"/>
    <n v="3.1578947368421053"/>
    <n v="3"/>
    <n v="3.1578947368421053"/>
    <n v="0"/>
    <n v="0"/>
    <n v="34"/>
    <n v="35.78947368421053"/>
    <n v="95"/>
  </r>
  <r>
    <s v="UC9ghtevKnFxOoUAHiuQxdnA"/>
    <s v="UCknLrEdhRCp1aegoMqRaCZg"/>
    <s v="128, 128, 128"/>
    <n v="3"/>
    <m/>
    <n v="40"/>
    <m/>
    <m/>
    <m/>
    <m/>
    <s v="No"/>
    <n v="536"/>
    <m/>
    <m/>
    <s v="Commented Video"/>
    <x v="0"/>
    <s v="If the doctors are leaving, how are there still any doctors left to teach new medical staff in Nigeria?"/>
    <s v="UC9ghtevKnFxOoUAHiuQxdnA"/>
    <s v="dkaoboy"/>
    <s v="http://www.youtube.com/channel/UC9ghtevKnFxOoUAHiuQxdnA"/>
    <m/>
    <s v="QNvu01OGv-Y"/>
    <s v="https://www.youtube.com/watch?v=QNvu01OGv-Y"/>
    <s v="none"/>
    <n v="0"/>
    <x v="533"/>
    <d v="2023-08-25T04:50:16.000"/>
    <m/>
    <m/>
    <m/>
    <n v="1"/>
    <n v="2"/>
    <n v="2"/>
    <n v="0"/>
    <n v="0"/>
    <n v="0"/>
    <n v="0"/>
    <n v="0"/>
    <n v="0"/>
    <n v="8"/>
    <n v="42.10526315789474"/>
    <n v="19"/>
  </r>
  <r>
    <s v="UCGfAOkG4QkX8yUYKgU8eAPw"/>
    <s v="UCknLrEdhRCp1aegoMqRaCZg"/>
    <s v="128, 128, 128"/>
    <n v="3"/>
    <m/>
    <n v="40"/>
    <m/>
    <m/>
    <m/>
    <m/>
    <s v="No"/>
    <n v="537"/>
    <m/>
    <m/>
    <s v="Commented Video"/>
    <x v="0"/>
    <s v="Where?"/>
    <s v="UCGfAOkG4QkX8yUYKgU8eAPw"/>
    <s v="ASHOK Varatiya"/>
    <s v="http://www.youtube.com/channel/UCGfAOkG4QkX8yUYKgU8eAPw"/>
    <m/>
    <s v="QNvu01OGv-Y"/>
    <s v="https://www.youtube.com/watch?v=QNvu01OGv-Y"/>
    <s v="none"/>
    <n v="0"/>
    <x v="534"/>
    <d v="2023-08-25T08:10:46.000"/>
    <m/>
    <m/>
    <m/>
    <n v="1"/>
    <n v="2"/>
    <n v="2"/>
    <n v="0"/>
    <n v="0"/>
    <n v="0"/>
    <n v="0"/>
    <n v="0"/>
    <n v="0"/>
    <n v="0"/>
    <n v="0"/>
    <n v="1"/>
  </r>
  <r>
    <s v="UCTREXhmvJISUYsbtrWRN40w"/>
    <s v="UCknLrEdhRCp1aegoMqRaCZg"/>
    <s v="128, 128, 128"/>
    <n v="3"/>
    <m/>
    <n v="40"/>
    <m/>
    <m/>
    <m/>
    <m/>
    <s v="No"/>
    <n v="538"/>
    <m/>
    <m/>
    <s v="Commented Video"/>
    <x v="0"/>
    <s v="That&amp;#39;s what happens when politicians who are barely educated make silly decisions all the time."/>
    <s v="UCTREXhmvJISUYsbtrWRN40w"/>
    <s v="Ludwig"/>
    <s v="http://www.youtube.com/channel/UCTREXhmvJISUYsbtrWRN40w"/>
    <m/>
    <s v="QNvu01OGv-Y"/>
    <s v="https://www.youtube.com/watch?v=QNvu01OGv-Y"/>
    <s v="none"/>
    <n v="0"/>
    <x v="535"/>
    <d v="2023-08-30T22:23:04.000"/>
    <m/>
    <m/>
    <m/>
    <n v="1"/>
    <n v="2"/>
    <n v="2"/>
    <n v="1"/>
    <n v="5.882352941176471"/>
    <n v="1"/>
    <n v="5.882352941176471"/>
    <n v="0"/>
    <n v="0"/>
    <n v="4"/>
    <n v="23.529411764705884"/>
    <n v="17"/>
  </r>
  <r>
    <s v="UCknLrEdhRCp1aegoMqRaCZg"/>
    <s v="UCknLrEdhRCp1aegoMqRaCZg"/>
    <s v="141, 115, 115"/>
    <n v="6.5"/>
    <m/>
    <n v="27.5"/>
    <m/>
    <m/>
    <m/>
    <m/>
    <s v="No"/>
    <n v="539"/>
    <m/>
    <m/>
    <s v="Posted Video"/>
    <x v="1"/>
    <m/>
    <m/>
    <m/>
    <m/>
    <m/>
    <s v="w6BMPN07BOM"/>
    <s v="https://www.youtube.com/watch?v=w6BMPN07BOM"/>
    <m/>
    <m/>
    <x v="536"/>
    <m/>
    <m/>
    <m/>
    <m/>
    <n v="4"/>
    <n v="2"/>
    <n v="2"/>
    <m/>
    <m/>
    <m/>
    <m/>
    <m/>
    <m/>
    <m/>
    <m/>
    <m/>
  </r>
  <r>
    <s v="UCwO1KyxLlTQ1JDBoi78ek6w"/>
    <s v="UCknLrEdhRCp1aegoMqRaCZg"/>
    <s v="128, 128, 128"/>
    <n v="3"/>
    <m/>
    <n v="40"/>
    <m/>
    <m/>
    <m/>
    <m/>
    <s v="No"/>
    <n v="540"/>
    <m/>
    <m/>
    <s v="Commented Video"/>
    <x v="0"/>
    <s v="Someone been owed 6 months salary is ridiculous"/>
    <s v="UCwO1KyxLlTQ1JDBoi78ek6w"/>
    <s v="Devine Olubakin"/>
    <s v="http://www.youtube.com/channel/UCwO1KyxLlTQ1JDBoi78ek6w"/>
    <m/>
    <s v="QNvu01OGv-Y"/>
    <s v="https://www.youtube.com/watch?v=QNvu01OGv-Y"/>
    <s v="none"/>
    <n v="0"/>
    <x v="537"/>
    <d v="2023-09-01T14:01:23.000"/>
    <m/>
    <m/>
    <m/>
    <n v="1"/>
    <n v="2"/>
    <n v="2"/>
    <n v="0"/>
    <n v="0"/>
    <n v="1"/>
    <n v="12.5"/>
    <n v="0"/>
    <n v="0"/>
    <n v="3"/>
    <n v="37.5"/>
    <n v="8"/>
  </r>
  <r>
    <s v="UCnB99F-prcrtxiX9PrYHQ3w"/>
    <s v="UCnB99F-prcrtxiX9PrYHQ3w"/>
    <s v="128, 128, 128"/>
    <n v="3"/>
    <m/>
    <n v="40"/>
    <m/>
    <m/>
    <m/>
    <m/>
    <s v="No"/>
    <n v="541"/>
    <m/>
    <m/>
    <s v="Posted Video"/>
    <x v="1"/>
    <m/>
    <m/>
    <m/>
    <m/>
    <m/>
    <s v="1VTwFuGdMps"/>
    <s v="https://www.youtube.com/watch?v=1VTwFuGdMps"/>
    <m/>
    <m/>
    <x v="538"/>
    <m/>
    <m/>
    <m/>
    <m/>
    <n v="1"/>
    <n v="6"/>
    <n v="6"/>
    <m/>
    <m/>
    <m/>
    <m/>
    <m/>
    <m/>
    <m/>
    <m/>
    <m/>
  </r>
  <r>
    <s v="UC6L5K_fcAcj6wsunXj0wLPg"/>
    <s v="UC6L5K_fcAcj6wsunXj0wLPg"/>
    <s v="128, 128, 128"/>
    <n v="3"/>
    <m/>
    <n v="40"/>
    <m/>
    <m/>
    <m/>
    <m/>
    <s v="No"/>
    <n v="542"/>
    <m/>
    <m/>
    <s v="Posted Video"/>
    <x v="1"/>
    <m/>
    <m/>
    <m/>
    <m/>
    <m/>
    <s v="vYeYNIYnRJY"/>
    <s v="https://www.youtube.com/watch?v=vYeYNIYnRJY"/>
    <m/>
    <m/>
    <x v="539"/>
    <m/>
    <m/>
    <m/>
    <m/>
    <n v="1"/>
    <n v="6"/>
    <n v="6"/>
    <m/>
    <m/>
    <m/>
    <m/>
    <m/>
    <m/>
    <m/>
    <m/>
    <m/>
  </r>
  <r>
    <s v="UC1SzkJRHwqp4uAtcnGmCAwQ"/>
    <s v="UC1SzkJRHwqp4uAtcnGmCAwQ"/>
    <s v="128, 128, 128"/>
    <n v="3"/>
    <m/>
    <n v="40"/>
    <m/>
    <m/>
    <m/>
    <m/>
    <s v="No"/>
    <n v="543"/>
    <m/>
    <m/>
    <s v="Posted Video"/>
    <x v="1"/>
    <m/>
    <m/>
    <m/>
    <m/>
    <m/>
    <s v="uLXNDm-VmbE"/>
    <s v="https://www.youtube.com/watch?v=uLXNDm-VmbE"/>
    <m/>
    <m/>
    <x v="540"/>
    <m/>
    <m/>
    <m/>
    <m/>
    <n v="1"/>
    <n v="6"/>
    <n v="6"/>
    <m/>
    <m/>
    <m/>
    <m/>
    <m/>
    <m/>
    <m/>
    <m/>
    <m/>
  </r>
  <r>
    <s v="UCeZGMiCc3WoU9xYLq6yWxNA"/>
    <s v="UCeZGMiCc3WoU9xYLq6yWxNA"/>
    <s v="128, 128, 128"/>
    <n v="3"/>
    <m/>
    <n v="40"/>
    <m/>
    <m/>
    <m/>
    <m/>
    <s v="No"/>
    <n v="544"/>
    <m/>
    <m/>
    <s v="Posted Video"/>
    <x v="1"/>
    <m/>
    <m/>
    <m/>
    <m/>
    <m/>
    <s v="vC6g1DOX6CM"/>
    <s v="https://www.youtube.com/watch?v=vC6g1DOX6CM"/>
    <m/>
    <m/>
    <x v="541"/>
    <m/>
    <m/>
    <m/>
    <m/>
    <n v="1"/>
    <n v="6"/>
    <n v="6"/>
    <m/>
    <m/>
    <m/>
    <m/>
    <m/>
    <m/>
    <m/>
    <m/>
    <m/>
  </r>
  <r>
    <s v="UC2B7Dr18DkozSwsNg0sNZJg"/>
    <s v="UC2B7Dr18DkozSwsNg0sNZJg"/>
    <s v="128, 128, 128"/>
    <n v="3"/>
    <m/>
    <n v="40"/>
    <m/>
    <m/>
    <m/>
    <m/>
    <s v="No"/>
    <n v="545"/>
    <m/>
    <m/>
    <s v="Posted Video"/>
    <x v="1"/>
    <m/>
    <m/>
    <m/>
    <m/>
    <m/>
    <s v="1jLZC7MC6M4"/>
    <s v="https://www.youtube.com/watch?v=1jLZC7MC6M4"/>
    <m/>
    <m/>
    <x v="542"/>
    <m/>
    <m/>
    <m/>
    <m/>
    <n v="1"/>
    <n v="6"/>
    <n v="6"/>
    <m/>
    <m/>
    <m/>
    <m/>
    <m/>
    <m/>
    <m/>
    <m/>
    <m/>
  </r>
  <r>
    <s v="UCqkdDIaK41sFacTy9x0aNAQ"/>
    <s v="UCqkdDIaK41sFacTy9x0aNAQ"/>
    <s v="128, 128, 128"/>
    <n v="3"/>
    <m/>
    <n v="40"/>
    <m/>
    <m/>
    <m/>
    <m/>
    <s v="No"/>
    <n v="546"/>
    <m/>
    <m/>
    <s v="Posted Video"/>
    <x v="1"/>
    <m/>
    <m/>
    <m/>
    <m/>
    <m/>
    <s v="dRzwl4LdVTI"/>
    <s v="https://www.youtube.com/watch?v=dRzwl4LdVTI"/>
    <m/>
    <m/>
    <x v="543"/>
    <m/>
    <m/>
    <m/>
    <m/>
    <n v="1"/>
    <n v="6"/>
    <n v="6"/>
    <m/>
    <m/>
    <m/>
    <m/>
    <m/>
    <m/>
    <m/>
    <m/>
    <m/>
  </r>
  <r>
    <s v="UC43XbxjX7RZZ_gK9Vt8Z8FA"/>
    <s v="UC43XbxjX7RZZ_gK9Vt8Z8FA"/>
    <s v="128, 128, 128"/>
    <n v="3"/>
    <m/>
    <n v="40"/>
    <m/>
    <m/>
    <m/>
    <m/>
    <s v="No"/>
    <n v="547"/>
    <m/>
    <m/>
    <s v="Posted Video"/>
    <x v="1"/>
    <m/>
    <m/>
    <m/>
    <m/>
    <m/>
    <s v="pm8E9s06gzg"/>
    <s v="https://www.youtube.com/watch?v=pm8E9s06gzg"/>
    <m/>
    <m/>
    <x v="544"/>
    <m/>
    <m/>
    <m/>
    <m/>
    <n v="1"/>
    <n v="6"/>
    <n v="6"/>
    <m/>
    <m/>
    <m/>
    <m/>
    <m/>
    <m/>
    <m/>
    <m/>
    <m/>
  </r>
  <r>
    <s v="UCPLKy4Ypb4mfblbjJI8Aljw"/>
    <s v="UCPLKy4Ypb4mfblbjJI8Aljw"/>
    <s v="128, 128, 128"/>
    <n v="3"/>
    <m/>
    <n v="40"/>
    <m/>
    <m/>
    <m/>
    <m/>
    <s v="No"/>
    <n v="548"/>
    <m/>
    <m/>
    <s v="Posted Video"/>
    <x v="1"/>
    <m/>
    <m/>
    <m/>
    <m/>
    <m/>
    <s v="J8LP-kB9xWo"/>
    <s v="https://www.youtube.com/watch?v=J8LP-kB9xWo"/>
    <m/>
    <m/>
    <x v="545"/>
    <m/>
    <m/>
    <m/>
    <m/>
    <n v="1"/>
    <n v="6"/>
    <n v="6"/>
    <m/>
    <m/>
    <m/>
    <m/>
    <m/>
    <m/>
    <m/>
    <m/>
    <m/>
  </r>
  <r>
    <s v="UCMDX6W0aC7y0n-v6cLiTDxQ"/>
    <s v="UCMDX6W0aC7y0n-v6cLiTDxQ"/>
    <s v="Red"/>
    <n v="10"/>
    <m/>
    <n v="15"/>
    <m/>
    <m/>
    <m/>
    <m/>
    <s v="No"/>
    <n v="549"/>
    <m/>
    <m/>
    <s v="Posted Video"/>
    <x v="1"/>
    <m/>
    <m/>
    <m/>
    <m/>
    <m/>
    <s v="UwvKAwOnN1U"/>
    <s v="https://www.youtube.com/watch?v=UwvKAwOnN1U"/>
    <m/>
    <m/>
    <x v="546"/>
    <m/>
    <m/>
    <m/>
    <m/>
    <n v="100"/>
    <n v="6"/>
    <n v="6"/>
    <m/>
    <m/>
    <m/>
    <m/>
    <m/>
    <m/>
    <m/>
    <m/>
    <m/>
  </r>
  <r>
    <s v="UCqXINvmzjxJ9yCyhtqP4SDQ"/>
    <s v="UCqXINvmzjxJ9yCyhtqP4SDQ"/>
    <s v="128, 128, 128"/>
    <n v="3"/>
    <m/>
    <n v="40"/>
    <m/>
    <m/>
    <m/>
    <m/>
    <s v="No"/>
    <n v="550"/>
    <m/>
    <m/>
    <s v="Posted Video"/>
    <x v="1"/>
    <m/>
    <m/>
    <m/>
    <m/>
    <m/>
    <s v="_r17DLe0mI4"/>
    <s v="https://www.youtube.com/watch?v=_r17DLe0mI4"/>
    <m/>
    <m/>
    <x v="547"/>
    <m/>
    <m/>
    <m/>
    <m/>
    <n v="1"/>
    <n v="6"/>
    <n v="6"/>
    <m/>
    <m/>
    <m/>
    <m/>
    <m/>
    <m/>
    <m/>
    <m/>
    <m/>
  </r>
  <r>
    <s v="UCMdbxhTrvc48jOCVJyThL2A"/>
    <s v="UCMdbxhTrvc48jOCVJyThL2A"/>
    <s v="128, 128, 128"/>
    <n v="3"/>
    <m/>
    <n v="40"/>
    <m/>
    <m/>
    <m/>
    <m/>
    <s v="No"/>
    <n v="551"/>
    <m/>
    <m/>
    <s v="Posted Video"/>
    <x v="1"/>
    <m/>
    <m/>
    <m/>
    <m/>
    <m/>
    <s v="ZHFOfNZhcC8"/>
    <s v="https://www.youtube.com/watch?v=ZHFOfNZhcC8"/>
    <m/>
    <m/>
    <x v="548"/>
    <m/>
    <m/>
    <m/>
    <m/>
    <n v="1"/>
    <n v="6"/>
    <n v="6"/>
    <m/>
    <m/>
    <m/>
    <m/>
    <m/>
    <m/>
    <m/>
    <m/>
    <m/>
  </r>
  <r>
    <s v="UCiqaENFNWjqWJxV0XcGt1Pw"/>
    <s v="UCiqaENFNWjqWJxV0XcGt1Pw"/>
    <s v="128, 128, 128"/>
    <n v="3"/>
    <m/>
    <n v="40"/>
    <m/>
    <m/>
    <m/>
    <m/>
    <s v="No"/>
    <n v="552"/>
    <m/>
    <m/>
    <s v="Posted Video"/>
    <x v="1"/>
    <m/>
    <m/>
    <m/>
    <m/>
    <m/>
    <s v="-Az3vD7k7RE"/>
    <s v="https://www.youtube.com/watch?v=-Az3vD7k7RE"/>
    <m/>
    <m/>
    <x v="549"/>
    <m/>
    <m/>
    <m/>
    <m/>
    <n v="1"/>
    <n v="6"/>
    <n v="6"/>
    <m/>
    <m/>
    <m/>
    <m/>
    <m/>
    <m/>
    <m/>
    <m/>
    <m/>
  </r>
  <r>
    <s v="UCocUu8iWasfmkgkUzDKJUcA"/>
    <s v="UCocUu8iWasfmkgkUzDKJUcA"/>
    <s v="128, 128, 128"/>
    <n v="3"/>
    <m/>
    <n v="40"/>
    <m/>
    <m/>
    <m/>
    <m/>
    <s v="No"/>
    <n v="553"/>
    <m/>
    <m/>
    <s v="Posted Video"/>
    <x v="1"/>
    <m/>
    <m/>
    <m/>
    <m/>
    <m/>
    <s v="jRbztKCETg0"/>
    <s v="https://www.youtube.com/watch?v=jRbztKCETg0"/>
    <m/>
    <m/>
    <x v="550"/>
    <m/>
    <m/>
    <m/>
    <m/>
    <n v="1"/>
    <n v="6"/>
    <n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16"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43"/>
    <field x="42"/>
    <field x="25"/>
  </rowFields>
  <rowItems count="191">
    <i>
      <x v="1"/>
    </i>
    <i r="1">
      <x v="9"/>
    </i>
    <i r="2">
      <x v="269"/>
    </i>
    <i r="2">
      <x v="270"/>
    </i>
    <i r="2">
      <x v="271"/>
    </i>
    <i r="2">
      <x v="272"/>
    </i>
    <i r="2">
      <x v="273"/>
    </i>
    <i r="2">
      <x v="274"/>
    </i>
    <i r="1">
      <x v="10"/>
    </i>
    <i r="2">
      <x v="275"/>
    </i>
    <i r="2">
      <x v="276"/>
    </i>
    <i r="2">
      <x v="277"/>
    </i>
    <i r="2">
      <x v="278"/>
    </i>
    <i r="2">
      <x v="280"/>
    </i>
    <i r="2">
      <x v="282"/>
    </i>
    <i r="2">
      <x v="285"/>
    </i>
    <i r="2">
      <x v="286"/>
    </i>
    <i r="2">
      <x v="287"/>
    </i>
    <i r="2">
      <x v="288"/>
    </i>
    <i r="2">
      <x v="289"/>
    </i>
    <i r="2">
      <x v="290"/>
    </i>
    <i r="2">
      <x v="291"/>
    </i>
    <i r="2">
      <x v="292"/>
    </i>
    <i r="2">
      <x v="293"/>
    </i>
    <i r="2">
      <x v="294"/>
    </i>
    <i r="2">
      <x v="295"/>
    </i>
    <i r="2">
      <x v="296"/>
    </i>
    <i r="2">
      <x v="299"/>
    </i>
    <i r="2">
      <x v="300"/>
    </i>
    <i r="2">
      <x v="301"/>
    </i>
    <i r="1">
      <x v="11"/>
    </i>
    <i r="2">
      <x v="309"/>
    </i>
    <i r="1">
      <x v="12"/>
    </i>
    <i r="2">
      <x v="341"/>
    </i>
    <i r="2">
      <x v="347"/>
    </i>
    <i r="2">
      <x v="348"/>
    </i>
    <i>
      <x v="2"/>
    </i>
    <i r="1">
      <x v="1"/>
    </i>
    <i r="2">
      <x v="9"/>
    </i>
    <i r="2">
      <x v="10"/>
    </i>
    <i r="2">
      <x v="13"/>
    </i>
    <i r="2">
      <x v="18"/>
    </i>
    <i r="2">
      <x v="19"/>
    </i>
    <i r="2">
      <x v="21"/>
    </i>
    <i r="2">
      <x v="22"/>
    </i>
    <i r="2">
      <x v="23"/>
    </i>
    <i r="2">
      <x v="25"/>
    </i>
    <i r="1">
      <x v="2"/>
    </i>
    <i r="2">
      <x v="35"/>
    </i>
    <i r="2">
      <x v="37"/>
    </i>
    <i r="2">
      <x v="39"/>
    </i>
    <i r="2">
      <x v="42"/>
    </i>
    <i r="2">
      <x v="43"/>
    </i>
    <i r="2">
      <x v="48"/>
    </i>
    <i r="2">
      <x v="49"/>
    </i>
    <i r="2">
      <x v="51"/>
    </i>
    <i r="2">
      <x v="52"/>
    </i>
    <i r="2">
      <x v="53"/>
    </i>
    <i r="2">
      <x v="54"/>
    </i>
    <i r="2">
      <x v="55"/>
    </i>
    <i r="2">
      <x v="56"/>
    </i>
    <i r="2">
      <x v="57"/>
    </i>
    <i r="2">
      <x v="58"/>
    </i>
    <i r="1">
      <x v="3"/>
    </i>
    <i r="2">
      <x v="61"/>
    </i>
    <i r="2">
      <x v="62"/>
    </i>
    <i r="2">
      <x v="63"/>
    </i>
    <i r="2">
      <x v="69"/>
    </i>
    <i r="2">
      <x v="70"/>
    </i>
    <i r="2">
      <x v="71"/>
    </i>
    <i r="2">
      <x v="72"/>
    </i>
    <i r="2">
      <x v="73"/>
    </i>
    <i r="2">
      <x v="74"/>
    </i>
    <i r="2">
      <x v="75"/>
    </i>
    <i r="2">
      <x v="77"/>
    </i>
    <i r="2">
      <x v="79"/>
    </i>
    <i r="2">
      <x v="81"/>
    </i>
    <i r="2">
      <x v="82"/>
    </i>
    <i r="2">
      <x v="83"/>
    </i>
    <i r="2">
      <x v="84"/>
    </i>
    <i r="2">
      <x v="85"/>
    </i>
    <i r="2">
      <x v="86"/>
    </i>
    <i r="2">
      <x v="88"/>
    </i>
    <i r="2">
      <x v="89"/>
    </i>
    <i r="1">
      <x v="4"/>
    </i>
    <i r="2">
      <x v="94"/>
    </i>
    <i r="2">
      <x v="95"/>
    </i>
    <i r="2">
      <x v="97"/>
    </i>
    <i r="2">
      <x v="98"/>
    </i>
    <i r="2">
      <x v="103"/>
    </i>
    <i r="2">
      <x v="108"/>
    </i>
    <i r="2">
      <x v="109"/>
    </i>
    <i r="2">
      <x v="110"/>
    </i>
    <i r="2">
      <x v="111"/>
    </i>
    <i r="2">
      <x v="113"/>
    </i>
    <i r="2">
      <x v="118"/>
    </i>
    <i r="2">
      <x v="120"/>
    </i>
    <i r="1">
      <x v="5"/>
    </i>
    <i r="2">
      <x v="124"/>
    </i>
    <i r="2">
      <x v="126"/>
    </i>
    <i r="2">
      <x v="132"/>
    </i>
    <i r="2">
      <x v="133"/>
    </i>
    <i r="2">
      <x v="134"/>
    </i>
    <i r="2">
      <x v="137"/>
    </i>
    <i r="2">
      <x v="139"/>
    </i>
    <i r="2">
      <x v="140"/>
    </i>
    <i r="2">
      <x v="141"/>
    </i>
    <i r="2">
      <x v="142"/>
    </i>
    <i r="2">
      <x v="143"/>
    </i>
    <i r="2">
      <x v="144"/>
    </i>
    <i r="2">
      <x v="145"/>
    </i>
    <i r="2">
      <x v="146"/>
    </i>
    <i r="2">
      <x v="147"/>
    </i>
    <i r="2">
      <x v="148"/>
    </i>
    <i r="2">
      <x v="149"/>
    </i>
    <i r="1">
      <x v="6"/>
    </i>
    <i r="2">
      <x v="153"/>
    </i>
    <i r="2">
      <x v="155"/>
    </i>
    <i r="2">
      <x v="157"/>
    </i>
    <i r="2">
      <x v="160"/>
    </i>
    <i r="2">
      <x v="162"/>
    </i>
    <i r="2">
      <x v="164"/>
    </i>
    <i r="2">
      <x v="166"/>
    </i>
    <i r="2">
      <x v="168"/>
    </i>
    <i r="2">
      <x v="171"/>
    </i>
    <i r="2">
      <x v="172"/>
    </i>
    <i r="2">
      <x v="174"/>
    </i>
    <i r="2">
      <x v="176"/>
    </i>
    <i r="2">
      <x v="180"/>
    </i>
    <i r="2">
      <x v="181"/>
    </i>
    <i r="2">
      <x v="182"/>
    </i>
    <i r="1">
      <x v="7"/>
    </i>
    <i r="2">
      <x v="183"/>
    </i>
    <i r="2">
      <x v="186"/>
    </i>
    <i r="2">
      <x v="192"/>
    </i>
    <i r="2">
      <x v="205"/>
    </i>
    <i r="2">
      <x v="208"/>
    </i>
    <i r="2">
      <x v="209"/>
    </i>
    <i r="2">
      <x v="210"/>
    </i>
    <i r="2">
      <x v="211"/>
    </i>
    <i r="2">
      <x v="213"/>
    </i>
    <i r="1">
      <x v="8"/>
    </i>
    <i r="2">
      <x v="214"/>
    </i>
    <i r="2">
      <x v="215"/>
    </i>
    <i r="2">
      <x v="216"/>
    </i>
    <i r="2">
      <x v="217"/>
    </i>
    <i r="2">
      <x v="218"/>
    </i>
    <i r="2">
      <x v="219"/>
    </i>
    <i r="2">
      <x v="220"/>
    </i>
    <i r="2">
      <x v="221"/>
    </i>
    <i r="2">
      <x v="222"/>
    </i>
    <i r="2">
      <x v="223"/>
    </i>
    <i r="2">
      <x v="224"/>
    </i>
    <i r="2">
      <x v="225"/>
    </i>
    <i r="2">
      <x v="226"/>
    </i>
    <i r="2">
      <x v="227"/>
    </i>
    <i r="2">
      <x v="228"/>
    </i>
    <i r="2">
      <x v="229"/>
    </i>
    <i r="2">
      <x v="230"/>
    </i>
    <i r="2">
      <x v="231"/>
    </i>
    <i r="2">
      <x v="232"/>
    </i>
    <i r="2">
      <x v="233"/>
    </i>
    <i r="2">
      <x v="234"/>
    </i>
    <i r="2">
      <x v="235"/>
    </i>
    <i r="2">
      <x v="236"/>
    </i>
    <i r="2">
      <x v="237"/>
    </i>
    <i r="2">
      <x v="238"/>
    </i>
    <i r="2">
      <x v="239"/>
    </i>
    <i r="2">
      <x v="240"/>
    </i>
    <i r="2">
      <x v="241"/>
    </i>
    <i r="2">
      <x v="242"/>
    </i>
    <i r="2">
      <x v="243"/>
    </i>
    <i r="2">
      <x v="244"/>
    </i>
    <i r="1">
      <x v="9"/>
    </i>
    <i r="2">
      <x v="245"/>
    </i>
    <i r="2">
      <x v="246"/>
    </i>
    <i r="2">
      <x v="247"/>
    </i>
    <i r="2">
      <x v="248"/>
    </i>
    <i r="2">
      <x v="249"/>
    </i>
    <i r="2">
      <x v="251"/>
    </i>
    <i r="2">
      <x v="252"/>
    </i>
    <i r="2">
      <x v="253"/>
    </i>
    <i r="2">
      <x v="254"/>
    </i>
    <i r="2">
      <x v="255"/>
    </i>
    <i r="2">
      <x v="256"/>
    </i>
    <i r="2">
      <x v="257"/>
    </i>
    <i r="2">
      <x v="258"/>
    </i>
    <i r="2">
      <x v="259"/>
    </i>
    <i r="2">
      <x v="260"/>
    </i>
    <i r="2">
      <x v="262"/>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1733305960">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553" totalsRowShown="0" headerRowDxfId="330" dataDxfId="303">
  <autoFilter ref="A2:AP553"/>
  <tableColumns count="42">
    <tableColumn id="1" name="Vertex 1" dataDxfId="301"/>
    <tableColumn id="2" name="Vertex 2" dataDxfId="300"/>
    <tableColumn id="3" name="Color" dataDxfId="299"/>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212"/>
    <tableColumn id="7" name="ID" dataDxfId="291"/>
    <tableColumn id="9" name="Dynamic Filter" dataDxfId="290"/>
    <tableColumn id="8" name="Add Your Own Columns Here" dataDxfId="289"/>
    <tableColumn id="15" name="Relationship" dataDxfId="288"/>
    <tableColumn id="16" name="Comment Type" dataDxfId="287"/>
    <tableColumn id="17" name="Comment" dataDxfId="286"/>
    <tableColumn id="18" name="Author Channel ID" dataDxfId="285"/>
    <tableColumn id="19" name="Author Display Name" dataDxfId="284"/>
    <tableColumn id="20" name="Author Channel URL" dataDxfId="283"/>
    <tableColumn id="21" name="Parent ID" dataDxfId="282"/>
    <tableColumn id="22" name="Video ID" dataDxfId="281"/>
    <tableColumn id="23" name="Video URL" dataDxfId="280"/>
    <tableColumn id="24" name="Viewer Rating" dataDxfId="279"/>
    <tableColumn id="25" name="Like Count" dataDxfId="278"/>
    <tableColumn id="26" name="Published At" dataDxfId="277"/>
    <tableColumn id="27" name="Updated At" dataDxfId="276"/>
    <tableColumn id="28" name="URLs In Comment" dataDxfId="275"/>
    <tableColumn id="29" name="Domains In Comment" dataDxfId="274"/>
    <tableColumn id="30" name="Hashtags In Comment" dataDxfId="273"/>
    <tableColumn id="31" name="Edge Weight" dataDxfId="228"/>
    <tableColumn id="32" name="Vertex 1 Group" dataDxfId="227"/>
    <tableColumn id="33" name="Vertex 2 Group" dataDxfId="188"/>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8" totalsRowShown="0" headerRowDxfId="211" dataDxfId="210">
  <autoFilter ref="A1:G1658"/>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3" totalsRowShown="0" headerRowDxfId="202" dataDxfId="201">
  <autoFilter ref="A1:L333"/>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6" totalsRowShown="0" headerRowDxfId="160" dataDxfId="159">
  <autoFilter ref="A2:C16"/>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7" totalsRowShown="0" headerRowDxfId="136" dataDxfId="135">
  <autoFilter ref="A1:V7"/>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0:V15" totalsRowShown="0" headerRowDxfId="111" dataDxfId="110">
  <autoFilter ref="A10:V15"/>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18:V19" totalsRowShown="0" headerRowDxfId="86" dataDxfId="85">
  <autoFilter ref="A18:V19"/>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1:V31" totalsRowShown="0" headerRowDxfId="61" dataDxfId="60">
  <autoFilter ref="A21:V31"/>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553" totalsRowShown="0" headerRowDxfId="329" dataDxfId="302">
  <autoFilter ref="A2:BN553"/>
  <tableColumns count="66">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55"/>
    <tableColumn id="28" name="Dynamic Filter" dataDxfId="254"/>
    <tableColumn id="17" name="Add Your Own Columns Here" dataDxfId="253"/>
    <tableColumn id="30" name="Title" dataDxfId="252"/>
    <tableColumn id="31" name="Description" dataDxfId="251"/>
    <tableColumn id="32" name="Author Channel ID" dataDxfId="250"/>
    <tableColumn id="33" name="Author Display Name" dataDxfId="249"/>
    <tableColumn id="34" name="Author Channel URL" dataDxfId="248"/>
    <tableColumn id="35" name="Custom URL" dataDxfId="247"/>
    <tableColumn id="36" name="Published At" dataDxfId="246"/>
    <tableColumn id="37" name="Thumbnail" dataDxfId="245"/>
    <tableColumn id="38" name="View Count" dataDxfId="244"/>
    <tableColumn id="39" name="Comment Count" dataDxfId="243"/>
    <tableColumn id="40" name="Subscriber Count" dataDxfId="242"/>
    <tableColumn id="41" name="Hidden Subscriber Count" dataDxfId="241"/>
    <tableColumn id="42" name="Video Count" dataDxfId="240"/>
    <tableColumn id="43" name="Content Owner" dataDxfId="239"/>
    <tableColumn id="44" name="Time Linked" dataDxfId="238"/>
    <tableColumn id="45" name="Custom Menu Item Text" dataDxfId="237"/>
    <tableColumn id="46" name="Custom Menu Item Action" dataDxfId="229"/>
    <tableColumn id="47" name="Vertex Group" dataDxfId="178"/>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4:V44" totalsRowShown="0" headerRowDxfId="36" dataDxfId="35">
  <autoFilter ref="A34:V44"/>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6" totalsRowShown="0" headerRowDxfId="328">
  <autoFilter ref="A2:AL16"/>
  <tableColumns count="38">
    <tableColumn id="1" name="Group" dataDxfId="236"/>
    <tableColumn id="2" name="Vertex Color" dataDxfId="235"/>
    <tableColumn id="3" name="Vertex Shape" dataDxfId="233"/>
    <tableColumn id="22" name="Visibility" dataDxfId="234"/>
    <tableColumn id="4" name="Collapsed?"/>
    <tableColumn id="18" name="Label" dataDxfId="327"/>
    <tableColumn id="20" name="Collapsed X"/>
    <tableColumn id="21" name="Collapsed Y"/>
    <tableColumn id="6" name="ID" dataDxfId="326"/>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2" totalsRowShown="0" headerRowDxfId="325" dataDxfId="324">
  <autoFilter ref="A1:C552"/>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youtu.be/oTccIyHjxVU" TargetMode="External" /><Relationship Id="rId2" Type="http://schemas.openxmlformats.org/officeDocument/2006/relationships/hyperlink" Target="https://www.youtube.com/watch?v=QNvu01OGv-Y&amp;amp;t=6m11s" TargetMode="External" /><Relationship Id="rId3" Type="http://schemas.openxmlformats.org/officeDocument/2006/relationships/hyperlink" Target="http://my.call/" TargetMode="External" /><Relationship Id="rId4" Type="http://schemas.openxmlformats.org/officeDocument/2006/relationships/hyperlink" Target="http://is.my/" TargetMode="External" /><Relationship Id="rId5" Type="http://schemas.openxmlformats.org/officeDocument/2006/relationships/hyperlink" Target="http://them.in/" TargetMode="External" /><Relationship Id="rId6" Type="http://schemas.openxmlformats.org/officeDocument/2006/relationships/hyperlink" Target="https://www.youtube.com/watch?v=Q-YZD2u1mO8&amp;amp;t=49m00s" TargetMode="External" /><Relationship Id="rId7" Type="http://schemas.openxmlformats.org/officeDocument/2006/relationships/hyperlink" Target="https://youtu.be/oTccIyHjxVU" TargetMode="External" /><Relationship Id="rId8" Type="http://schemas.openxmlformats.org/officeDocument/2006/relationships/hyperlink" Target="https://www.youtube.com/watch?v=QNvu01OGv-Y&amp;amp;t=6m11s" TargetMode="External" /><Relationship Id="rId9" Type="http://schemas.openxmlformats.org/officeDocument/2006/relationships/hyperlink" Target="https://www.youtube.com/watch?v=Q-YZD2u1mO8&amp;amp;t=49m00s" TargetMode="External" /><Relationship Id="rId10" Type="http://schemas.openxmlformats.org/officeDocument/2006/relationships/hyperlink" Target="http://my.call/" TargetMode="External" /><Relationship Id="rId11" Type="http://schemas.openxmlformats.org/officeDocument/2006/relationships/hyperlink" Target="http://is.my/" TargetMode="External" /><Relationship Id="rId12" Type="http://schemas.openxmlformats.org/officeDocument/2006/relationships/hyperlink" Target="http://them.in/" TargetMode="Externa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53"/>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9.7109375" style="0" bestFit="1"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3.710937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row>
    <row r="3" spans="1:42" ht="15" customHeight="1">
      <c r="A3" s="66" t="s">
        <v>773</v>
      </c>
      <c r="B3" s="66" t="s">
        <v>226</v>
      </c>
      <c r="C3" s="67" t="s">
        <v>4788</v>
      </c>
      <c r="D3" s="68">
        <v>10</v>
      </c>
      <c r="E3" s="69"/>
      <c r="F3" s="70">
        <v>15</v>
      </c>
      <c r="G3" s="67"/>
      <c r="H3" s="71"/>
      <c r="I3" s="72"/>
      <c r="J3" s="72"/>
      <c r="K3" s="35" t="s">
        <v>65</v>
      </c>
      <c r="L3" s="73">
        <v>3</v>
      </c>
      <c r="M3" s="73"/>
      <c r="N3" s="74"/>
      <c r="O3" s="81" t="s">
        <v>776</v>
      </c>
      <c r="P3" s="81" t="s">
        <v>197</v>
      </c>
      <c r="Q3" s="81" t="s">
        <v>1302</v>
      </c>
      <c r="R3" s="81" t="s">
        <v>773</v>
      </c>
      <c r="S3" s="81" t="s">
        <v>1824</v>
      </c>
      <c r="T3" s="83" t="str">
        <f>HYPERLINK("http://www.youtube.com/channel/UCWg-RBRh6C1HCJHhkiaKj5Q")</f>
        <v>http://www.youtube.com/channel/UCWg-RBRh6C1HCJHhkiaKj5Q</v>
      </c>
      <c r="U3" s="81"/>
      <c r="V3" s="81" t="s">
        <v>1827</v>
      </c>
      <c r="W3" s="83" t="str">
        <f>HYPERLINK("https://www.youtube.com/watch?v=AAHlA_p6yRw")</f>
        <v>https://www.youtube.com/watch?v=AAHlA_p6yRw</v>
      </c>
      <c r="X3" s="81" t="s">
        <v>1857</v>
      </c>
      <c r="Y3" s="81">
        <v>0</v>
      </c>
      <c r="Z3" s="85">
        <v>45036.882835648146</v>
      </c>
      <c r="AA3" s="85">
        <v>45036.882835648146</v>
      </c>
      <c r="AB3" s="81"/>
      <c r="AC3" s="81"/>
      <c r="AD3" s="81"/>
      <c r="AE3" s="81">
        <v>4</v>
      </c>
      <c r="AF3" s="81" t="str">
        <f>REPLACE(INDEX(GroupVertices[Group],MATCH(Edges[[#This Row],[Vertex 1]],GroupVertices[Vertex],0)),1,1,"")</f>
        <v>11</v>
      </c>
      <c r="AG3" s="81" t="str">
        <f>REPLACE(INDEX(GroupVertices[Group],MATCH(Edges[[#This Row],[Vertex 2]],GroupVertices[Vertex],0)),1,1,"")</f>
        <v>11</v>
      </c>
      <c r="AH3" s="49">
        <v>2</v>
      </c>
      <c r="AI3" s="50">
        <v>100</v>
      </c>
      <c r="AJ3" s="49">
        <v>0</v>
      </c>
      <c r="AK3" s="50">
        <v>0</v>
      </c>
      <c r="AL3" s="49">
        <v>0</v>
      </c>
      <c r="AM3" s="50">
        <v>0</v>
      </c>
      <c r="AN3" s="49">
        <v>0</v>
      </c>
      <c r="AO3" s="50">
        <v>0</v>
      </c>
      <c r="AP3" s="49">
        <v>2</v>
      </c>
    </row>
    <row r="4" spans="1:42" ht="15" customHeight="1">
      <c r="A4" s="66" t="s">
        <v>223</v>
      </c>
      <c r="B4" s="66" t="s">
        <v>226</v>
      </c>
      <c r="C4" s="67" t="s">
        <v>774</v>
      </c>
      <c r="D4" s="68">
        <v>3</v>
      </c>
      <c r="E4" s="69"/>
      <c r="F4" s="70">
        <v>40</v>
      </c>
      <c r="G4" s="67"/>
      <c r="H4" s="71"/>
      <c r="I4" s="72"/>
      <c r="J4" s="72"/>
      <c r="K4" s="35" t="s">
        <v>65</v>
      </c>
      <c r="L4" s="80">
        <v>4</v>
      </c>
      <c r="M4" s="80"/>
      <c r="N4" s="74"/>
      <c r="O4" s="82" t="s">
        <v>776</v>
      </c>
      <c r="P4" s="82" t="s">
        <v>197</v>
      </c>
      <c r="Q4" s="82" t="s">
        <v>778</v>
      </c>
      <c r="R4" s="82" t="s">
        <v>223</v>
      </c>
      <c r="S4" s="82" t="s">
        <v>1303</v>
      </c>
      <c r="T4" s="84" t="str">
        <f>HYPERLINK("http://www.youtube.com/channel/UC_fih_n7WX_Ah5Lpycyoxaw")</f>
        <v>http://www.youtube.com/channel/UC_fih_n7WX_Ah5Lpycyoxaw</v>
      </c>
      <c r="U4" s="82"/>
      <c r="V4" s="82" t="s">
        <v>1825</v>
      </c>
      <c r="W4" s="84" t="str">
        <f>HYPERLINK("https://www.youtube.com/watch?v=LUVezT5lbvw")</f>
        <v>https://www.youtube.com/watch?v=LUVezT5lbvw</v>
      </c>
      <c r="X4" s="82" t="s">
        <v>1857</v>
      </c>
      <c r="Y4" s="82">
        <v>1</v>
      </c>
      <c r="Z4" s="86">
        <v>45087.74958333333</v>
      </c>
      <c r="AA4" s="86">
        <v>45087.74958333333</v>
      </c>
      <c r="AB4" s="82"/>
      <c r="AC4" s="82"/>
      <c r="AD4" s="82"/>
      <c r="AE4" s="82">
        <v>1</v>
      </c>
      <c r="AF4" s="81">
        <v>11</v>
      </c>
      <c r="AG4" s="81">
        <v>11</v>
      </c>
      <c r="AH4" s="49">
        <v>0</v>
      </c>
      <c r="AI4" s="50">
        <v>0</v>
      </c>
      <c r="AJ4" s="49">
        <v>1</v>
      </c>
      <c r="AK4" s="110">
        <v>16.666666666666668</v>
      </c>
      <c r="AL4" s="49">
        <v>0</v>
      </c>
      <c r="AM4" s="50">
        <v>0</v>
      </c>
      <c r="AN4" s="49">
        <v>3</v>
      </c>
      <c r="AO4" s="50">
        <v>50</v>
      </c>
      <c r="AP4" s="49">
        <v>6</v>
      </c>
    </row>
    <row r="5" spans="1:42" ht="15">
      <c r="A5" s="66" t="s">
        <v>224</v>
      </c>
      <c r="B5" s="66" t="s">
        <v>225</v>
      </c>
      <c r="C5" s="67" t="s">
        <v>774</v>
      </c>
      <c r="D5" s="68">
        <v>3</v>
      </c>
      <c r="E5" s="69"/>
      <c r="F5" s="70">
        <v>40</v>
      </c>
      <c r="G5" s="67"/>
      <c r="H5" s="71"/>
      <c r="I5" s="72"/>
      <c r="J5" s="72"/>
      <c r="K5" s="35" t="s">
        <v>65</v>
      </c>
      <c r="L5" s="80">
        <v>5</v>
      </c>
      <c r="M5" s="80"/>
      <c r="N5" s="74"/>
      <c r="O5" s="82" t="s">
        <v>776</v>
      </c>
      <c r="P5" s="82" t="s">
        <v>197</v>
      </c>
      <c r="Q5" s="82" t="s">
        <v>779</v>
      </c>
      <c r="R5" s="82" t="s">
        <v>224</v>
      </c>
      <c r="S5" s="82" t="s">
        <v>1304</v>
      </c>
      <c r="T5" s="84" t="str">
        <f>HYPERLINK("http://www.youtube.com/channel/UCl-rkPJ4jt9fjP-htmVnYPA")</f>
        <v>http://www.youtube.com/channel/UCl-rkPJ4jt9fjP-htmVnYPA</v>
      </c>
      <c r="U5" s="82"/>
      <c r="V5" s="82" t="s">
        <v>1826</v>
      </c>
      <c r="W5" s="84" t="str">
        <f>HYPERLINK("https://www.youtube.com/watch?v=axY4NWH7hCE")</f>
        <v>https://www.youtube.com/watch?v=axY4NWH7hCE</v>
      </c>
      <c r="X5" s="82" t="s">
        <v>1857</v>
      </c>
      <c r="Y5" s="82">
        <v>0</v>
      </c>
      <c r="Z5" s="86">
        <v>45023.07140046296</v>
      </c>
      <c r="AA5" s="86">
        <v>45023.07140046296</v>
      </c>
      <c r="AB5" s="82"/>
      <c r="AC5" s="82"/>
      <c r="AD5" s="82"/>
      <c r="AE5" s="82">
        <v>1</v>
      </c>
      <c r="AF5" s="81">
        <v>14</v>
      </c>
      <c r="AG5" s="81">
        <v>14</v>
      </c>
      <c r="AH5" s="49">
        <v>1</v>
      </c>
      <c r="AI5" s="50">
        <v>50</v>
      </c>
      <c r="AJ5" s="49">
        <v>0</v>
      </c>
      <c r="AK5" s="50">
        <v>0</v>
      </c>
      <c r="AL5" s="49">
        <v>0</v>
      </c>
      <c r="AM5" s="50">
        <v>0</v>
      </c>
      <c r="AN5" s="49">
        <v>1</v>
      </c>
      <c r="AO5" s="50">
        <v>50</v>
      </c>
      <c r="AP5" s="49">
        <v>2</v>
      </c>
    </row>
    <row r="6" spans="1:42" ht="15">
      <c r="A6" s="66" t="s">
        <v>225</v>
      </c>
      <c r="B6" s="66" t="s">
        <v>225</v>
      </c>
      <c r="C6" s="67" t="s">
        <v>774</v>
      </c>
      <c r="D6" s="68">
        <v>3</v>
      </c>
      <c r="E6" s="69"/>
      <c r="F6" s="70">
        <v>40</v>
      </c>
      <c r="G6" s="67"/>
      <c r="H6" s="71"/>
      <c r="I6" s="72"/>
      <c r="J6" s="72"/>
      <c r="K6" s="35" t="s">
        <v>65</v>
      </c>
      <c r="L6" s="80">
        <v>6</v>
      </c>
      <c r="M6" s="80"/>
      <c r="N6" s="74"/>
      <c r="O6" s="82" t="s">
        <v>777</v>
      </c>
      <c r="P6" s="82"/>
      <c r="Q6" s="82"/>
      <c r="R6" s="82"/>
      <c r="S6" s="82"/>
      <c r="T6" s="82"/>
      <c r="U6" s="82"/>
      <c r="V6" s="82" t="s">
        <v>1826</v>
      </c>
      <c r="W6" s="84" t="str">
        <f>HYPERLINK("https://www.youtube.com/watch?v=axY4NWH7hCE")</f>
        <v>https://www.youtube.com/watch?v=axY4NWH7hCE</v>
      </c>
      <c r="X6" s="82"/>
      <c r="Y6" s="82"/>
      <c r="Z6" s="86">
        <v>45014.910416666666</v>
      </c>
      <c r="AA6" s="82"/>
      <c r="AB6" s="82"/>
      <c r="AC6" s="82"/>
      <c r="AD6" s="82"/>
      <c r="AE6" s="82">
        <v>1</v>
      </c>
      <c r="AF6" s="81">
        <v>14</v>
      </c>
      <c r="AG6" s="81">
        <v>14</v>
      </c>
      <c r="AH6" s="49"/>
      <c r="AI6" s="50"/>
      <c r="AJ6" s="49"/>
      <c r="AK6" s="50"/>
      <c r="AL6" s="49"/>
      <c r="AM6" s="50"/>
      <c r="AN6" s="49"/>
      <c r="AO6" s="50"/>
      <c r="AP6" s="49"/>
    </row>
    <row r="7" spans="1:42" ht="15">
      <c r="A7" s="66" t="s">
        <v>226</v>
      </c>
      <c r="B7" s="66" t="s">
        <v>226</v>
      </c>
      <c r="C7" s="67" t="s">
        <v>4789</v>
      </c>
      <c r="D7" s="68">
        <v>10</v>
      </c>
      <c r="E7" s="69"/>
      <c r="F7" s="70">
        <v>15</v>
      </c>
      <c r="G7" s="67"/>
      <c r="H7" s="71"/>
      <c r="I7" s="72"/>
      <c r="J7" s="72"/>
      <c r="K7" s="35" t="s">
        <v>65</v>
      </c>
      <c r="L7" s="80">
        <v>7</v>
      </c>
      <c r="M7" s="80"/>
      <c r="N7" s="74"/>
      <c r="O7" s="82" t="s">
        <v>777</v>
      </c>
      <c r="P7" s="82"/>
      <c r="Q7" s="82"/>
      <c r="R7" s="82"/>
      <c r="S7" s="82"/>
      <c r="T7" s="82"/>
      <c r="U7" s="82"/>
      <c r="V7" s="82" t="s">
        <v>1827</v>
      </c>
      <c r="W7" s="84" t="str">
        <f>HYPERLINK("https://www.youtube.com/watch?v=AAHlA_p6yRw")</f>
        <v>https://www.youtube.com/watch?v=AAHlA_p6yRw</v>
      </c>
      <c r="X7" s="82"/>
      <c r="Y7" s="82"/>
      <c r="Z7" s="86">
        <v>45035.75011574074</v>
      </c>
      <c r="AA7" s="82"/>
      <c r="AB7" s="82"/>
      <c r="AC7" s="82"/>
      <c r="AD7" s="82"/>
      <c r="AE7" s="82">
        <v>9</v>
      </c>
      <c r="AF7" s="81">
        <v>11</v>
      </c>
      <c r="AG7" s="81">
        <v>11</v>
      </c>
      <c r="AH7" s="49"/>
      <c r="AI7" s="50"/>
      <c r="AJ7" s="49"/>
      <c r="AK7" s="50"/>
      <c r="AL7" s="49"/>
      <c r="AM7" s="50"/>
      <c r="AN7" s="49"/>
      <c r="AO7" s="50"/>
      <c r="AP7" s="49"/>
    </row>
    <row r="8" spans="1:42" ht="15">
      <c r="A8" s="66" t="s">
        <v>227</v>
      </c>
      <c r="B8" s="66" t="s">
        <v>226</v>
      </c>
      <c r="C8" s="67" t="s">
        <v>774</v>
      </c>
      <c r="D8" s="68">
        <v>3</v>
      </c>
      <c r="E8" s="69"/>
      <c r="F8" s="70">
        <v>40</v>
      </c>
      <c r="G8" s="67"/>
      <c r="H8" s="71"/>
      <c r="I8" s="72"/>
      <c r="J8" s="72"/>
      <c r="K8" s="35" t="s">
        <v>65</v>
      </c>
      <c r="L8" s="80">
        <v>8</v>
      </c>
      <c r="M8" s="80"/>
      <c r="N8" s="74"/>
      <c r="O8" s="82" t="s">
        <v>776</v>
      </c>
      <c r="P8" s="82" t="s">
        <v>197</v>
      </c>
      <c r="Q8" s="82" t="s">
        <v>780</v>
      </c>
      <c r="R8" s="82" t="s">
        <v>227</v>
      </c>
      <c r="S8" s="82" t="s">
        <v>1305</v>
      </c>
      <c r="T8" s="84" t="str">
        <f>HYPERLINK("http://www.youtube.com/channel/UCQZXu94X5lUU8Kq8XY8ic2w")</f>
        <v>http://www.youtube.com/channel/UCQZXu94X5lUU8Kq8XY8ic2w</v>
      </c>
      <c r="U8" s="82"/>
      <c r="V8" s="82" t="s">
        <v>1828</v>
      </c>
      <c r="W8" s="84" t="str">
        <f>HYPERLINK("https://www.youtube.com/watch?v=_0cqMag_ZII")</f>
        <v>https://www.youtube.com/watch?v=_0cqMag_ZII</v>
      </c>
      <c r="X8" s="82" t="s">
        <v>1857</v>
      </c>
      <c r="Y8" s="82">
        <v>0</v>
      </c>
      <c r="Z8" s="86">
        <v>45107.98533564815</v>
      </c>
      <c r="AA8" s="86">
        <v>45107.98533564815</v>
      </c>
      <c r="AB8" s="82"/>
      <c r="AC8" s="82"/>
      <c r="AD8" s="82"/>
      <c r="AE8" s="82">
        <v>1</v>
      </c>
      <c r="AF8" s="81">
        <v>11</v>
      </c>
      <c r="AG8" s="81">
        <v>11</v>
      </c>
      <c r="AH8" s="49">
        <v>1</v>
      </c>
      <c r="AI8" s="110">
        <v>14.285714285714286</v>
      </c>
      <c r="AJ8" s="49">
        <v>0</v>
      </c>
      <c r="AK8" s="50">
        <v>0</v>
      </c>
      <c r="AL8" s="49">
        <v>0</v>
      </c>
      <c r="AM8" s="50">
        <v>0</v>
      </c>
      <c r="AN8" s="49">
        <v>2</v>
      </c>
      <c r="AO8" s="110">
        <v>28.571428571428573</v>
      </c>
      <c r="AP8" s="49">
        <v>7</v>
      </c>
    </row>
    <row r="9" spans="1:42" ht="15">
      <c r="A9" s="66" t="s">
        <v>228</v>
      </c>
      <c r="B9" s="66" t="s">
        <v>292</v>
      </c>
      <c r="C9" s="67" t="s">
        <v>774</v>
      </c>
      <c r="D9" s="68">
        <v>3</v>
      </c>
      <c r="E9" s="69"/>
      <c r="F9" s="70">
        <v>40</v>
      </c>
      <c r="G9" s="67"/>
      <c r="H9" s="71"/>
      <c r="I9" s="72"/>
      <c r="J9" s="72"/>
      <c r="K9" s="35" t="s">
        <v>65</v>
      </c>
      <c r="L9" s="80">
        <v>9</v>
      </c>
      <c r="M9" s="80"/>
      <c r="N9" s="74"/>
      <c r="O9" s="82" t="s">
        <v>776</v>
      </c>
      <c r="P9" s="82" t="s">
        <v>197</v>
      </c>
      <c r="Q9" s="82" t="s">
        <v>781</v>
      </c>
      <c r="R9" s="82" t="s">
        <v>228</v>
      </c>
      <c r="S9" s="82" t="s">
        <v>1306</v>
      </c>
      <c r="T9" s="84" t="str">
        <f>HYPERLINK("http://www.youtube.com/channel/UCofm4FS2wgiO5LqblEGzvFA")</f>
        <v>http://www.youtube.com/channel/UCofm4FS2wgiO5LqblEGzvFA</v>
      </c>
      <c r="U9" s="82"/>
      <c r="V9" s="82" t="s">
        <v>1829</v>
      </c>
      <c r="W9" s="84" t="str">
        <f>HYPERLINK("https://www.youtube.com/watch?v=Q-YZD2u1mO8")</f>
        <v>https://www.youtube.com/watch?v=Q-YZD2u1mO8</v>
      </c>
      <c r="X9" s="82" t="s">
        <v>1857</v>
      </c>
      <c r="Y9" s="82">
        <v>0</v>
      </c>
      <c r="Z9" s="86">
        <v>44978.73125</v>
      </c>
      <c r="AA9" s="86">
        <v>44978.73125</v>
      </c>
      <c r="AB9" s="82"/>
      <c r="AC9" s="82"/>
      <c r="AD9" s="82"/>
      <c r="AE9" s="82">
        <v>1</v>
      </c>
      <c r="AF9" s="81">
        <v>3</v>
      </c>
      <c r="AG9" s="81">
        <v>3</v>
      </c>
      <c r="AH9" s="49">
        <v>0</v>
      </c>
      <c r="AI9" s="50">
        <v>0</v>
      </c>
      <c r="AJ9" s="49">
        <v>3</v>
      </c>
      <c r="AK9" s="110">
        <v>4.918032786885246</v>
      </c>
      <c r="AL9" s="49">
        <v>0</v>
      </c>
      <c r="AM9" s="50">
        <v>0</v>
      </c>
      <c r="AN9" s="49">
        <v>25</v>
      </c>
      <c r="AO9" s="110">
        <v>40.98360655737705</v>
      </c>
      <c r="AP9" s="49">
        <v>61</v>
      </c>
    </row>
    <row r="10" spans="1:42" ht="15">
      <c r="A10" s="66" t="s">
        <v>229</v>
      </c>
      <c r="B10" s="66" t="s">
        <v>292</v>
      </c>
      <c r="C10" s="67" t="s">
        <v>774</v>
      </c>
      <c r="D10" s="68">
        <v>3</v>
      </c>
      <c r="E10" s="69"/>
      <c r="F10" s="70">
        <v>40</v>
      </c>
      <c r="G10" s="67"/>
      <c r="H10" s="71"/>
      <c r="I10" s="72"/>
      <c r="J10" s="72"/>
      <c r="K10" s="35" t="s">
        <v>65</v>
      </c>
      <c r="L10" s="80">
        <v>10</v>
      </c>
      <c r="M10" s="80"/>
      <c r="N10" s="74"/>
      <c r="O10" s="82" t="s">
        <v>776</v>
      </c>
      <c r="P10" s="82" t="s">
        <v>197</v>
      </c>
      <c r="Q10" s="82" t="s">
        <v>782</v>
      </c>
      <c r="R10" s="82" t="s">
        <v>229</v>
      </c>
      <c r="S10" s="82" t="s">
        <v>1307</v>
      </c>
      <c r="T10" s="84" t="str">
        <f>HYPERLINK("http://www.youtube.com/channel/UCsJOnWW5NyNRL8yxDHv3CeA")</f>
        <v>http://www.youtube.com/channel/UCsJOnWW5NyNRL8yxDHv3CeA</v>
      </c>
      <c r="U10" s="82"/>
      <c r="V10" s="82" t="s">
        <v>1829</v>
      </c>
      <c r="W10" s="84" t="str">
        <f>HYPERLINK("https://www.youtube.com/watch?v=Q-YZD2u1mO8")</f>
        <v>https://www.youtube.com/watch?v=Q-YZD2u1mO8</v>
      </c>
      <c r="X10" s="82" t="s">
        <v>1857</v>
      </c>
      <c r="Y10" s="82">
        <v>3</v>
      </c>
      <c r="Z10" s="86">
        <v>44978.85334490741</v>
      </c>
      <c r="AA10" s="86">
        <v>44978.85334490741</v>
      </c>
      <c r="AB10" s="82"/>
      <c r="AC10" s="82"/>
      <c r="AD10" s="82"/>
      <c r="AE10" s="82">
        <v>1</v>
      </c>
      <c r="AF10" s="81">
        <v>3</v>
      </c>
      <c r="AG10" s="81">
        <v>3</v>
      </c>
      <c r="AH10" s="49">
        <v>1</v>
      </c>
      <c r="AI10" s="110">
        <v>3.5714285714285716</v>
      </c>
      <c r="AJ10" s="49">
        <v>1</v>
      </c>
      <c r="AK10" s="110">
        <v>3.5714285714285716</v>
      </c>
      <c r="AL10" s="49">
        <v>0</v>
      </c>
      <c r="AM10" s="50">
        <v>0</v>
      </c>
      <c r="AN10" s="49">
        <v>5</v>
      </c>
      <c r="AO10" s="110">
        <v>17.857142857142858</v>
      </c>
      <c r="AP10" s="49">
        <v>28</v>
      </c>
    </row>
    <row r="11" spans="1:42" ht="15">
      <c r="A11" s="66" t="s">
        <v>230</v>
      </c>
      <c r="B11" s="66" t="s">
        <v>292</v>
      </c>
      <c r="C11" s="67" t="s">
        <v>774</v>
      </c>
      <c r="D11" s="68">
        <v>3</v>
      </c>
      <c r="E11" s="69"/>
      <c r="F11" s="70">
        <v>40</v>
      </c>
      <c r="G11" s="67"/>
      <c r="H11" s="71"/>
      <c r="I11" s="72"/>
      <c r="J11" s="72"/>
      <c r="K11" s="35" t="s">
        <v>65</v>
      </c>
      <c r="L11" s="80">
        <v>11</v>
      </c>
      <c r="M11" s="80"/>
      <c r="N11" s="74"/>
      <c r="O11" s="82" t="s">
        <v>776</v>
      </c>
      <c r="P11" s="82" t="s">
        <v>197</v>
      </c>
      <c r="Q11" s="82" t="s">
        <v>783</v>
      </c>
      <c r="R11" s="82" t="s">
        <v>230</v>
      </c>
      <c r="S11" s="82" t="s">
        <v>1308</v>
      </c>
      <c r="T11" s="84" t="str">
        <f>HYPERLINK("http://www.youtube.com/channel/UCSHSmXn83dGWiPwSXO3KZTg")</f>
        <v>http://www.youtube.com/channel/UCSHSmXn83dGWiPwSXO3KZTg</v>
      </c>
      <c r="U11" s="82"/>
      <c r="V11" s="82" t="s">
        <v>1829</v>
      </c>
      <c r="W11" s="84" t="str">
        <f>HYPERLINK("https://www.youtube.com/watch?v=Q-YZD2u1mO8")</f>
        <v>https://www.youtube.com/watch?v=Q-YZD2u1mO8</v>
      </c>
      <c r="X11" s="82" t="s">
        <v>1857</v>
      </c>
      <c r="Y11" s="82">
        <v>0</v>
      </c>
      <c r="Z11" s="86">
        <v>44979.002534722225</v>
      </c>
      <c r="AA11" s="86">
        <v>44979.002534722225</v>
      </c>
      <c r="AB11" s="82"/>
      <c r="AC11" s="82"/>
      <c r="AD11" s="82"/>
      <c r="AE11" s="82">
        <v>1</v>
      </c>
      <c r="AF11" s="81">
        <v>3</v>
      </c>
      <c r="AG11" s="81">
        <v>3</v>
      </c>
      <c r="AH11" s="49">
        <v>1</v>
      </c>
      <c r="AI11" s="50">
        <v>5</v>
      </c>
      <c r="AJ11" s="49">
        <v>0</v>
      </c>
      <c r="AK11" s="50">
        <v>0</v>
      </c>
      <c r="AL11" s="49">
        <v>0</v>
      </c>
      <c r="AM11" s="50">
        <v>0</v>
      </c>
      <c r="AN11" s="49">
        <v>3</v>
      </c>
      <c r="AO11" s="50">
        <v>15</v>
      </c>
      <c r="AP11" s="49">
        <v>20</v>
      </c>
    </row>
    <row r="12" spans="1:42" ht="15">
      <c r="A12" s="66" t="s">
        <v>231</v>
      </c>
      <c r="B12" s="66" t="s">
        <v>292</v>
      </c>
      <c r="C12" s="67" t="s">
        <v>774</v>
      </c>
      <c r="D12" s="68">
        <v>3</v>
      </c>
      <c r="E12" s="69"/>
      <c r="F12" s="70">
        <v>40</v>
      </c>
      <c r="G12" s="67"/>
      <c r="H12" s="71"/>
      <c r="I12" s="72"/>
      <c r="J12" s="72"/>
      <c r="K12" s="35" t="s">
        <v>65</v>
      </c>
      <c r="L12" s="80">
        <v>12</v>
      </c>
      <c r="M12" s="80"/>
      <c r="N12" s="74"/>
      <c r="O12" s="82" t="s">
        <v>776</v>
      </c>
      <c r="P12" s="82" t="s">
        <v>197</v>
      </c>
      <c r="Q12" s="82" t="s">
        <v>784</v>
      </c>
      <c r="R12" s="82" t="s">
        <v>231</v>
      </c>
      <c r="S12" s="82" t="s">
        <v>1309</v>
      </c>
      <c r="T12" s="84" t="str">
        <f>HYPERLINK("http://www.youtube.com/channel/UCuQMJlKO_QFzEPpxbMnMgTQ")</f>
        <v>http://www.youtube.com/channel/UCuQMJlKO_QFzEPpxbMnMgTQ</v>
      </c>
      <c r="U12" s="82"/>
      <c r="V12" s="82" t="s">
        <v>1829</v>
      </c>
      <c r="W12" s="84" t="str">
        <f>HYPERLINK("https://www.youtube.com/watch?v=Q-YZD2u1mO8")</f>
        <v>https://www.youtube.com/watch?v=Q-YZD2u1mO8</v>
      </c>
      <c r="X12" s="82" t="s">
        <v>1857</v>
      </c>
      <c r="Y12" s="82">
        <v>0</v>
      </c>
      <c r="Z12" s="86">
        <v>44979.04415509259</v>
      </c>
      <c r="AA12" s="86">
        <v>44979.04415509259</v>
      </c>
      <c r="AB12" s="84" t="str">
        <f>HYPERLINK("https://www.youtube.com/watch?v=Q-YZD2u1mO8&amp;amp;t=49m00s")</f>
        <v>https://www.youtube.com/watch?v=Q-YZD2u1mO8&amp;amp;t=49m00s</v>
      </c>
      <c r="AC12" s="82" t="s">
        <v>1860</v>
      </c>
      <c r="AD12" s="82"/>
      <c r="AE12" s="82">
        <v>1</v>
      </c>
      <c r="AF12" s="81">
        <v>3</v>
      </c>
      <c r="AG12" s="81">
        <v>3</v>
      </c>
      <c r="AH12" s="49">
        <v>1</v>
      </c>
      <c r="AI12" s="110">
        <v>1.7857142857142858</v>
      </c>
      <c r="AJ12" s="49">
        <v>2</v>
      </c>
      <c r="AK12" s="110">
        <v>3.5714285714285716</v>
      </c>
      <c r="AL12" s="49">
        <v>0</v>
      </c>
      <c r="AM12" s="50">
        <v>0</v>
      </c>
      <c r="AN12" s="49">
        <v>20</v>
      </c>
      <c r="AO12" s="110">
        <v>35.714285714285715</v>
      </c>
      <c r="AP12" s="49">
        <v>56</v>
      </c>
    </row>
    <row r="13" spans="1:42" ht="15">
      <c r="A13" s="66" t="s">
        <v>232</v>
      </c>
      <c r="B13" s="66" t="s">
        <v>292</v>
      </c>
      <c r="C13" s="67" t="s">
        <v>774</v>
      </c>
      <c r="D13" s="68">
        <v>3</v>
      </c>
      <c r="E13" s="69"/>
      <c r="F13" s="70">
        <v>40</v>
      </c>
      <c r="G13" s="67"/>
      <c r="H13" s="71"/>
      <c r="I13" s="72"/>
      <c r="J13" s="72"/>
      <c r="K13" s="35" t="s">
        <v>65</v>
      </c>
      <c r="L13" s="80">
        <v>13</v>
      </c>
      <c r="M13" s="80"/>
      <c r="N13" s="74"/>
      <c r="O13" s="82" t="s">
        <v>776</v>
      </c>
      <c r="P13" s="82" t="s">
        <v>197</v>
      </c>
      <c r="Q13" s="82" t="s">
        <v>785</v>
      </c>
      <c r="R13" s="82" t="s">
        <v>232</v>
      </c>
      <c r="S13" s="82" t="s">
        <v>1310</v>
      </c>
      <c r="T13" s="84" t="str">
        <f>HYPERLINK("http://www.youtube.com/channel/UCwITU6pvKzazXrub5ZdjCCA")</f>
        <v>http://www.youtube.com/channel/UCwITU6pvKzazXrub5ZdjCCA</v>
      </c>
      <c r="U13" s="82"/>
      <c r="V13" s="82" t="s">
        <v>1829</v>
      </c>
      <c r="W13" s="84" t="str">
        <f>HYPERLINK("https://www.youtube.com/watch?v=Q-YZD2u1mO8")</f>
        <v>https://www.youtube.com/watch?v=Q-YZD2u1mO8</v>
      </c>
      <c r="X13" s="82" t="s">
        <v>1857</v>
      </c>
      <c r="Y13" s="82">
        <v>0</v>
      </c>
      <c r="Z13" s="86">
        <v>44979.36094907407</v>
      </c>
      <c r="AA13" s="86">
        <v>44979.36184027778</v>
      </c>
      <c r="AB13" s="82"/>
      <c r="AC13" s="82"/>
      <c r="AD13" s="82"/>
      <c r="AE13" s="82">
        <v>1</v>
      </c>
      <c r="AF13" s="81">
        <v>3</v>
      </c>
      <c r="AG13" s="81">
        <v>3</v>
      </c>
      <c r="AH13" s="49">
        <v>0</v>
      </c>
      <c r="AI13" s="50">
        <v>0</v>
      </c>
      <c r="AJ13" s="49">
        <v>1</v>
      </c>
      <c r="AK13" s="110">
        <v>4.3478260869565215</v>
      </c>
      <c r="AL13" s="49">
        <v>0</v>
      </c>
      <c r="AM13" s="50">
        <v>0</v>
      </c>
      <c r="AN13" s="49">
        <v>5</v>
      </c>
      <c r="AO13" s="110">
        <v>21.73913043478261</v>
      </c>
      <c r="AP13" s="49">
        <v>23</v>
      </c>
    </row>
    <row r="14" spans="1:42" ht="15">
      <c r="A14" s="66" t="s">
        <v>233</v>
      </c>
      <c r="B14" s="66" t="s">
        <v>292</v>
      </c>
      <c r="C14" s="67" t="s">
        <v>774</v>
      </c>
      <c r="D14" s="68">
        <v>3</v>
      </c>
      <c r="E14" s="69"/>
      <c r="F14" s="70">
        <v>40</v>
      </c>
      <c r="G14" s="67"/>
      <c r="H14" s="71"/>
      <c r="I14" s="72"/>
      <c r="J14" s="72"/>
      <c r="K14" s="35" t="s">
        <v>65</v>
      </c>
      <c r="L14" s="80">
        <v>14</v>
      </c>
      <c r="M14" s="80"/>
      <c r="N14" s="74"/>
      <c r="O14" s="82" t="s">
        <v>776</v>
      </c>
      <c r="P14" s="82" t="s">
        <v>197</v>
      </c>
      <c r="Q14" s="82" t="s">
        <v>786</v>
      </c>
      <c r="R14" s="82" t="s">
        <v>233</v>
      </c>
      <c r="S14" s="82" t="s">
        <v>1311</v>
      </c>
      <c r="T14" s="84" t="str">
        <f>HYPERLINK("http://www.youtube.com/channel/UCiCWDWq680ukV-Uehr_tKjg")</f>
        <v>http://www.youtube.com/channel/UCiCWDWq680ukV-Uehr_tKjg</v>
      </c>
      <c r="U14" s="82"/>
      <c r="V14" s="82" t="s">
        <v>1829</v>
      </c>
      <c r="W14" s="84" t="str">
        <f>HYPERLINK("https://www.youtube.com/watch?v=Q-YZD2u1mO8")</f>
        <v>https://www.youtube.com/watch?v=Q-YZD2u1mO8</v>
      </c>
      <c r="X14" s="82" t="s">
        <v>1857</v>
      </c>
      <c r="Y14" s="82">
        <v>1</v>
      </c>
      <c r="Z14" s="86">
        <v>44979.717824074076</v>
      </c>
      <c r="AA14" s="86">
        <v>44979.717824074076</v>
      </c>
      <c r="AB14" s="82"/>
      <c r="AC14" s="82"/>
      <c r="AD14" s="82"/>
      <c r="AE14" s="82">
        <v>1</v>
      </c>
      <c r="AF14" s="81">
        <v>3</v>
      </c>
      <c r="AG14" s="81">
        <v>3</v>
      </c>
      <c r="AH14" s="49">
        <v>0</v>
      </c>
      <c r="AI14" s="50">
        <v>0</v>
      </c>
      <c r="AJ14" s="49">
        <v>1</v>
      </c>
      <c r="AK14" s="110">
        <v>8.333333333333334</v>
      </c>
      <c r="AL14" s="49">
        <v>0</v>
      </c>
      <c r="AM14" s="50">
        <v>0</v>
      </c>
      <c r="AN14" s="49">
        <v>5</v>
      </c>
      <c r="AO14" s="110">
        <v>41.666666666666664</v>
      </c>
      <c r="AP14" s="49">
        <v>12</v>
      </c>
    </row>
    <row r="15" spans="1:42" ht="15">
      <c r="A15" s="66" t="s">
        <v>234</v>
      </c>
      <c r="B15" s="66" t="s">
        <v>292</v>
      </c>
      <c r="C15" s="67" t="s">
        <v>774</v>
      </c>
      <c r="D15" s="68">
        <v>3</v>
      </c>
      <c r="E15" s="69"/>
      <c r="F15" s="70">
        <v>40</v>
      </c>
      <c r="G15" s="67"/>
      <c r="H15" s="71"/>
      <c r="I15" s="72"/>
      <c r="J15" s="72"/>
      <c r="K15" s="35" t="s">
        <v>65</v>
      </c>
      <c r="L15" s="80">
        <v>15</v>
      </c>
      <c r="M15" s="80"/>
      <c r="N15" s="74"/>
      <c r="O15" s="82" t="s">
        <v>776</v>
      </c>
      <c r="P15" s="82" t="s">
        <v>197</v>
      </c>
      <c r="Q15" s="82" t="s">
        <v>787</v>
      </c>
      <c r="R15" s="82" t="s">
        <v>234</v>
      </c>
      <c r="S15" s="82" t="s">
        <v>1312</v>
      </c>
      <c r="T15" s="84" t="str">
        <f>HYPERLINK("http://www.youtube.com/channel/UCL9DzZ00vJegnZue-sTdLYQ")</f>
        <v>http://www.youtube.com/channel/UCL9DzZ00vJegnZue-sTdLYQ</v>
      </c>
      <c r="U15" s="82"/>
      <c r="V15" s="82" t="s">
        <v>1829</v>
      </c>
      <c r="W15" s="84" t="str">
        <f>HYPERLINK("https://www.youtube.com/watch?v=Q-YZD2u1mO8")</f>
        <v>https://www.youtube.com/watch?v=Q-YZD2u1mO8</v>
      </c>
      <c r="X15" s="82" t="s">
        <v>1857</v>
      </c>
      <c r="Y15" s="82">
        <v>1</v>
      </c>
      <c r="Z15" s="86">
        <v>44979.821863425925</v>
      </c>
      <c r="AA15" s="86">
        <v>44979.821863425925</v>
      </c>
      <c r="AB15" s="82"/>
      <c r="AC15" s="82"/>
      <c r="AD15" s="82"/>
      <c r="AE15" s="82">
        <v>1</v>
      </c>
      <c r="AF15" s="81">
        <v>3</v>
      </c>
      <c r="AG15" s="81">
        <v>3</v>
      </c>
      <c r="AH15" s="49">
        <v>6</v>
      </c>
      <c r="AI15" s="110">
        <v>16.666666666666668</v>
      </c>
      <c r="AJ15" s="49">
        <v>0</v>
      </c>
      <c r="AK15" s="50">
        <v>0</v>
      </c>
      <c r="AL15" s="49">
        <v>0</v>
      </c>
      <c r="AM15" s="50">
        <v>0</v>
      </c>
      <c r="AN15" s="49">
        <v>11</v>
      </c>
      <c r="AO15" s="110">
        <v>30.555555555555557</v>
      </c>
      <c r="AP15" s="49">
        <v>36</v>
      </c>
    </row>
    <row r="16" spans="1:42" ht="15">
      <c r="A16" s="66" t="s">
        <v>235</v>
      </c>
      <c r="B16" s="66" t="s">
        <v>292</v>
      </c>
      <c r="C16" s="67" t="s">
        <v>774</v>
      </c>
      <c r="D16" s="68">
        <v>3</v>
      </c>
      <c r="E16" s="69"/>
      <c r="F16" s="70">
        <v>40</v>
      </c>
      <c r="G16" s="67"/>
      <c r="H16" s="71"/>
      <c r="I16" s="72"/>
      <c r="J16" s="72"/>
      <c r="K16" s="35" t="s">
        <v>65</v>
      </c>
      <c r="L16" s="80">
        <v>16</v>
      </c>
      <c r="M16" s="80"/>
      <c r="N16" s="74"/>
      <c r="O16" s="82" t="s">
        <v>776</v>
      </c>
      <c r="P16" s="82" t="s">
        <v>197</v>
      </c>
      <c r="Q16" s="82" t="s">
        <v>788</v>
      </c>
      <c r="R16" s="82" t="s">
        <v>235</v>
      </c>
      <c r="S16" s="82" t="s">
        <v>1313</v>
      </c>
      <c r="T16" s="84" t="str">
        <f>HYPERLINK("http://www.youtube.com/channel/UCktXZ0D5zb1AKG4IEeCh6oA")</f>
        <v>http://www.youtube.com/channel/UCktXZ0D5zb1AKG4IEeCh6oA</v>
      </c>
      <c r="U16" s="82"/>
      <c r="V16" s="82" t="s">
        <v>1829</v>
      </c>
      <c r="W16" s="84" t="str">
        <f>HYPERLINK("https://www.youtube.com/watch?v=Q-YZD2u1mO8")</f>
        <v>https://www.youtube.com/watch?v=Q-YZD2u1mO8</v>
      </c>
      <c r="X16" s="82" t="s">
        <v>1857</v>
      </c>
      <c r="Y16" s="82">
        <v>0</v>
      </c>
      <c r="Z16" s="86">
        <v>44979.943506944444</v>
      </c>
      <c r="AA16" s="86">
        <v>44979.943506944444</v>
      </c>
      <c r="AB16" s="82"/>
      <c r="AC16" s="82"/>
      <c r="AD16" s="82"/>
      <c r="AE16" s="82">
        <v>1</v>
      </c>
      <c r="AF16" s="81">
        <v>3</v>
      </c>
      <c r="AG16" s="81">
        <v>3</v>
      </c>
      <c r="AH16" s="49">
        <v>0</v>
      </c>
      <c r="AI16" s="50">
        <v>0</v>
      </c>
      <c r="AJ16" s="49">
        <v>2</v>
      </c>
      <c r="AK16" s="110">
        <v>9.523809523809524</v>
      </c>
      <c r="AL16" s="49">
        <v>0</v>
      </c>
      <c r="AM16" s="50">
        <v>0</v>
      </c>
      <c r="AN16" s="49">
        <v>10</v>
      </c>
      <c r="AO16" s="110">
        <v>47.61904761904762</v>
      </c>
      <c r="AP16" s="49">
        <v>21</v>
      </c>
    </row>
    <row r="17" spans="1:42" ht="15">
      <c r="A17" s="66" t="s">
        <v>236</v>
      </c>
      <c r="B17" s="66" t="s">
        <v>292</v>
      </c>
      <c r="C17" s="67" t="s">
        <v>774</v>
      </c>
      <c r="D17" s="68">
        <v>3</v>
      </c>
      <c r="E17" s="69"/>
      <c r="F17" s="70">
        <v>40</v>
      </c>
      <c r="G17" s="67"/>
      <c r="H17" s="71"/>
      <c r="I17" s="72"/>
      <c r="J17" s="72"/>
      <c r="K17" s="35" t="s">
        <v>65</v>
      </c>
      <c r="L17" s="80">
        <v>17</v>
      </c>
      <c r="M17" s="80"/>
      <c r="N17" s="74"/>
      <c r="O17" s="82" t="s">
        <v>776</v>
      </c>
      <c r="P17" s="82" t="s">
        <v>197</v>
      </c>
      <c r="Q17" s="82" t="s">
        <v>789</v>
      </c>
      <c r="R17" s="82" t="s">
        <v>236</v>
      </c>
      <c r="S17" s="82" t="s">
        <v>1314</v>
      </c>
      <c r="T17" s="84" t="str">
        <f>HYPERLINK("http://www.youtube.com/channel/UCek14wf03-ae60a7tBVSq1w")</f>
        <v>http://www.youtube.com/channel/UCek14wf03-ae60a7tBVSq1w</v>
      </c>
      <c r="U17" s="82"/>
      <c r="V17" s="82" t="s">
        <v>1829</v>
      </c>
      <c r="W17" s="84" t="str">
        <f>HYPERLINK("https://www.youtube.com/watch?v=Q-YZD2u1mO8")</f>
        <v>https://www.youtube.com/watch?v=Q-YZD2u1mO8</v>
      </c>
      <c r="X17" s="82" t="s">
        <v>1857</v>
      </c>
      <c r="Y17" s="82">
        <v>1</v>
      </c>
      <c r="Z17" s="86">
        <v>44980.55399305555</v>
      </c>
      <c r="AA17" s="86">
        <v>44980.55399305555</v>
      </c>
      <c r="AB17" s="82"/>
      <c r="AC17" s="82"/>
      <c r="AD17" s="82"/>
      <c r="AE17" s="82">
        <v>1</v>
      </c>
      <c r="AF17" s="81">
        <v>3</v>
      </c>
      <c r="AG17" s="81">
        <v>3</v>
      </c>
      <c r="AH17" s="49">
        <v>2</v>
      </c>
      <c r="AI17" s="110">
        <v>9.523809523809524</v>
      </c>
      <c r="AJ17" s="49">
        <v>0</v>
      </c>
      <c r="AK17" s="50">
        <v>0</v>
      </c>
      <c r="AL17" s="49">
        <v>0</v>
      </c>
      <c r="AM17" s="50">
        <v>0</v>
      </c>
      <c r="AN17" s="49">
        <v>6</v>
      </c>
      <c r="AO17" s="110">
        <v>28.571428571428573</v>
      </c>
      <c r="AP17" s="49">
        <v>21</v>
      </c>
    </row>
    <row r="18" spans="1:42" ht="15">
      <c r="A18" s="66" t="s">
        <v>237</v>
      </c>
      <c r="B18" s="66" t="s">
        <v>292</v>
      </c>
      <c r="C18" s="67" t="s">
        <v>774</v>
      </c>
      <c r="D18" s="68">
        <v>3</v>
      </c>
      <c r="E18" s="69"/>
      <c r="F18" s="70">
        <v>40</v>
      </c>
      <c r="G18" s="67"/>
      <c r="H18" s="71"/>
      <c r="I18" s="72"/>
      <c r="J18" s="72"/>
      <c r="K18" s="35" t="s">
        <v>65</v>
      </c>
      <c r="L18" s="80">
        <v>18</v>
      </c>
      <c r="M18" s="80"/>
      <c r="N18" s="74"/>
      <c r="O18" s="82" t="s">
        <v>776</v>
      </c>
      <c r="P18" s="82" t="s">
        <v>197</v>
      </c>
      <c r="Q18" s="82" t="s">
        <v>790</v>
      </c>
      <c r="R18" s="82" t="s">
        <v>237</v>
      </c>
      <c r="S18" s="82" t="s">
        <v>1315</v>
      </c>
      <c r="T18" s="84" t="str">
        <f>HYPERLINK("http://www.youtube.com/channel/UCEiZM4t4CszDR4hv-Idy3ww")</f>
        <v>http://www.youtube.com/channel/UCEiZM4t4CszDR4hv-Idy3ww</v>
      </c>
      <c r="U18" s="82"/>
      <c r="V18" s="82" t="s">
        <v>1829</v>
      </c>
      <c r="W18" s="84" t="str">
        <f>HYPERLINK("https://www.youtube.com/watch?v=Q-YZD2u1mO8")</f>
        <v>https://www.youtube.com/watch?v=Q-YZD2u1mO8</v>
      </c>
      <c r="X18" s="82" t="s">
        <v>1857</v>
      </c>
      <c r="Y18" s="82">
        <v>2</v>
      </c>
      <c r="Z18" s="86">
        <v>44980.93373842593</v>
      </c>
      <c r="AA18" s="86">
        <v>44980.93373842593</v>
      </c>
      <c r="AB18" s="82"/>
      <c r="AC18" s="82"/>
      <c r="AD18" s="82"/>
      <c r="AE18" s="82">
        <v>1</v>
      </c>
      <c r="AF18" s="81">
        <v>3</v>
      </c>
      <c r="AG18" s="81">
        <v>3</v>
      </c>
      <c r="AH18" s="49">
        <v>4</v>
      </c>
      <c r="AI18" s="110">
        <v>12.903225806451612</v>
      </c>
      <c r="AJ18" s="49">
        <v>0</v>
      </c>
      <c r="AK18" s="50">
        <v>0</v>
      </c>
      <c r="AL18" s="49">
        <v>0</v>
      </c>
      <c r="AM18" s="50">
        <v>0</v>
      </c>
      <c r="AN18" s="49">
        <v>8</v>
      </c>
      <c r="AO18" s="110">
        <v>25.806451612903224</v>
      </c>
      <c r="AP18" s="49">
        <v>31</v>
      </c>
    </row>
    <row r="19" spans="1:42" ht="15">
      <c r="A19" s="66" t="s">
        <v>238</v>
      </c>
      <c r="B19" s="66" t="s">
        <v>292</v>
      </c>
      <c r="C19" s="67" t="s">
        <v>774</v>
      </c>
      <c r="D19" s="68">
        <v>3</v>
      </c>
      <c r="E19" s="69"/>
      <c r="F19" s="70">
        <v>40</v>
      </c>
      <c r="G19" s="67"/>
      <c r="H19" s="71"/>
      <c r="I19" s="72"/>
      <c r="J19" s="72"/>
      <c r="K19" s="35" t="s">
        <v>65</v>
      </c>
      <c r="L19" s="80">
        <v>19</v>
      </c>
      <c r="M19" s="80"/>
      <c r="N19" s="74"/>
      <c r="O19" s="82" t="s">
        <v>776</v>
      </c>
      <c r="P19" s="82" t="s">
        <v>197</v>
      </c>
      <c r="Q19" s="82" t="s">
        <v>791</v>
      </c>
      <c r="R19" s="82" t="s">
        <v>238</v>
      </c>
      <c r="S19" s="82" t="s">
        <v>1316</v>
      </c>
      <c r="T19" s="84" t="str">
        <f>HYPERLINK("http://www.youtube.com/channel/UCnohTVtCuvNtolRm-tRiGZQ")</f>
        <v>http://www.youtube.com/channel/UCnohTVtCuvNtolRm-tRiGZQ</v>
      </c>
      <c r="U19" s="82"/>
      <c r="V19" s="82" t="s">
        <v>1829</v>
      </c>
      <c r="W19" s="84" t="str">
        <f>HYPERLINK("https://www.youtube.com/watch?v=Q-YZD2u1mO8")</f>
        <v>https://www.youtube.com/watch?v=Q-YZD2u1mO8</v>
      </c>
      <c r="X19" s="82" t="s">
        <v>1857</v>
      </c>
      <c r="Y19" s="82">
        <v>1</v>
      </c>
      <c r="Z19" s="86">
        <v>44981.077673611115</v>
      </c>
      <c r="AA19" s="86">
        <v>44981.077673611115</v>
      </c>
      <c r="AB19" s="82"/>
      <c r="AC19" s="82"/>
      <c r="AD19" s="82"/>
      <c r="AE19" s="82">
        <v>1</v>
      </c>
      <c r="AF19" s="81">
        <v>3</v>
      </c>
      <c r="AG19" s="81">
        <v>3</v>
      </c>
      <c r="AH19" s="49">
        <v>0</v>
      </c>
      <c r="AI19" s="50">
        <v>0</v>
      </c>
      <c r="AJ19" s="49">
        <v>0</v>
      </c>
      <c r="AK19" s="50">
        <v>0</v>
      </c>
      <c r="AL19" s="49">
        <v>0</v>
      </c>
      <c r="AM19" s="50">
        <v>0</v>
      </c>
      <c r="AN19" s="49">
        <v>5</v>
      </c>
      <c r="AO19" s="110">
        <v>38.46153846153846</v>
      </c>
      <c r="AP19" s="49">
        <v>13</v>
      </c>
    </row>
    <row r="20" spans="1:42" ht="15">
      <c r="A20" s="66" t="s">
        <v>239</v>
      </c>
      <c r="B20" s="66" t="s">
        <v>292</v>
      </c>
      <c r="C20" s="67" t="s">
        <v>774</v>
      </c>
      <c r="D20" s="68">
        <v>3</v>
      </c>
      <c r="E20" s="69"/>
      <c r="F20" s="70">
        <v>40</v>
      </c>
      <c r="G20" s="67"/>
      <c r="H20" s="71"/>
      <c r="I20" s="72"/>
      <c r="J20" s="72"/>
      <c r="K20" s="35" t="s">
        <v>65</v>
      </c>
      <c r="L20" s="80">
        <v>20</v>
      </c>
      <c r="M20" s="80"/>
      <c r="N20" s="74"/>
      <c r="O20" s="82" t="s">
        <v>776</v>
      </c>
      <c r="P20" s="82" t="s">
        <v>197</v>
      </c>
      <c r="Q20" s="82" t="s">
        <v>792</v>
      </c>
      <c r="R20" s="82" t="s">
        <v>239</v>
      </c>
      <c r="S20" s="82" t="s">
        <v>1317</v>
      </c>
      <c r="T20" s="84" t="str">
        <f>HYPERLINK("http://www.youtube.com/channel/UC34S06MNe11xkigcLLQ8s1Q")</f>
        <v>http://www.youtube.com/channel/UC34S06MNe11xkigcLLQ8s1Q</v>
      </c>
      <c r="U20" s="82"/>
      <c r="V20" s="82" t="s">
        <v>1829</v>
      </c>
      <c r="W20" s="84" t="str">
        <f>HYPERLINK("https://www.youtube.com/watch?v=Q-YZD2u1mO8")</f>
        <v>https://www.youtube.com/watch?v=Q-YZD2u1mO8</v>
      </c>
      <c r="X20" s="82" t="s">
        <v>1857</v>
      </c>
      <c r="Y20" s="82">
        <v>1</v>
      </c>
      <c r="Z20" s="86">
        <v>44981.281539351854</v>
      </c>
      <c r="AA20" s="86">
        <v>44981.281539351854</v>
      </c>
      <c r="AB20" s="82"/>
      <c r="AC20" s="82"/>
      <c r="AD20" s="82"/>
      <c r="AE20" s="82">
        <v>1</v>
      </c>
      <c r="AF20" s="81">
        <v>3</v>
      </c>
      <c r="AG20" s="81">
        <v>3</v>
      </c>
      <c r="AH20" s="49">
        <v>1</v>
      </c>
      <c r="AI20" s="50">
        <v>1.5625</v>
      </c>
      <c r="AJ20" s="49">
        <v>3</v>
      </c>
      <c r="AK20" s="50">
        <v>4.6875</v>
      </c>
      <c r="AL20" s="49">
        <v>0</v>
      </c>
      <c r="AM20" s="50">
        <v>0</v>
      </c>
      <c r="AN20" s="49">
        <v>16</v>
      </c>
      <c r="AO20" s="50">
        <v>25</v>
      </c>
      <c r="AP20" s="49">
        <v>64</v>
      </c>
    </row>
    <row r="21" spans="1:42" ht="15">
      <c r="A21" s="66" t="s">
        <v>240</v>
      </c>
      <c r="B21" s="66" t="s">
        <v>292</v>
      </c>
      <c r="C21" s="67" t="s">
        <v>774</v>
      </c>
      <c r="D21" s="68">
        <v>3</v>
      </c>
      <c r="E21" s="69"/>
      <c r="F21" s="70">
        <v>40</v>
      </c>
      <c r="G21" s="67"/>
      <c r="H21" s="71"/>
      <c r="I21" s="72"/>
      <c r="J21" s="72"/>
      <c r="K21" s="35" t="s">
        <v>65</v>
      </c>
      <c r="L21" s="80">
        <v>21</v>
      </c>
      <c r="M21" s="80"/>
      <c r="N21" s="74"/>
      <c r="O21" s="82" t="s">
        <v>776</v>
      </c>
      <c r="P21" s="82" t="s">
        <v>197</v>
      </c>
      <c r="Q21" s="82" t="s">
        <v>793</v>
      </c>
      <c r="R21" s="82" t="s">
        <v>240</v>
      </c>
      <c r="S21" s="82" t="s">
        <v>1318</v>
      </c>
      <c r="T21" s="84" t="str">
        <f>HYPERLINK("http://www.youtube.com/channel/UC8Ay5N1DiQwnfOJ2tpH1VEw")</f>
        <v>http://www.youtube.com/channel/UC8Ay5N1DiQwnfOJ2tpH1VEw</v>
      </c>
      <c r="U21" s="82"/>
      <c r="V21" s="82" t="s">
        <v>1829</v>
      </c>
      <c r="W21" s="84" t="str">
        <f>HYPERLINK("https://www.youtube.com/watch?v=Q-YZD2u1mO8")</f>
        <v>https://www.youtube.com/watch?v=Q-YZD2u1mO8</v>
      </c>
      <c r="X21" s="82" t="s">
        <v>1857</v>
      </c>
      <c r="Y21" s="82">
        <v>0</v>
      </c>
      <c r="Z21" s="86">
        <v>44981.63417824074</v>
      </c>
      <c r="AA21" s="86">
        <v>44981.63417824074</v>
      </c>
      <c r="AB21" s="82"/>
      <c r="AC21" s="82"/>
      <c r="AD21" s="82"/>
      <c r="AE21" s="82">
        <v>1</v>
      </c>
      <c r="AF21" s="81">
        <v>3</v>
      </c>
      <c r="AG21" s="81">
        <v>3</v>
      </c>
      <c r="AH21" s="49">
        <v>8</v>
      </c>
      <c r="AI21" s="110">
        <v>12.903225806451612</v>
      </c>
      <c r="AJ21" s="49">
        <v>3</v>
      </c>
      <c r="AK21" s="110">
        <v>4.838709677419355</v>
      </c>
      <c r="AL21" s="49">
        <v>0</v>
      </c>
      <c r="AM21" s="50">
        <v>0</v>
      </c>
      <c r="AN21" s="49">
        <v>12</v>
      </c>
      <c r="AO21" s="110">
        <v>19.35483870967742</v>
      </c>
      <c r="AP21" s="49">
        <v>62</v>
      </c>
    </row>
    <row r="22" spans="1:42" ht="15">
      <c r="A22" s="66" t="s">
        <v>241</v>
      </c>
      <c r="B22" s="66" t="s">
        <v>292</v>
      </c>
      <c r="C22" s="67" t="s">
        <v>4789</v>
      </c>
      <c r="D22" s="68">
        <v>10</v>
      </c>
      <c r="E22" s="69"/>
      <c r="F22" s="70">
        <v>15</v>
      </c>
      <c r="G22" s="67"/>
      <c r="H22" s="71"/>
      <c r="I22" s="72"/>
      <c r="J22" s="72"/>
      <c r="K22" s="35" t="s">
        <v>65</v>
      </c>
      <c r="L22" s="80">
        <v>22</v>
      </c>
      <c r="M22" s="80"/>
      <c r="N22" s="74"/>
      <c r="O22" s="82" t="s">
        <v>776</v>
      </c>
      <c r="P22" s="82" t="s">
        <v>197</v>
      </c>
      <c r="Q22" s="82" t="s">
        <v>794</v>
      </c>
      <c r="R22" s="82" t="s">
        <v>241</v>
      </c>
      <c r="S22" s="82" t="s">
        <v>1319</v>
      </c>
      <c r="T22" s="84" t="str">
        <f>HYPERLINK("http://www.youtube.com/channel/UClacwSl8Q-4gHqnADwqIV9A")</f>
        <v>http://www.youtube.com/channel/UClacwSl8Q-4gHqnADwqIV9A</v>
      </c>
      <c r="U22" s="82"/>
      <c r="V22" s="82" t="s">
        <v>1829</v>
      </c>
      <c r="W22" s="84" t="str">
        <f>HYPERLINK("https://www.youtube.com/watch?v=Q-YZD2u1mO8")</f>
        <v>https://www.youtube.com/watch?v=Q-YZD2u1mO8</v>
      </c>
      <c r="X22" s="82" t="s">
        <v>1857</v>
      </c>
      <c r="Y22" s="82">
        <v>1</v>
      </c>
      <c r="Z22" s="86">
        <v>44981.905</v>
      </c>
      <c r="AA22" s="86">
        <v>44981.905</v>
      </c>
      <c r="AB22" s="82"/>
      <c r="AC22" s="82"/>
      <c r="AD22" s="82"/>
      <c r="AE22" s="82">
        <v>9</v>
      </c>
      <c r="AF22" s="81">
        <v>3</v>
      </c>
      <c r="AG22" s="81">
        <v>3</v>
      </c>
      <c r="AH22" s="49">
        <v>0</v>
      </c>
      <c r="AI22" s="50">
        <v>0</v>
      </c>
      <c r="AJ22" s="49">
        <v>1</v>
      </c>
      <c r="AK22" s="110">
        <v>3.0303030303030303</v>
      </c>
      <c r="AL22" s="49">
        <v>0</v>
      </c>
      <c r="AM22" s="50">
        <v>0</v>
      </c>
      <c r="AN22" s="49">
        <v>10</v>
      </c>
      <c r="AO22" s="110">
        <v>30.303030303030305</v>
      </c>
      <c r="AP22" s="49">
        <v>33</v>
      </c>
    </row>
    <row r="23" spans="1:42" ht="15">
      <c r="A23" s="66" t="s">
        <v>242</v>
      </c>
      <c r="B23" s="66" t="s">
        <v>292</v>
      </c>
      <c r="C23" s="67" t="s">
        <v>774</v>
      </c>
      <c r="D23" s="68">
        <v>3</v>
      </c>
      <c r="E23" s="69"/>
      <c r="F23" s="70">
        <v>40</v>
      </c>
      <c r="G23" s="67"/>
      <c r="H23" s="71"/>
      <c r="I23" s="72"/>
      <c r="J23" s="72"/>
      <c r="K23" s="35" t="s">
        <v>65</v>
      </c>
      <c r="L23" s="80">
        <v>23</v>
      </c>
      <c r="M23" s="80"/>
      <c r="N23" s="74"/>
      <c r="O23" s="82" t="s">
        <v>776</v>
      </c>
      <c r="P23" s="82" t="s">
        <v>197</v>
      </c>
      <c r="Q23" s="82" t="s">
        <v>795</v>
      </c>
      <c r="R23" s="82" t="s">
        <v>242</v>
      </c>
      <c r="S23" s="82" t="s">
        <v>1320</v>
      </c>
      <c r="T23" s="84" t="str">
        <f>HYPERLINK("http://www.youtube.com/channel/UCutq5-FUVuOX9wMn6rNr_Nw")</f>
        <v>http://www.youtube.com/channel/UCutq5-FUVuOX9wMn6rNr_Nw</v>
      </c>
      <c r="U23" s="82"/>
      <c r="V23" s="82" t="s">
        <v>1829</v>
      </c>
      <c r="W23" s="84" t="str">
        <f>HYPERLINK("https://www.youtube.com/watch?v=Q-YZD2u1mO8")</f>
        <v>https://www.youtube.com/watch?v=Q-YZD2u1mO8</v>
      </c>
      <c r="X23" s="82" t="s">
        <v>1857</v>
      </c>
      <c r="Y23" s="82">
        <v>0</v>
      </c>
      <c r="Z23" s="86">
        <v>44982.00369212963</v>
      </c>
      <c r="AA23" s="86">
        <v>44982.00369212963</v>
      </c>
      <c r="AB23" s="82"/>
      <c r="AC23" s="82"/>
      <c r="AD23" s="82"/>
      <c r="AE23" s="82">
        <v>1</v>
      </c>
      <c r="AF23" s="81">
        <v>3</v>
      </c>
      <c r="AG23" s="81">
        <v>3</v>
      </c>
      <c r="AH23" s="49">
        <v>0</v>
      </c>
      <c r="AI23" s="50">
        <v>0</v>
      </c>
      <c r="AJ23" s="49">
        <v>1</v>
      </c>
      <c r="AK23" s="110">
        <v>14.285714285714286</v>
      </c>
      <c r="AL23" s="49">
        <v>0</v>
      </c>
      <c r="AM23" s="50">
        <v>0</v>
      </c>
      <c r="AN23" s="49">
        <v>3</v>
      </c>
      <c r="AO23" s="110">
        <v>42.857142857142854</v>
      </c>
      <c r="AP23" s="49">
        <v>7</v>
      </c>
    </row>
    <row r="24" spans="1:42" ht="15">
      <c r="A24" s="66" t="s">
        <v>243</v>
      </c>
      <c r="B24" s="66" t="s">
        <v>292</v>
      </c>
      <c r="C24" s="67" t="s">
        <v>4788</v>
      </c>
      <c r="D24" s="68">
        <v>10</v>
      </c>
      <c r="E24" s="69"/>
      <c r="F24" s="70">
        <v>15</v>
      </c>
      <c r="G24" s="67"/>
      <c r="H24" s="71"/>
      <c r="I24" s="72"/>
      <c r="J24" s="72"/>
      <c r="K24" s="35" t="s">
        <v>65</v>
      </c>
      <c r="L24" s="80">
        <v>24</v>
      </c>
      <c r="M24" s="80"/>
      <c r="N24" s="74"/>
      <c r="O24" s="82" t="s">
        <v>776</v>
      </c>
      <c r="P24" s="82" t="s">
        <v>197</v>
      </c>
      <c r="Q24" s="82" t="s">
        <v>796</v>
      </c>
      <c r="R24" s="82" t="s">
        <v>243</v>
      </c>
      <c r="S24" s="82" t="s">
        <v>1321</v>
      </c>
      <c r="T24" s="84" t="str">
        <f>HYPERLINK("http://www.youtube.com/channel/UCqbuCOjnLEgaspaTyUz1l_w")</f>
        <v>http://www.youtube.com/channel/UCqbuCOjnLEgaspaTyUz1l_w</v>
      </c>
      <c r="U24" s="82"/>
      <c r="V24" s="82" t="s">
        <v>1829</v>
      </c>
      <c r="W24" s="84" t="str">
        <f>HYPERLINK("https://www.youtube.com/watch?v=Q-YZD2u1mO8")</f>
        <v>https://www.youtube.com/watch?v=Q-YZD2u1mO8</v>
      </c>
      <c r="X24" s="82" t="s">
        <v>1857</v>
      </c>
      <c r="Y24" s="82">
        <v>4</v>
      </c>
      <c r="Z24" s="86">
        <v>44982.472974537035</v>
      </c>
      <c r="AA24" s="86">
        <v>44982.472974537035</v>
      </c>
      <c r="AB24" s="82"/>
      <c r="AC24" s="82"/>
      <c r="AD24" s="82"/>
      <c r="AE24" s="82">
        <v>4</v>
      </c>
      <c r="AF24" s="81">
        <v>3</v>
      </c>
      <c r="AG24" s="81">
        <v>3</v>
      </c>
      <c r="AH24" s="49">
        <v>1</v>
      </c>
      <c r="AI24" s="50">
        <v>10</v>
      </c>
      <c r="AJ24" s="49">
        <v>0</v>
      </c>
      <c r="AK24" s="50">
        <v>0</v>
      </c>
      <c r="AL24" s="49">
        <v>0</v>
      </c>
      <c r="AM24" s="50">
        <v>0</v>
      </c>
      <c r="AN24" s="49">
        <v>2</v>
      </c>
      <c r="AO24" s="50">
        <v>20</v>
      </c>
      <c r="AP24" s="49">
        <v>10</v>
      </c>
    </row>
    <row r="25" spans="1:42" ht="15">
      <c r="A25" s="66" t="s">
        <v>244</v>
      </c>
      <c r="B25" s="66" t="s">
        <v>292</v>
      </c>
      <c r="C25" s="67" t="s">
        <v>774</v>
      </c>
      <c r="D25" s="68">
        <v>3</v>
      </c>
      <c r="E25" s="69"/>
      <c r="F25" s="70">
        <v>40</v>
      </c>
      <c r="G25" s="67"/>
      <c r="H25" s="71"/>
      <c r="I25" s="72"/>
      <c r="J25" s="72"/>
      <c r="K25" s="35" t="s">
        <v>65</v>
      </c>
      <c r="L25" s="80">
        <v>25</v>
      </c>
      <c r="M25" s="80"/>
      <c r="N25" s="74"/>
      <c r="O25" s="82" t="s">
        <v>776</v>
      </c>
      <c r="P25" s="82" t="s">
        <v>197</v>
      </c>
      <c r="Q25" s="82" t="s">
        <v>797</v>
      </c>
      <c r="R25" s="82" t="s">
        <v>244</v>
      </c>
      <c r="S25" s="82" t="s">
        <v>1322</v>
      </c>
      <c r="T25" s="84" t="str">
        <f>HYPERLINK("http://www.youtube.com/channel/UCSer173vKrwqw0TUSdEPE8g")</f>
        <v>http://www.youtube.com/channel/UCSer173vKrwqw0TUSdEPE8g</v>
      </c>
      <c r="U25" s="82"/>
      <c r="V25" s="82" t="s">
        <v>1829</v>
      </c>
      <c r="W25" s="84" t="str">
        <f>HYPERLINK("https://www.youtube.com/watch?v=Q-YZD2u1mO8")</f>
        <v>https://www.youtube.com/watch?v=Q-YZD2u1mO8</v>
      </c>
      <c r="X25" s="82" t="s">
        <v>1857</v>
      </c>
      <c r="Y25" s="82">
        <v>0</v>
      </c>
      <c r="Z25" s="86">
        <v>44982.64341435185</v>
      </c>
      <c r="AA25" s="86">
        <v>44982.64341435185</v>
      </c>
      <c r="AB25" s="82"/>
      <c r="AC25" s="82"/>
      <c r="AD25" s="82"/>
      <c r="AE25" s="82">
        <v>1</v>
      </c>
      <c r="AF25" s="81">
        <v>3</v>
      </c>
      <c r="AG25" s="81">
        <v>3</v>
      </c>
      <c r="AH25" s="49">
        <v>0</v>
      </c>
      <c r="AI25" s="50">
        <v>0</v>
      </c>
      <c r="AJ25" s="49">
        <v>1</v>
      </c>
      <c r="AK25" s="50">
        <v>20</v>
      </c>
      <c r="AL25" s="49">
        <v>0</v>
      </c>
      <c r="AM25" s="50">
        <v>0</v>
      </c>
      <c r="AN25" s="49">
        <v>2</v>
      </c>
      <c r="AO25" s="50">
        <v>40</v>
      </c>
      <c r="AP25" s="49">
        <v>5</v>
      </c>
    </row>
    <row r="26" spans="1:42" ht="15">
      <c r="A26" s="66" t="s">
        <v>245</v>
      </c>
      <c r="B26" s="66" t="s">
        <v>292</v>
      </c>
      <c r="C26" s="67" t="s">
        <v>774</v>
      </c>
      <c r="D26" s="68">
        <v>3</v>
      </c>
      <c r="E26" s="69"/>
      <c r="F26" s="70">
        <v>40</v>
      </c>
      <c r="G26" s="67"/>
      <c r="H26" s="71"/>
      <c r="I26" s="72"/>
      <c r="J26" s="72"/>
      <c r="K26" s="35" t="s">
        <v>65</v>
      </c>
      <c r="L26" s="80">
        <v>26</v>
      </c>
      <c r="M26" s="80"/>
      <c r="N26" s="74"/>
      <c r="O26" s="82" t="s">
        <v>776</v>
      </c>
      <c r="P26" s="82" t="s">
        <v>197</v>
      </c>
      <c r="Q26" s="82" t="s">
        <v>798</v>
      </c>
      <c r="R26" s="82" t="s">
        <v>245</v>
      </c>
      <c r="S26" s="82" t="s">
        <v>1323</v>
      </c>
      <c r="T26" s="84" t="str">
        <f>HYPERLINK("http://www.youtube.com/channel/UCtzLGcrO-wjBW9bgmvRImUA")</f>
        <v>http://www.youtube.com/channel/UCtzLGcrO-wjBW9bgmvRImUA</v>
      </c>
      <c r="U26" s="82"/>
      <c r="V26" s="82" t="s">
        <v>1829</v>
      </c>
      <c r="W26" s="84" t="str">
        <f>HYPERLINK("https://www.youtube.com/watch?v=Q-YZD2u1mO8")</f>
        <v>https://www.youtube.com/watch?v=Q-YZD2u1mO8</v>
      </c>
      <c r="X26" s="82" t="s">
        <v>1857</v>
      </c>
      <c r="Y26" s="82">
        <v>1</v>
      </c>
      <c r="Z26" s="86">
        <v>44982.68572916667</v>
      </c>
      <c r="AA26" s="86">
        <v>44982.68572916667</v>
      </c>
      <c r="AB26" s="82"/>
      <c r="AC26" s="82"/>
      <c r="AD26" s="82"/>
      <c r="AE26" s="82">
        <v>1</v>
      </c>
      <c r="AF26" s="81">
        <v>3</v>
      </c>
      <c r="AG26" s="81">
        <v>3</v>
      </c>
      <c r="AH26" s="49">
        <v>1</v>
      </c>
      <c r="AI26" s="110">
        <v>5.882352941176471</v>
      </c>
      <c r="AJ26" s="49">
        <v>2</v>
      </c>
      <c r="AK26" s="110">
        <v>11.764705882352942</v>
      </c>
      <c r="AL26" s="49">
        <v>0</v>
      </c>
      <c r="AM26" s="50">
        <v>0</v>
      </c>
      <c r="AN26" s="49">
        <v>5</v>
      </c>
      <c r="AO26" s="110">
        <v>29.41176470588235</v>
      </c>
      <c r="AP26" s="49">
        <v>17</v>
      </c>
    </row>
    <row r="27" spans="1:42" ht="15">
      <c r="A27" s="66" t="s">
        <v>246</v>
      </c>
      <c r="B27" s="66" t="s">
        <v>292</v>
      </c>
      <c r="C27" s="67" t="s">
        <v>774</v>
      </c>
      <c r="D27" s="68">
        <v>3</v>
      </c>
      <c r="E27" s="69"/>
      <c r="F27" s="70">
        <v>40</v>
      </c>
      <c r="G27" s="67"/>
      <c r="H27" s="71"/>
      <c r="I27" s="72"/>
      <c r="J27" s="72"/>
      <c r="K27" s="35" t="s">
        <v>65</v>
      </c>
      <c r="L27" s="80">
        <v>27</v>
      </c>
      <c r="M27" s="80"/>
      <c r="N27" s="74"/>
      <c r="O27" s="82" t="s">
        <v>776</v>
      </c>
      <c r="P27" s="82" t="s">
        <v>197</v>
      </c>
      <c r="Q27" s="82" t="s">
        <v>799</v>
      </c>
      <c r="R27" s="82" t="s">
        <v>246</v>
      </c>
      <c r="S27" s="82" t="s">
        <v>1324</v>
      </c>
      <c r="T27" s="84" t="str">
        <f>HYPERLINK("http://www.youtube.com/channel/UCI4enAGic-cc5V8eW5JbDTw")</f>
        <v>http://www.youtube.com/channel/UCI4enAGic-cc5V8eW5JbDTw</v>
      </c>
      <c r="U27" s="82"/>
      <c r="V27" s="82" t="s">
        <v>1829</v>
      </c>
      <c r="W27" s="84" t="str">
        <f>HYPERLINK("https://www.youtube.com/watch?v=Q-YZD2u1mO8")</f>
        <v>https://www.youtube.com/watch?v=Q-YZD2u1mO8</v>
      </c>
      <c r="X27" s="82" t="s">
        <v>1857</v>
      </c>
      <c r="Y27" s="82">
        <v>4</v>
      </c>
      <c r="Z27" s="86">
        <v>44982.76243055556</v>
      </c>
      <c r="AA27" s="86">
        <v>44987.67539351852</v>
      </c>
      <c r="AB27" s="82"/>
      <c r="AC27" s="82"/>
      <c r="AD27" s="82"/>
      <c r="AE27" s="82">
        <v>1</v>
      </c>
      <c r="AF27" s="81">
        <v>3</v>
      </c>
      <c r="AG27" s="81">
        <v>3</v>
      </c>
      <c r="AH27" s="49">
        <v>0</v>
      </c>
      <c r="AI27" s="50">
        <v>0</v>
      </c>
      <c r="AJ27" s="49">
        <v>3</v>
      </c>
      <c r="AK27" s="110">
        <v>8.823529411764707</v>
      </c>
      <c r="AL27" s="49">
        <v>0</v>
      </c>
      <c r="AM27" s="50">
        <v>0</v>
      </c>
      <c r="AN27" s="49">
        <v>14</v>
      </c>
      <c r="AO27" s="110">
        <v>41.1764705882353</v>
      </c>
      <c r="AP27" s="49">
        <v>34</v>
      </c>
    </row>
    <row r="28" spans="1:42" ht="15">
      <c r="A28" s="66" t="s">
        <v>247</v>
      </c>
      <c r="B28" s="66" t="s">
        <v>292</v>
      </c>
      <c r="C28" s="67" t="s">
        <v>774</v>
      </c>
      <c r="D28" s="68">
        <v>3</v>
      </c>
      <c r="E28" s="69"/>
      <c r="F28" s="70">
        <v>40</v>
      </c>
      <c r="G28" s="67"/>
      <c r="H28" s="71"/>
      <c r="I28" s="72"/>
      <c r="J28" s="72"/>
      <c r="K28" s="35" t="s">
        <v>65</v>
      </c>
      <c r="L28" s="80">
        <v>28</v>
      </c>
      <c r="M28" s="80"/>
      <c r="N28" s="74"/>
      <c r="O28" s="82" t="s">
        <v>776</v>
      </c>
      <c r="P28" s="82" t="s">
        <v>197</v>
      </c>
      <c r="Q28" s="82" t="s">
        <v>800</v>
      </c>
      <c r="R28" s="82" t="s">
        <v>247</v>
      </c>
      <c r="S28" s="82" t="s">
        <v>1325</v>
      </c>
      <c r="T28" s="84" t="str">
        <f>HYPERLINK("http://www.youtube.com/channel/UCSYFDGlCp7PRo2Rus8GgB9A")</f>
        <v>http://www.youtube.com/channel/UCSYFDGlCp7PRo2Rus8GgB9A</v>
      </c>
      <c r="U28" s="82"/>
      <c r="V28" s="82" t="s">
        <v>1829</v>
      </c>
      <c r="W28" s="84" t="str">
        <f>HYPERLINK("https://www.youtube.com/watch?v=Q-YZD2u1mO8")</f>
        <v>https://www.youtube.com/watch?v=Q-YZD2u1mO8</v>
      </c>
      <c r="X28" s="82" t="s">
        <v>1857</v>
      </c>
      <c r="Y28" s="82">
        <v>0</v>
      </c>
      <c r="Z28" s="86">
        <v>44982.92619212963</v>
      </c>
      <c r="AA28" s="86">
        <v>44982.92619212963</v>
      </c>
      <c r="AB28" s="82"/>
      <c r="AC28" s="82"/>
      <c r="AD28" s="82"/>
      <c r="AE28" s="82">
        <v>1</v>
      </c>
      <c r="AF28" s="81">
        <v>3</v>
      </c>
      <c r="AG28" s="81">
        <v>3</v>
      </c>
      <c r="AH28" s="49">
        <v>1</v>
      </c>
      <c r="AI28" s="110">
        <v>7.6923076923076925</v>
      </c>
      <c r="AJ28" s="49">
        <v>1</v>
      </c>
      <c r="AK28" s="110">
        <v>7.6923076923076925</v>
      </c>
      <c r="AL28" s="49">
        <v>0</v>
      </c>
      <c r="AM28" s="50">
        <v>0</v>
      </c>
      <c r="AN28" s="49">
        <v>3</v>
      </c>
      <c r="AO28" s="110">
        <v>23.076923076923077</v>
      </c>
      <c r="AP28" s="49">
        <v>13</v>
      </c>
    </row>
    <row r="29" spans="1:42" ht="15">
      <c r="A29" s="66" t="s">
        <v>248</v>
      </c>
      <c r="B29" s="66" t="s">
        <v>292</v>
      </c>
      <c r="C29" s="67" t="s">
        <v>774</v>
      </c>
      <c r="D29" s="68">
        <v>3</v>
      </c>
      <c r="E29" s="69"/>
      <c r="F29" s="70">
        <v>40</v>
      </c>
      <c r="G29" s="67"/>
      <c r="H29" s="71"/>
      <c r="I29" s="72"/>
      <c r="J29" s="72"/>
      <c r="K29" s="35" t="s">
        <v>65</v>
      </c>
      <c r="L29" s="80">
        <v>29</v>
      </c>
      <c r="M29" s="80"/>
      <c r="N29" s="74"/>
      <c r="O29" s="82" t="s">
        <v>776</v>
      </c>
      <c r="P29" s="82" t="s">
        <v>197</v>
      </c>
      <c r="Q29" s="82" t="s">
        <v>801</v>
      </c>
      <c r="R29" s="82" t="s">
        <v>248</v>
      </c>
      <c r="S29" s="82" t="s">
        <v>1326</v>
      </c>
      <c r="T29" s="84" t="str">
        <f>HYPERLINK("http://www.youtube.com/channel/UCcJoWrE7i5vtupMbTZ7KFSw")</f>
        <v>http://www.youtube.com/channel/UCcJoWrE7i5vtupMbTZ7KFSw</v>
      </c>
      <c r="U29" s="82"/>
      <c r="V29" s="82" t="s">
        <v>1829</v>
      </c>
      <c r="W29" s="84" t="str">
        <f>HYPERLINK("https://www.youtube.com/watch?v=Q-YZD2u1mO8")</f>
        <v>https://www.youtube.com/watch?v=Q-YZD2u1mO8</v>
      </c>
      <c r="X29" s="82" t="s">
        <v>1857</v>
      </c>
      <c r="Y29" s="82">
        <v>1</v>
      </c>
      <c r="Z29" s="86">
        <v>44983.50125</v>
      </c>
      <c r="AA29" s="86">
        <v>44983.50125</v>
      </c>
      <c r="AB29" s="82"/>
      <c r="AC29" s="82"/>
      <c r="AD29" s="82"/>
      <c r="AE29" s="82">
        <v>1</v>
      </c>
      <c r="AF29" s="81">
        <v>3</v>
      </c>
      <c r="AG29" s="81">
        <v>3</v>
      </c>
      <c r="AH29" s="49">
        <v>0</v>
      </c>
      <c r="AI29" s="50">
        <v>0</v>
      </c>
      <c r="AJ29" s="49">
        <v>0</v>
      </c>
      <c r="AK29" s="50">
        <v>0</v>
      </c>
      <c r="AL29" s="49">
        <v>0</v>
      </c>
      <c r="AM29" s="50">
        <v>0</v>
      </c>
      <c r="AN29" s="49">
        <v>1</v>
      </c>
      <c r="AO29" s="110">
        <v>33.333333333333336</v>
      </c>
      <c r="AP29" s="49">
        <v>3</v>
      </c>
    </row>
    <row r="30" spans="1:42" ht="15">
      <c r="A30" s="66" t="s">
        <v>249</v>
      </c>
      <c r="B30" s="66" t="s">
        <v>292</v>
      </c>
      <c r="C30" s="67" t="s">
        <v>774</v>
      </c>
      <c r="D30" s="68">
        <v>3</v>
      </c>
      <c r="E30" s="69"/>
      <c r="F30" s="70">
        <v>40</v>
      </c>
      <c r="G30" s="67"/>
      <c r="H30" s="71"/>
      <c r="I30" s="72"/>
      <c r="J30" s="72"/>
      <c r="K30" s="35" t="s">
        <v>65</v>
      </c>
      <c r="L30" s="80">
        <v>30</v>
      </c>
      <c r="M30" s="80"/>
      <c r="N30" s="74"/>
      <c r="O30" s="82" t="s">
        <v>776</v>
      </c>
      <c r="P30" s="82" t="s">
        <v>197</v>
      </c>
      <c r="Q30" s="82" t="s">
        <v>802</v>
      </c>
      <c r="R30" s="82" t="s">
        <v>249</v>
      </c>
      <c r="S30" s="82" t="s">
        <v>1327</v>
      </c>
      <c r="T30" s="84" t="str">
        <f>HYPERLINK("http://www.youtube.com/channel/UCueRQvl3kUXIQlDatz0bTlA")</f>
        <v>http://www.youtube.com/channel/UCueRQvl3kUXIQlDatz0bTlA</v>
      </c>
      <c r="U30" s="82"/>
      <c r="V30" s="82" t="s">
        <v>1829</v>
      </c>
      <c r="W30" s="84" t="str">
        <f>HYPERLINK("https://www.youtube.com/watch?v=Q-YZD2u1mO8")</f>
        <v>https://www.youtube.com/watch?v=Q-YZD2u1mO8</v>
      </c>
      <c r="X30" s="82" t="s">
        <v>1857</v>
      </c>
      <c r="Y30" s="82">
        <v>0</v>
      </c>
      <c r="Z30" s="86">
        <v>44986.738854166666</v>
      </c>
      <c r="AA30" s="86">
        <v>44986.738854166666</v>
      </c>
      <c r="AB30" s="82"/>
      <c r="AC30" s="82"/>
      <c r="AD30" s="82"/>
      <c r="AE30" s="82">
        <v>1</v>
      </c>
      <c r="AF30" s="81">
        <v>3</v>
      </c>
      <c r="AG30" s="81">
        <v>3</v>
      </c>
      <c r="AH30" s="49">
        <v>0</v>
      </c>
      <c r="AI30" s="50">
        <v>0</v>
      </c>
      <c r="AJ30" s="49">
        <v>0</v>
      </c>
      <c r="AK30" s="50">
        <v>0</v>
      </c>
      <c r="AL30" s="49">
        <v>0</v>
      </c>
      <c r="AM30" s="50">
        <v>0</v>
      </c>
      <c r="AN30" s="49">
        <v>1</v>
      </c>
      <c r="AO30" s="50">
        <v>50</v>
      </c>
      <c r="AP30" s="49">
        <v>2</v>
      </c>
    </row>
    <row r="31" spans="1:42" ht="15">
      <c r="A31" s="66" t="s">
        <v>250</v>
      </c>
      <c r="B31" s="66" t="s">
        <v>292</v>
      </c>
      <c r="C31" s="67" t="s">
        <v>774</v>
      </c>
      <c r="D31" s="68">
        <v>3</v>
      </c>
      <c r="E31" s="69"/>
      <c r="F31" s="70">
        <v>40</v>
      </c>
      <c r="G31" s="67"/>
      <c r="H31" s="71"/>
      <c r="I31" s="72"/>
      <c r="J31" s="72"/>
      <c r="K31" s="35" t="s">
        <v>65</v>
      </c>
      <c r="L31" s="80">
        <v>31</v>
      </c>
      <c r="M31" s="80"/>
      <c r="N31" s="74"/>
      <c r="O31" s="82" t="s">
        <v>776</v>
      </c>
      <c r="P31" s="82" t="s">
        <v>197</v>
      </c>
      <c r="Q31" s="82" t="s">
        <v>803</v>
      </c>
      <c r="R31" s="82" t="s">
        <v>250</v>
      </c>
      <c r="S31" s="82" t="s">
        <v>1328</v>
      </c>
      <c r="T31" s="84" t="str">
        <f>HYPERLINK("http://www.youtube.com/channel/UCKSOfRPNVFNNnwZQ8yy26Ww")</f>
        <v>http://www.youtube.com/channel/UCKSOfRPNVFNNnwZQ8yy26Ww</v>
      </c>
      <c r="U31" s="82"/>
      <c r="V31" s="82" t="s">
        <v>1829</v>
      </c>
      <c r="W31" s="84" t="str">
        <f>HYPERLINK("https://www.youtube.com/watch?v=Q-YZD2u1mO8")</f>
        <v>https://www.youtube.com/watch?v=Q-YZD2u1mO8</v>
      </c>
      <c r="X31" s="82" t="s">
        <v>1857</v>
      </c>
      <c r="Y31" s="82">
        <v>2</v>
      </c>
      <c r="Z31" s="86">
        <v>44986.75125</v>
      </c>
      <c r="AA31" s="86">
        <v>44986.75125</v>
      </c>
      <c r="AB31" s="82"/>
      <c r="AC31" s="82"/>
      <c r="AD31" s="82"/>
      <c r="AE31" s="82">
        <v>1</v>
      </c>
      <c r="AF31" s="81">
        <v>3</v>
      </c>
      <c r="AG31" s="81">
        <v>3</v>
      </c>
      <c r="AH31" s="49">
        <v>1</v>
      </c>
      <c r="AI31" s="110">
        <v>0.704225352112676</v>
      </c>
      <c r="AJ31" s="49">
        <v>2</v>
      </c>
      <c r="AK31" s="110">
        <v>1.408450704225352</v>
      </c>
      <c r="AL31" s="49">
        <v>0</v>
      </c>
      <c r="AM31" s="50">
        <v>0</v>
      </c>
      <c r="AN31" s="49">
        <v>64</v>
      </c>
      <c r="AO31" s="110">
        <v>45.070422535211264</v>
      </c>
      <c r="AP31" s="49">
        <v>142</v>
      </c>
    </row>
    <row r="32" spans="1:42" ht="15">
      <c r="A32" s="66" t="s">
        <v>251</v>
      </c>
      <c r="B32" s="66" t="s">
        <v>292</v>
      </c>
      <c r="C32" s="67" t="s">
        <v>4788</v>
      </c>
      <c r="D32" s="68">
        <v>10</v>
      </c>
      <c r="E32" s="69"/>
      <c r="F32" s="70">
        <v>15</v>
      </c>
      <c r="G32" s="67"/>
      <c r="H32" s="71"/>
      <c r="I32" s="72"/>
      <c r="J32" s="72"/>
      <c r="K32" s="35" t="s">
        <v>65</v>
      </c>
      <c r="L32" s="80">
        <v>32</v>
      </c>
      <c r="M32" s="80"/>
      <c r="N32" s="74"/>
      <c r="O32" s="82" t="s">
        <v>776</v>
      </c>
      <c r="P32" s="82" t="s">
        <v>197</v>
      </c>
      <c r="Q32" s="82" t="s">
        <v>804</v>
      </c>
      <c r="R32" s="82" t="s">
        <v>251</v>
      </c>
      <c r="S32" s="82" t="s">
        <v>1329</v>
      </c>
      <c r="T32" s="84" t="str">
        <f>HYPERLINK("http://www.youtube.com/channel/UCM3K5dhNZVewZSMkOIM-Obw")</f>
        <v>http://www.youtube.com/channel/UCM3K5dhNZVewZSMkOIM-Obw</v>
      </c>
      <c r="U32" s="82"/>
      <c r="V32" s="82" t="s">
        <v>1829</v>
      </c>
      <c r="W32" s="84" t="str">
        <f>HYPERLINK("https://www.youtube.com/watch?v=Q-YZD2u1mO8")</f>
        <v>https://www.youtube.com/watch?v=Q-YZD2u1mO8</v>
      </c>
      <c r="X32" s="82" t="s">
        <v>1857</v>
      </c>
      <c r="Y32" s="82">
        <v>0</v>
      </c>
      <c r="Z32" s="86">
        <v>44987.229375</v>
      </c>
      <c r="AA32" s="86">
        <v>44987.229375</v>
      </c>
      <c r="AB32" s="82"/>
      <c r="AC32" s="82"/>
      <c r="AD32" s="82"/>
      <c r="AE32" s="82">
        <v>4</v>
      </c>
      <c r="AF32" s="81">
        <v>3</v>
      </c>
      <c r="AG32" s="81">
        <v>3</v>
      </c>
      <c r="AH32" s="49">
        <v>0</v>
      </c>
      <c r="AI32" s="50">
        <v>0</v>
      </c>
      <c r="AJ32" s="49">
        <v>0</v>
      </c>
      <c r="AK32" s="50">
        <v>0</v>
      </c>
      <c r="AL32" s="49">
        <v>0</v>
      </c>
      <c r="AM32" s="50">
        <v>0</v>
      </c>
      <c r="AN32" s="49">
        <v>2</v>
      </c>
      <c r="AO32" s="110">
        <v>28.571428571428573</v>
      </c>
      <c r="AP32" s="49">
        <v>7</v>
      </c>
    </row>
    <row r="33" spans="1:42" ht="15">
      <c r="A33" s="66" t="s">
        <v>252</v>
      </c>
      <c r="B33" s="66" t="s">
        <v>292</v>
      </c>
      <c r="C33" s="67" t="s">
        <v>774</v>
      </c>
      <c r="D33" s="68">
        <v>3</v>
      </c>
      <c r="E33" s="69"/>
      <c r="F33" s="70">
        <v>40</v>
      </c>
      <c r="G33" s="67"/>
      <c r="H33" s="71"/>
      <c r="I33" s="72"/>
      <c r="J33" s="72"/>
      <c r="K33" s="35" t="s">
        <v>65</v>
      </c>
      <c r="L33" s="80">
        <v>33</v>
      </c>
      <c r="M33" s="80"/>
      <c r="N33" s="74"/>
      <c r="O33" s="82" t="s">
        <v>776</v>
      </c>
      <c r="P33" s="82" t="s">
        <v>197</v>
      </c>
      <c r="Q33" s="82" t="s">
        <v>805</v>
      </c>
      <c r="R33" s="82" t="s">
        <v>252</v>
      </c>
      <c r="S33" s="82" t="s">
        <v>1330</v>
      </c>
      <c r="T33" s="84" t="str">
        <f>HYPERLINK("http://www.youtube.com/channel/UCDVI8Mu_DP44C1H7oNNGByQ")</f>
        <v>http://www.youtube.com/channel/UCDVI8Mu_DP44C1H7oNNGByQ</v>
      </c>
      <c r="U33" s="82"/>
      <c r="V33" s="82" t="s">
        <v>1829</v>
      </c>
      <c r="W33" s="84" t="str">
        <f>HYPERLINK("https://www.youtube.com/watch?v=Q-YZD2u1mO8")</f>
        <v>https://www.youtube.com/watch?v=Q-YZD2u1mO8</v>
      </c>
      <c r="X33" s="82" t="s">
        <v>1857</v>
      </c>
      <c r="Y33" s="82">
        <v>0</v>
      </c>
      <c r="Z33" s="86">
        <v>44987.23888888889</v>
      </c>
      <c r="AA33" s="86">
        <v>44987.244259259256</v>
      </c>
      <c r="AB33" s="82"/>
      <c r="AC33" s="82"/>
      <c r="AD33" s="82"/>
      <c r="AE33" s="82">
        <v>1</v>
      </c>
      <c r="AF33" s="81">
        <v>3</v>
      </c>
      <c r="AG33" s="81">
        <v>3</v>
      </c>
      <c r="AH33" s="49">
        <v>3</v>
      </c>
      <c r="AI33" s="110">
        <v>1.3274336283185841</v>
      </c>
      <c r="AJ33" s="49">
        <v>7</v>
      </c>
      <c r="AK33" s="110">
        <v>3.0973451327433628</v>
      </c>
      <c r="AL33" s="49">
        <v>0</v>
      </c>
      <c r="AM33" s="50">
        <v>0</v>
      </c>
      <c r="AN33" s="49">
        <v>68</v>
      </c>
      <c r="AO33" s="110">
        <v>30.088495575221238</v>
      </c>
      <c r="AP33" s="49">
        <v>226</v>
      </c>
    </row>
    <row r="34" spans="1:42" ht="15">
      <c r="A34" s="66" t="s">
        <v>253</v>
      </c>
      <c r="B34" s="66" t="s">
        <v>292</v>
      </c>
      <c r="C34" s="67" t="s">
        <v>4788</v>
      </c>
      <c r="D34" s="68">
        <v>10</v>
      </c>
      <c r="E34" s="69"/>
      <c r="F34" s="70">
        <v>15</v>
      </c>
      <c r="G34" s="67"/>
      <c r="H34" s="71"/>
      <c r="I34" s="72"/>
      <c r="J34" s="72"/>
      <c r="K34" s="35" t="s">
        <v>65</v>
      </c>
      <c r="L34" s="80">
        <v>34</v>
      </c>
      <c r="M34" s="80"/>
      <c r="N34" s="74"/>
      <c r="O34" s="82" t="s">
        <v>776</v>
      </c>
      <c r="P34" s="82" t="s">
        <v>197</v>
      </c>
      <c r="Q34" s="82" t="s">
        <v>806</v>
      </c>
      <c r="R34" s="82" t="s">
        <v>253</v>
      </c>
      <c r="S34" s="82" t="s">
        <v>1331</v>
      </c>
      <c r="T34" s="84" t="str">
        <f>HYPERLINK("http://www.youtube.com/channel/UCYQzjLqyfdbgl-f86cDs55A")</f>
        <v>http://www.youtube.com/channel/UCYQzjLqyfdbgl-f86cDs55A</v>
      </c>
      <c r="U34" s="82"/>
      <c r="V34" s="82" t="s">
        <v>1829</v>
      </c>
      <c r="W34" s="84" t="str">
        <f>HYPERLINK("https://www.youtube.com/watch?v=Q-YZD2u1mO8")</f>
        <v>https://www.youtube.com/watch?v=Q-YZD2u1mO8</v>
      </c>
      <c r="X34" s="82" t="s">
        <v>1857</v>
      </c>
      <c r="Y34" s="82">
        <v>0</v>
      </c>
      <c r="Z34" s="86">
        <v>44987.69144675926</v>
      </c>
      <c r="AA34" s="86">
        <v>44987.69144675926</v>
      </c>
      <c r="AB34" s="82"/>
      <c r="AC34" s="82"/>
      <c r="AD34" s="82"/>
      <c r="AE34" s="82">
        <v>4</v>
      </c>
      <c r="AF34" s="81">
        <v>3</v>
      </c>
      <c r="AG34" s="81">
        <v>3</v>
      </c>
      <c r="AH34" s="49">
        <v>1</v>
      </c>
      <c r="AI34" s="110">
        <v>1.7241379310344827</v>
      </c>
      <c r="AJ34" s="49">
        <v>0</v>
      </c>
      <c r="AK34" s="50">
        <v>0</v>
      </c>
      <c r="AL34" s="49">
        <v>0</v>
      </c>
      <c r="AM34" s="50">
        <v>0</v>
      </c>
      <c r="AN34" s="49">
        <v>16</v>
      </c>
      <c r="AO34" s="110">
        <v>27.586206896551722</v>
      </c>
      <c r="AP34" s="49">
        <v>58</v>
      </c>
    </row>
    <row r="35" spans="1:42" ht="15">
      <c r="A35" s="66" t="s">
        <v>254</v>
      </c>
      <c r="B35" s="66" t="s">
        <v>292</v>
      </c>
      <c r="C35" s="67" t="s">
        <v>4788</v>
      </c>
      <c r="D35" s="68">
        <v>10</v>
      </c>
      <c r="E35" s="69"/>
      <c r="F35" s="70">
        <v>15</v>
      </c>
      <c r="G35" s="67"/>
      <c r="H35" s="71"/>
      <c r="I35" s="72"/>
      <c r="J35" s="72"/>
      <c r="K35" s="35" t="s">
        <v>65</v>
      </c>
      <c r="L35" s="80">
        <v>35</v>
      </c>
      <c r="M35" s="80"/>
      <c r="N35" s="74"/>
      <c r="O35" s="82" t="s">
        <v>776</v>
      </c>
      <c r="P35" s="82" t="s">
        <v>197</v>
      </c>
      <c r="Q35" s="82" t="s">
        <v>807</v>
      </c>
      <c r="R35" s="82" t="s">
        <v>254</v>
      </c>
      <c r="S35" s="82" t="s">
        <v>1332</v>
      </c>
      <c r="T35" s="84" t="str">
        <f>HYPERLINK("http://www.youtube.com/channel/UCVYh_gqHZVfmKQajmZUBoEA")</f>
        <v>http://www.youtube.com/channel/UCVYh_gqHZVfmKQajmZUBoEA</v>
      </c>
      <c r="U35" s="82"/>
      <c r="V35" s="82" t="s">
        <v>1829</v>
      </c>
      <c r="W35" s="84" t="str">
        <f>HYPERLINK("https://www.youtube.com/watch?v=Q-YZD2u1mO8")</f>
        <v>https://www.youtube.com/watch?v=Q-YZD2u1mO8</v>
      </c>
      <c r="X35" s="82" t="s">
        <v>1857</v>
      </c>
      <c r="Y35" s="82">
        <v>2</v>
      </c>
      <c r="Z35" s="86">
        <v>44994.522881944446</v>
      </c>
      <c r="AA35" s="86">
        <v>44994.522881944446</v>
      </c>
      <c r="AB35" s="82"/>
      <c r="AC35" s="82"/>
      <c r="AD35" s="82"/>
      <c r="AE35" s="82">
        <v>4</v>
      </c>
      <c r="AF35" s="81">
        <v>3</v>
      </c>
      <c r="AG35" s="81">
        <v>3</v>
      </c>
      <c r="AH35" s="49">
        <v>3</v>
      </c>
      <c r="AI35" s="110">
        <v>3.3707865168539324</v>
      </c>
      <c r="AJ35" s="49">
        <v>4</v>
      </c>
      <c r="AK35" s="110">
        <v>4.49438202247191</v>
      </c>
      <c r="AL35" s="49">
        <v>0</v>
      </c>
      <c r="AM35" s="50">
        <v>0</v>
      </c>
      <c r="AN35" s="49">
        <v>24</v>
      </c>
      <c r="AO35" s="110">
        <v>26.96629213483146</v>
      </c>
      <c r="AP35" s="49">
        <v>89</v>
      </c>
    </row>
    <row r="36" spans="1:42" ht="15">
      <c r="A36" s="66" t="s">
        <v>255</v>
      </c>
      <c r="B36" s="66" t="s">
        <v>292</v>
      </c>
      <c r="C36" s="67" t="s">
        <v>4790</v>
      </c>
      <c r="D36" s="68">
        <v>10</v>
      </c>
      <c r="E36" s="69"/>
      <c r="F36" s="70">
        <v>15</v>
      </c>
      <c r="G36" s="67"/>
      <c r="H36" s="71"/>
      <c r="I36" s="72"/>
      <c r="J36" s="72"/>
      <c r="K36" s="35" t="s">
        <v>65</v>
      </c>
      <c r="L36" s="80">
        <v>36</v>
      </c>
      <c r="M36" s="80"/>
      <c r="N36" s="74"/>
      <c r="O36" s="82" t="s">
        <v>776</v>
      </c>
      <c r="P36" s="82" t="s">
        <v>197</v>
      </c>
      <c r="Q36" s="82" t="s">
        <v>808</v>
      </c>
      <c r="R36" s="82" t="s">
        <v>255</v>
      </c>
      <c r="S36" s="82" t="s">
        <v>1333</v>
      </c>
      <c r="T36" s="84" t="str">
        <f>HYPERLINK("http://www.youtube.com/channel/UCf5h3N-zwGa833s_n8W4p8Q")</f>
        <v>http://www.youtube.com/channel/UCf5h3N-zwGa833s_n8W4p8Q</v>
      </c>
      <c r="U36" s="82"/>
      <c r="V36" s="82" t="s">
        <v>1829</v>
      </c>
      <c r="W36" s="84" t="str">
        <f>HYPERLINK("https://www.youtube.com/watch?v=Q-YZD2u1mO8")</f>
        <v>https://www.youtube.com/watch?v=Q-YZD2u1mO8</v>
      </c>
      <c r="X36" s="82" t="s">
        <v>1857</v>
      </c>
      <c r="Y36" s="82">
        <v>0</v>
      </c>
      <c r="Z36" s="86">
        <v>44995.24421296296</v>
      </c>
      <c r="AA36" s="86">
        <v>44995.24421296296</v>
      </c>
      <c r="AB36" s="82"/>
      <c r="AC36" s="82"/>
      <c r="AD36" s="82"/>
      <c r="AE36" s="82">
        <v>49</v>
      </c>
      <c r="AF36" s="81">
        <v>3</v>
      </c>
      <c r="AG36" s="81">
        <v>3</v>
      </c>
      <c r="AH36" s="49">
        <v>3</v>
      </c>
      <c r="AI36" s="110">
        <v>2.6548672566371683</v>
      </c>
      <c r="AJ36" s="49">
        <v>6</v>
      </c>
      <c r="AK36" s="110">
        <v>5.3097345132743365</v>
      </c>
      <c r="AL36" s="49">
        <v>0</v>
      </c>
      <c r="AM36" s="50">
        <v>0</v>
      </c>
      <c r="AN36" s="49">
        <v>33</v>
      </c>
      <c r="AO36" s="110">
        <v>29.20353982300885</v>
      </c>
      <c r="AP36" s="49">
        <v>113</v>
      </c>
    </row>
    <row r="37" spans="1:42" ht="15">
      <c r="A37" s="66" t="s">
        <v>256</v>
      </c>
      <c r="B37" s="66" t="s">
        <v>292</v>
      </c>
      <c r="C37" s="67" t="s">
        <v>774</v>
      </c>
      <c r="D37" s="68">
        <v>3</v>
      </c>
      <c r="E37" s="69"/>
      <c r="F37" s="70">
        <v>40</v>
      </c>
      <c r="G37" s="67"/>
      <c r="H37" s="71"/>
      <c r="I37" s="72"/>
      <c r="J37" s="72"/>
      <c r="K37" s="35" t="s">
        <v>65</v>
      </c>
      <c r="L37" s="80">
        <v>37</v>
      </c>
      <c r="M37" s="80"/>
      <c r="N37" s="74"/>
      <c r="O37" s="82" t="s">
        <v>776</v>
      </c>
      <c r="P37" s="82" t="s">
        <v>197</v>
      </c>
      <c r="Q37" s="82" t="s">
        <v>809</v>
      </c>
      <c r="R37" s="82" t="s">
        <v>256</v>
      </c>
      <c r="S37" s="82" t="s">
        <v>1334</v>
      </c>
      <c r="T37" s="84" t="str">
        <f>HYPERLINK("http://www.youtube.com/channel/UCmyFx09lsrSah2z_EkyEZMw")</f>
        <v>http://www.youtube.com/channel/UCmyFx09lsrSah2z_EkyEZMw</v>
      </c>
      <c r="U37" s="82"/>
      <c r="V37" s="82" t="s">
        <v>1829</v>
      </c>
      <c r="W37" s="84" t="str">
        <f>HYPERLINK("https://www.youtube.com/watch?v=Q-YZD2u1mO8")</f>
        <v>https://www.youtube.com/watch?v=Q-YZD2u1mO8</v>
      </c>
      <c r="X37" s="82" t="s">
        <v>1857</v>
      </c>
      <c r="Y37" s="82">
        <v>0</v>
      </c>
      <c r="Z37" s="86">
        <v>44995.38203703704</v>
      </c>
      <c r="AA37" s="86">
        <v>44995.38203703704</v>
      </c>
      <c r="AB37" s="82"/>
      <c r="AC37" s="82"/>
      <c r="AD37" s="82"/>
      <c r="AE37" s="82">
        <v>1</v>
      </c>
      <c r="AF37" s="81">
        <v>3</v>
      </c>
      <c r="AG37" s="81">
        <v>3</v>
      </c>
      <c r="AH37" s="49">
        <v>0</v>
      </c>
      <c r="AI37" s="50">
        <v>0</v>
      </c>
      <c r="AJ37" s="49">
        <v>1</v>
      </c>
      <c r="AK37" s="50">
        <v>25</v>
      </c>
      <c r="AL37" s="49">
        <v>0</v>
      </c>
      <c r="AM37" s="50">
        <v>0</v>
      </c>
      <c r="AN37" s="49">
        <v>2</v>
      </c>
      <c r="AO37" s="50">
        <v>50</v>
      </c>
      <c r="AP37" s="49">
        <v>4</v>
      </c>
    </row>
    <row r="38" spans="1:42" ht="15">
      <c r="A38" s="66" t="s">
        <v>257</v>
      </c>
      <c r="B38" s="66" t="s">
        <v>292</v>
      </c>
      <c r="C38" s="67" t="s">
        <v>774</v>
      </c>
      <c r="D38" s="68">
        <v>3</v>
      </c>
      <c r="E38" s="69"/>
      <c r="F38" s="70">
        <v>40</v>
      </c>
      <c r="G38" s="67"/>
      <c r="H38" s="71"/>
      <c r="I38" s="72"/>
      <c r="J38" s="72"/>
      <c r="K38" s="35" t="s">
        <v>65</v>
      </c>
      <c r="L38" s="80">
        <v>38</v>
      </c>
      <c r="M38" s="80"/>
      <c r="N38" s="74"/>
      <c r="O38" s="82" t="s">
        <v>776</v>
      </c>
      <c r="P38" s="82" t="s">
        <v>197</v>
      </c>
      <c r="Q38" s="82" t="s">
        <v>810</v>
      </c>
      <c r="R38" s="82" t="s">
        <v>257</v>
      </c>
      <c r="S38" s="82" t="s">
        <v>1335</v>
      </c>
      <c r="T38" s="84" t="str">
        <f>HYPERLINK("http://www.youtube.com/channel/UCZdbdQpslVEy0Uzibu-pNDQ")</f>
        <v>http://www.youtube.com/channel/UCZdbdQpslVEy0Uzibu-pNDQ</v>
      </c>
      <c r="U38" s="82"/>
      <c r="V38" s="82" t="s">
        <v>1829</v>
      </c>
      <c r="W38" s="84" t="str">
        <f>HYPERLINK("https://www.youtube.com/watch?v=Q-YZD2u1mO8")</f>
        <v>https://www.youtube.com/watch?v=Q-YZD2u1mO8</v>
      </c>
      <c r="X38" s="82" t="s">
        <v>1857</v>
      </c>
      <c r="Y38" s="82">
        <v>0</v>
      </c>
      <c r="Z38" s="86">
        <v>44995.65221064815</v>
      </c>
      <c r="AA38" s="86">
        <v>44995.65221064815</v>
      </c>
      <c r="AB38" s="82"/>
      <c r="AC38" s="82"/>
      <c r="AD38" s="82"/>
      <c r="AE38" s="82">
        <v>1</v>
      </c>
      <c r="AF38" s="81">
        <v>3</v>
      </c>
      <c r="AG38" s="81">
        <v>3</v>
      </c>
      <c r="AH38" s="49">
        <v>1</v>
      </c>
      <c r="AI38" s="50">
        <v>2.5</v>
      </c>
      <c r="AJ38" s="49">
        <v>3</v>
      </c>
      <c r="AK38" s="50">
        <v>7.5</v>
      </c>
      <c r="AL38" s="49">
        <v>0</v>
      </c>
      <c r="AM38" s="50">
        <v>0</v>
      </c>
      <c r="AN38" s="49">
        <v>8</v>
      </c>
      <c r="AO38" s="50">
        <v>20</v>
      </c>
      <c r="AP38" s="49">
        <v>40</v>
      </c>
    </row>
    <row r="39" spans="1:42" ht="15">
      <c r="A39" s="66" t="s">
        <v>258</v>
      </c>
      <c r="B39" s="66" t="s">
        <v>292</v>
      </c>
      <c r="C39" s="67" t="s">
        <v>774</v>
      </c>
      <c r="D39" s="68">
        <v>3</v>
      </c>
      <c r="E39" s="69"/>
      <c r="F39" s="70">
        <v>40</v>
      </c>
      <c r="G39" s="67"/>
      <c r="H39" s="71"/>
      <c r="I39" s="72"/>
      <c r="J39" s="72"/>
      <c r="K39" s="35" t="s">
        <v>65</v>
      </c>
      <c r="L39" s="80">
        <v>39</v>
      </c>
      <c r="M39" s="80"/>
      <c r="N39" s="74"/>
      <c r="O39" s="82" t="s">
        <v>776</v>
      </c>
      <c r="P39" s="82" t="s">
        <v>197</v>
      </c>
      <c r="Q39" s="82" t="s">
        <v>811</v>
      </c>
      <c r="R39" s="82" t="s">
        <v>258</v>
      </c>
      <c r="S39" s="82" t="s">
        <v>1336</v>
      </c>
      <c r="T39" s="84" t="str">
        <f>HYPERLINK("http://www.youtube.com/channel/UC1bikyZsfnqh-YJGhxelxfg")</f>
        <v>http://www.youtube.com/channel/UC1bikyZsfnqh-YJGhxelxfg</v>
      </c>
      <c r="U39" s="82"/>
      <c r="V39" s="82" t="s">
        <v>1829</v>
      </c>
      <c r="W39" s="84" t="str">
        <f>HYPERLINK("https://www.youtube.com/watch?v=Q-YZD2u1mO8")</f>
        <v>https://www.youtube.com/watch?v=Q-YZD2u1mO8</v>
      </c>
      <c r="X39" s="82" t="s">
        <v>1857</v>
      </c>
      <c r="Y39" s="82">
        <v>0</v>
      </c>
      <c r="Z39" s="86">
        <v>44995.885300925926</v>
      </c>
      <c r="AA39" s="86">
        <v>44995.885300925926</v>
      </c>
      <c r="AB39" s="82"/>
      <c r="AC39" s="82"/>
      <c r="AD39" s="82"/>
      <c r="AE39" s="82">
        <v>1</v>
      </c>
      <c r="AF39" s="81">
        <v>3</v>
      </c>
      <c r="AG39" s="81">
        <v>3</v>
      </c>
      <c r="AH39" s="49">
        <v>3</v>
      </c>
      <c r="AI39" s="110">
        <v>3.7037037037037037</v>
      </c>
      <c r="AJ39" s="49">
        <v>5</v>
      </c>
      <c r="AK39" s="110">
        <v>6.172839506172839</v>
      </c>
      <c r="AL39" s="49">
        <v>0</v>
      </c>
      <c r="AM39" s="50">
        <v>0</v>
      </c>
      <c r="AN39" s="49">
        <v>27</v>
      </c>
      <c r="AO39" s="110">
        <v>33.333333333333336</v>
      </c>
      <c r="AP39" s="49">
        <v>81</v>
      </c>
    </row>
    <row r="40" spans="1:42" ht="15">
      <c r="A40" s="66" t="s">
        <v>259</v>
      </c>
      <c r="B40" s="66" t="s">
        <v>292</v>
      </c>
      <c r="C40" s="67" t="s">
        <v>774</v>
      </c>
      <c r="D40" s="68">
        <v>3</v>
      </c>
      <c r="E40" s="69"/>
      <c r="F40" s="70">
        <v>40</v>
      </c>
      <c r="G40" s="67"/>
      <c r="H40" s="71"/>
      <c r="I40" s="72"/>
      <c r="J40" s="72"/>
      <c r="K40" s="35" t="s">
        <v>65</v>
      </c>
      <c r="L40" s="80">
        <v>40</v>
      </c>
      <c r="M40" s="80"/>
      <c r="N40" s="74"/>
      <c r="O40" s="82" t="s">
        <v>776</v>
      </c>
      <c r="P40" s="82" t="s">
        <v>197</v>
      </c>
      <c r="Q40" s="82" t="s">
        <v>812</v>
      </c>
      <c r="R40" s="82" t="s">
        <v>259</v>
      </c>
      <c r="S40" s="82" t="s">
        <v>1337</v>
      </c>
      <c r="T40" s="84" t="str">
        <f>HYPERLINK("http://www.youtube.com/channel/UCbjPfNmN2iP2cFaj2cnL3MQ")</f>
        <v>http://www.youtube.com/channel/UCbjPfNmN2iP2cFaj2cnL3MQ</v>
      </c>
      <c r="U40" s="82"/>
      <c r="V40" s="82" t="s">
        <v>1829</v>
      </c>
      <c r="W40" s="84" t="str">
        <f>HYPERLINK("https://www.youtube.com/watch?v=Q-YZD2u1mO8")</f>
        <v>https://www.youtube.com/watch?v=Q-YZD2u1mO8</v>
      </c>
      <c r="X40" s="82" t="s">
        <v>1857</v>
      </c>
      <c r="Y40" s="82">
        <v>0</v>
      </c>
      <c r="Z40" s="86">
        <v>44995.927777777775</v>
      </c>
      <c r="AA40" s="86">
        <v>44995.927777777775</v>
      </c>
      <c r="AB40" s="82"/>
      <c r="AC40" s="82"/>
      <c r="AD40" s="82"/>
      <c r="AE40" s="82">
        <v>1</v>
      </c>
      <c r="AF40" s="81">
        <v>3</v>
      </c>
      <c r="AG40" s="81">
        <v>3</v>
      </c>
      <c r="AH40" s="49">
        <v>0</v>
      </c>
      <c r="AI40" s="50">
        <v>0</v>
      </c>
      <c r="AJ40" s="49">
        <v>1</v>
      </c>
      <c r="AK40" s="50">
        <v>25</v>
      </c>
      <c r="AL40" s="49">
        <v>0</v>
      </c>
      <c r="AM40" s="50">
        <v>0</v>
      </c>
      <c r="AN40" s="49">
        <v>1</v>
      </c>
      <c r="AO40" s="50">
        <v>25</v>
      </c>
      <c r="AP40" s="49">
        <v>4</v>
      </c>
    </row>
    <row r="41" spans="1:42" ht="15">
      <c r="A41" s="66" t="s">
        <v>260</v>
      </c>
      <c r="B41" s="66" t="s">
        <v>292</v>
      </c>
      <c r="C41" s="67" t="s">
        <v>4791</v>
      </c>
      <c r="D41" s="68">
        <v>10</v>
      </c>
      <c r="E41" s="69"/>
      <c r="F41" s="70">
        <v>15</v>
      </c>
      <c r="G41" s="67"/>
      <c r="H41" s="71"/>
      <c r="I41" s="72"/>
      <c r="J41" s="72"/>
      <c r="K41" s="35" t="s">
        <v>65</v>
      </c>
      <c r="L41" s="80">
        <v>41</v>
      </c>
      <c r="M41" s="80"/>
      <c r="N41" s="74"/>
      <c r="O41" s="82" t="s">
        <v>776</v>
      </c>
      <c r="P41" s="82" t="s">
        <v>197</v>
      </c>
      <c r="Q41" s="82" t="s">
        <v>813</v>
      </c>
      <c r="R41" s="82" t="s">
        <v>260</v>
      </c>
      <c r="S41" s="82" t="s">
        <v>1338</v>
      </c>
      <c r="T41" s="84" t="str">
        <f>HYPERLINK("http://www.youtube.com/channel/UCKQy6753tWI7LAigt5xt4HA")</f>
        <v>http://www.youtube.com/channel/UCKQy6753tWI7LAigt5xt4HA</v>
      </c>
      <c r="U41" s="82"/>
      <c r="V41" s="82" t="s">
        <v>1829</v>
      </c>
      <c r="W41" s="84" t="str">
        <f>HYPERLINK("https://www.youtube.com/watch?v=Q-YZD2u1mO8")</f>
        <v>https://www.youtube.com/watch?v=Q-YZD2u1mO8</v>
      </c>
      <c r="X41" s="82" t="s">
        <v>1857</v>
      </c>
      <c r="Y41" s="82">
        <v>0</v>
      </c>
      <c r="Z41" s="86">
        <v>44996.831412037034</v>
      </c>
      <c r="AA41" s="86">
        <v>44996.831412037034</v>
      </c>
      <c r="AB41" s="82"/>
      <c r="AC41" s="82"/>
      <c r="AD41" s="82"/>
      <c r="AE41" s="82">
        <v>16</v>
      </c>
      <c r="AF41" s="81">
        <v>3</v>
      </c>
      <c r="AG41" s="81">
        <v>3</v>
      </c>
      <c r="AH41" s="49">
        <v>0</v>
      </c>
      <c r="AI41" s="50">
        <v>0</v>
      </c>
      <c r="AJ41" s="49">
        <v>0</v>
      </c>
      <c r="AK41" s="50">
        <v>0</v>
      </c>
      <c r="AL41" s="49">
        <v>0</v>
      </c>
      <c r="AM41" s="50">
        <v>0</v>
      </c>
      <c r="AN41" s="49">
        <v>21</v>
      </c>
      <c r="AO41" s="110">
        <v>55.26315789473684</v>
      </c>
      <c r="AP41" s="49">
        <v>38</v>
      </c>
    </row>
    <row r="42" spans="1:42" ht="15">
      <c r="A42" s="66" t="s">
        <v>261</v>
      </c>
      <c r="B42" s="66" t="s">
        <v>292</v>
      </c>
      <c r="C42" s="67" t="s">
        <v>774</v>
      </c>
      <c r="D42" s="68">
        <v>3</v>
      </c>
      <c r="E42" s="69"/>
      <c r="F42" s="70">
        <v>40</v>
      </c>
      <c r="G42" s="67"/>
      <c r="H42" s="71"/>
      <c r="I42" s="72"/>
      <c r="J42" s="72"/>
      <c r="K42" s="35" t="s">
        <v>65</v>
      </c>
      <c r="L42" s="80">
        <v>42</v>
      </c>
      <c r="M42" s="80"/>
      <c r="N42" s="74"/>
      <c r="O42" s="82" t="s">
        <v>776</v>
      </c>
      <c r="P42" s="82" t="s">
        <v>197</v>
      </c>
      <c r="Q42" s="82" t="s">
        <v>814</v>
      </c>
      <c r="R42" s="82" t="s">
        <v>261</v>
      </c>
      <c r="S42" s="82" t="s">
        <v>1339</v>
      </c>
      <c r="T42" s="84" t="str">
        <f>HYPERLINK("http://www.youtube.com/channel/UCpioEt1X_ZKOfTGhcexjZTA")</f>
        <v>http://www.youtube.com/channel/UCpioEt1X_ZKOfTGhcexjZTA</v>
      </c>
      <c r="U42" s="82"/>
      <c r="V42" s="82" t="s">
        <v>1829</v>
      </c>
      <c r="W42" s="84" t="str">
        <f>HYPERLINK("https://www.youtube.com/watch?v=Q-YZD2u1mO8")</f>
        <v>https://www.youtube.com/watch?v=Q-YZD2u1mO8</v>
      </c>
      <c r="X42" s="82" t="s">
        <v>1857</v>
      </c>
      <c r="Y42" s="82">
        <v>0</v>
      </c>
      <c r="Z42" s="86">
        <v>44997.05081018519</v>
      </c>
      <c r="AA42" s="86">
        <v>44997.05081018519</v>
      </c>
      <c r="AB42" s="82"/>
      <c r="AC42" s="82"/>
      <c r="AD42" s="82"/>
      <c r="AE42" s="82">
        <v>1</v>
      </c>
      <c r="AF42" s="81">
        <v>3</v>
      </c>
      <c r="AG42" s="81">
        <v>3</v>
      </c>
      <c r="AH42" s="49">
        <v>0</v>
      </c>
      <c r="AI42" s="50">
        <v>0</v>
      </c>
      <c r="AJ42" s="49">
        <v>0</v>
      </c>
      <c r="AK42" s="50">
        <v>0</v>
      </c>
      <c r="AL42" s="49">
        <v>0</v>
      </c>
      <c r="AM42" s="50">
        <v>0</v>
      </c>
      <c r="AN42" s="49">
        <v>12</v>
      </c>
      <c r="AO42" s="110">
        <v>38.70967741935484</v>
      </c>
      <c r="AP42" s="49">
        <v>31</v>
      </c>
    </row>
    <row r="43" spans="1:42" ht="15">
      <c r="A43" s="66" t="s">
        <v>262</v>
      </c>
      <c r="B43" s="66" t="s">
        <v>292</v>
      </c>
      <c r="C43" s="67" t="s">
        <v>774</v>
      </c>
      <c r="D43" s="68">
        <v>3</v>
      </c>
      <c r="E43" s="69"/>
      <c r="F43" s="70">
        <v>40</v>
      </c>
      <c r="G43" s="67"/>
      <c r="H43" s="71"/>
      <c r="I43" s="72"/>
      <c r="J43" s="72"/>
      <c r="K43" s="35" t="s">
        <v>65</v>
      </c>
      <c r="L43" s="80">
        <v>43</v>
      </c>
      <c r="M43" s="80"/>
      <c r="N43" s="74"/>
      <c r="O43" s="82" t="s">
        <v>776</v>
      </c>
      <c r="P43" s="82" t="s">
        <v>197</v>
      </c>
      <c r="Q43" s="82" t="s">
        <v>815</v>
      </c>
      <c r="R43" s="82" t="s">
        <v>262</v>
      </c>
      <c r="S43" s="82" t="s">
        <v>1340</v>
      </c>
      <c r="T43" s="84" t="str">
        <f>HYPERLINK("http://www.youtube.com/channel/UCTMmj0ljprXNyUDcm4D2IKA")</f>
        <v>http://www.youtube.com/channel/UCTMmj0ljprXNyUDcm4D2IKA</v>
      </c>
      <c r="U43" s="82"/>
      <c r="V43" s="82" t="s">
        <v>1829</v>
      </c>
      <c r="W43" s="84" t="str">
        <f>HYPERLINK("https://www.youtube.com/watch?v=Q-YZD2u1mO8")</f>
        <v>https://www.youtube.com/watch?v=Q-YZD2u1mO8</v>
      </c>
      <c r="X43" s="82" t="s">
        <v>1857</v>
      </c>
      <c r="Y43" s="82">
        <v>0</v>
      </c>
      <c r="Z43" s="86">
        <v>44997.175578703704</v>
      </c>
      <c r="AA43" s="86">
        <v>44997.175578703704</v>
      </c>
      <c r="AB43" s="82"/>
      <c r="AC43" s="82"/>
      <c r="AD43" s="82"/>
      <c r="AE43" s="82">
        <v>1</v>
      </c>
      <c r="AF43" s="81">
        <v>3</v>
      </c>
      <c r="AG43" s="81">
        <v>3</v>
      </c>
      <c r="AH43" s="49">
        <v>8</v>
      </c>
      <c r="AI43" s="110">
        <v>4.060913705583756</v>
      </c>
      <c r="AJ43" s="49">
        <v>5</v>
      </c>
      <c r="AK43" s="110">
        <v>2.5380710659898478</v>
      </c>
      <c r="AL43" s="49">
        <v>0</v>
      </c>
      <c r="AM43" s="50">
        <v>0</v>
      </c>
      <c r="AN43" s="49">
        <v>68</v>
      </c>
      <c r="AO43" s="110">
        <v>34.51776649746193</v>
      </c>
      <c r="AP43" s="49">
        <v>197</v>
      </c>
    </row>
    <row r="44" spans="1:42" ht="15">
      <c r="A44" s="66" t="s">
        <v>263</v>
      </c>
      <c r="B44" s="66" t="s">
        <v>292</v>
      </c>
      <c r="C44" s="67" t="s">
        <v>4792</v>
      </c>
      <c r="D44" s="68">
        <v>10</v>
      </c>
      <c r="E44" s="69"/>
      <c r="F44" s="70">
        <v>15</v>
      </c>
      <c r="G44" s="67"/>
      <c r="H44" s="71"/>
      <c r="I44" s="72"/>
      <c r="J44" s="72"/>
      <c r="K44" s="35" t="s">
        <v>65</v>
      </c>
      <c r="L44" s="80">
        <v>44</v>
      </c>
      <c r="M44" s="80"/>
      <c r="N44" s="74"/>
      <c r="O44" s="82" t="s">
        <v>776</v>
      </c>
      <c r="P44" s="82" t="s">
        <v>197</v>
      </c>
      <c r="Q44" s="82" t="s">
        <v>816</v>
      </c>
      <c r="R44" s="82" t="s">
        <v>263</v>
      </c>
      <c r="S44" s="82" t="s">
        <v>1341</v>
      </c>
      <c r="T44" s="84" t="str">
        <f>HYPERLINK("http://www.youtube.com/channel/UCZ7HPa_lqEDxBrc4-Mgtq8w")</f>
        <v>http://www.youtube.com/channel/UCZ7HPa_lqEDxBrc4-Mgtq8w</v>
      </c>
      <c r="U44" s="82"/>
      <c r="V44" s="82" t="s">
        <v>1829</v>
      </c>
      <c r="W44" s="84" t="str">
        <f>HYPERLINK("https://www.youtube.com/watch?v=Q-YZD2u1mO8")</f>
        <v>https://www.youtube.com/watch?v=Q-YZD2u1mO8</v>
      </c>
      <c r="X44" s="82" t="s">
        <v>1857</v>
      </c>
      <c r="Y44" s="82">
        <v>0</v>
      </c>
      <c r="Z44" s="86">
        <v>44997.654953703706</v>
      </c>
      <c r="AA44" s="86">
        <v>44997.654953703706</v>
      </c>
      <c r="AB44" s="82"/>
      <c r="AC44" s="82"/>
      <c r="AD44" s="82"/>
      <c r="AE44" s="82">
        <v>64</v>
      </c>
      <c r="AF44" s="81">
        <v>3</v>
      </c>
      <c r="AG44" s="81">
        <v>3</v>
      </c>
      <c r="AH44" s="49">
        <v>2</v>
      </c>
      <c r="AI44" s="110">
        <v>1.8018018018018018</v>
      </c>
      <c r="AJ44" s="49">
        <v>2</v>
      </c>
      <c r="AK44" s="110">
        <v>1.8018018018018018</v>
      </c>
      <c r="AL44" s="49">
        <v>0</v>
      </c>
      <c r="AM44" s="50">
        <v>0</v>
      </c>
      <c r="AN44" s="49">
        <v>29</v>
      </c>
      <c r="AO44" s="110">
        <v>26.126126126126128</v>
      </c>
      <c r="AP44" s="49">
        <v>111</v>
      </c>
    </row>
    <row r="45" spans="1:42" ht="15">
      <c r="A45" s="66" t="s">
        <v>264</v>
      </c>
      <c r="B45" s="66" t="s">
        <v>292</v>
      </c>
      <c r="C45" s="67" t="s">
        <v>4788</v>
      </c>
      <c r="D45" s="68">
        <v>10</v>
      </c>
      <c r="E45" s="69"/>
      <c r="F45" s="70">
        <v>15</v>
      </c>
      <c r="G45" s="67"/>
      <c r="H45" s="71"/>
      <c r="I45" s="72"/>
      <c r="J45" s="72"/>
      <c r="K45" s="35" t="s">
        <v>65</v>
      </c>
      <c r="L45" s="80">
        <v>45</v>
      </c>
      <c r="M45" s="80"/>
      <c r="N45" s="74"/>
      <c r="O45" s="82" t="s">
        <v>776</v>
      </c>
      <c r="P45" s="82" t="s">
        <v>197</v>
      </c>
      <c r="Q45" s="82" t="s">
        <v>817</v>
      </c>
      <c r="R45" s="82" t="s">
        <v>264</v>
      </c>
      <c r="S45" s="82" t="s">
        <v>1342</v>
      </c>
      <c r="T45" s="84" t="str">
        <f>HYPERLINK("http://www.youtube.com/channel/UCGEt10_xOuvn17EXdYzD3VA")</f>
        <v>http://www.youtube.com/channel/UCGEt10_xOuvn17EXdYzD3VA</v>
      </c>
      <c r="U45" s="82"/>
      <c r="V45" s="82" t="s">
        <v>1829</v>
      </c>
      <c r="W45" s="84" t="str">
        <f>HYPERLINK("https://www.youtube.com/watch?v=Q-YZD2u1mO8")</f>
        <v>https://www.youtube.com/watch?v=Q-YZD2u1mO8</v>
      </c>
      <c r="X45" s="82" t="s">
        <v>1857</v>
      </c>
      <c r="Y45" s="82">
        <v>0</v>
      </c>
      <c r="Z45" s="86">
        <v>44997.77261574074</v>
      </c>
      <c r="AA45" s="86">
        <v>44997.77261574074</v>
      </c>
      <c r="AB45" s="82"/>
      <c r="AC45" s="82"/>
      <c r="AD45" s="82"/>
      <c r="AE45" s="82">
        <v>4</v>
      </c>
      <c r="AF45" s="81">
        <v>3</v>
      </c>
      <c r="AG45" s="81">
        <v>3</v>
      </c>
      <c r="AH45" s="49">
        <v>0</v>
      </c>
      <c r="AI45" s="50">
        <v>0</v>
      </c>
      <c r="AJ45" s="49">
        <v>1</v>
      </c>
      <c r="AK45" s="110">
        <v>8.333333333333334</v>
      </c>
      <c r="AL45" s="49">
        <v>0</v>
      </c>
      <c r="AM45" s="50">
        <v>0</v>
      </c>
      <c r="AN45" s="49">
        <v>7</v>
      </c>
      <c r="AO45" s="110">
        <v>58.333333333333336</v>
      </c>
      <c r="AP45" s="49">
        <v>12</v>
      </c>
    </row>
    <row r="46" spans="1:42" ht="15">
      <c r="A46" s="66" t="s">
        <v>265</v>
      </c>
      <c r="B46" s="66" t="s">
        <v>292</v>
      </c>
      <c r="C46" s="67" t="s">
        <v>774</v>
      </c>
      <c r="D46" s="68">
        <v>3</v>
      </c>
      <c r="E46" s="69"/>
      <c r="F46" s="70">
        <v>40</v>
      </c>
      <c r="G46" s="67"/>
      <c r="H46" s="71"/>
      <c r="I46" s="72"/>
      <c r="J46" s="72"/>
      <c r="K46" s="35" t="s">
        <v>65</v>
      </c>
      <c r="L46" s="80">
        <v>46</v>
      </c>
      <c r="M46" s="80"/>
      <c r="N46" s="74"/>
      <c r="O46" s="82" t="s">
        <v>776</v>
      </c>
      <c r="P46" s="82" t="s">
        <v>197</v>
      </c>
      <c r="Q46" s="82" t="s">
        <v>818</v>
      </c>
      <c r="R46" s="82" t="s">
        <v>265</v>
      </c>
      <c r="S46" s="82" t="s">
        <v>1343</v>
      </c>
      <c r="T46" s="84" t="str">
        <f>HYPERLINK("http://www.youtube.com/channel/UCOYrsFO8yTAYzqTx8kjwMLg")</f>
        <v>http://www.youtube.com/channel/UCOYrsFO8yTAYzqTx8kjwMLg</v>
      </c>
      <c r="U46" s="82"/>
      <c r="V46" s="82" t="s">
        <v>1829</v>
      </c>
      <c r="W46" s="84" t="str">
        <f>HYPERLINK("https://www.youtube.com/watch?v=Q-YZD2u1mO8")</f>
        <v>https://www.youtube.com/watch?v=Q-YZD2u1mO8</v>
      </c>
      <c r="X46" s="82" t="s">
        <v>1857</v>
      </c>
      <c r="Y46" s="82">
        <v>0</v>
      </c>
      <c r="Z46" s="86">
        <v>44998.058287037034</v>
      </c>
      <c r="AA46" s="86">
        <v>44998.058287037034</v>
      </c>
      <c r="AB46" s="82"/>
      <c r="AC46" s="82"/>
      <c r="AD46" s="82"/>
      <c r="AE46" s="82">
        <v>1</v>
      </c>
      <c r="AF46" s="81">
        <v>3</v>
      </c>
      <c r="AG46" s="81">
        <v>3</v>
      </c>
      <c r="AH46" s="49">
        <v>2</v>
      </c>
      <c r="AI46" s="50">
        <v>4</v>
      </c>
      <c r="AJ46" s="49">
        <v>1</v>
      </c>
      <c r="AK46" s="50">
        <v>2</v>
      </c>
      <c r="AL46" s="49">
        <v>0</v>
      </c>
      <c r="AM46" s="50">
        <v>0</v>
      </c>
      <c r="AN46" s="49">
        <v>21</v>
      </c>
      <c r="AO46" s="50">
        <v>42</v>
      </c>
      <c r="AP46" s="49">
        <v>50</v>
      </c>
    </row>
    <row r="47" spans="1:42" ht="15">
      <c r="A47" s="66" t="s">
        <v>266</v>
      </c>
      <c r="B47" s="66" t="s">
        <v>292</v>
      </c>
      <c r="C47" s="67" t="s">
        <v>774</v>
      </c>
      <c r="D47" s="68">
        <v>3</v>
      </c>
      <c r="E47" s="69"/>
      <c r="F47" s="70">
        <v>40</v>
      </c>
      <c r="G47" s="67"/>
      <c r="H47" s="71"/>
      <c r="I47" s="72"/>
      <c r="J47" s="72"/>
      <c r="K47" s="35" t="s">
        <v>65</v>
      </c>
      <c r="L47" s="80">
        <v>47</v>
      </c>
      <c r="M47" s="80"/>
      <c r="N47" s="74"/>
      <c r="O47" s="82" t="s">
        <v>776</v>
      </c>
      <c r="P47" s="82" t="s">
        <v>197</v>
      </c>
      <c r="Q47" s="82" t="s">
        <v>819</v>
      </c>
      <c r="R47" s="82" t="s">
        <v>266</v>
      </c>
      <c r="S47" s="82" t="s">
        <v>1344</v>
      </c>
      <c r="T47" s="84" t="str">
        <f>HYPERLINK("http://www.youtube.com/channel/UCR5cSOytpbVX77dps5opAVQ")</f>
        <v>http://www.youtube.com/channel/UCR5cSOytpbVX77dps5opAVQ</v>
      </c>
      <c r="U47" s="82"/>
      <c r="V47" s="82" t="s">
        <v>1829</v>
      </c>
      <c r="W47" s="84" t="str">
        <f>HYPERLINK("https://www.youtube.com/watch?v=Q-YZD2u1mO8")</f>
        <v>https://www.youtube.com/watch?v=Q-YZD2u1mO8</v>
      </c>
      <c r="X47" s="82" t="s">
        <v>1857</v>
      </c>
      <c r="Y47" s="82">
        <v>0</v>
      </c>
      <c r="Z47" s="86">
        <v>44998.22005787037</v>
      </c>
      <c r="AA47" s="86">
        <v>44998.22005787037</v>
      </c>
      <c r="AB47" s="82"/>
      <c r="AC47" s="82"/>
      <c r="AD47" s="82"/>
      <c r="AE47" s="82">
        <v>1</v>
      </c>
      <c r="AF47" s="81">
        <v>3</v>
      </c>
      <c r="AG47" s="81">
        <v>3</v>
      </c>
      <c r="AH47" s="49">
        <v>0</v>
      </c>
      <c r="AI47" s="50">
        <v>0</v>
      </c>
      <c r="AJ47" s="49">
        <v>0</v>
      </c>
      <c r="AK47" s="50">
        <v>0</v>
      </c>
      <c r="AL47" s="49">
        <v>0</v>
      </c>
      <c r="AM47" s="50">
        <v>0</v>
      </c>
      <c r="AN47" s="49">
        <v>2</v>
      </c>
      <c r="AO47" s="110">
        <v>66.66666666666667</v>
      </c>
      <c r="AP47" s="49">
        <v>3</v>
      </c>
    </row>
    <row r="48" spans="1:42" ht="15">
      <c r="A48" s="66" t="s">
        <v>267</v>
      </c>
      <c r="B48" s="66" t="s">
        <v>292</v>
      </c>
      <c r="C48" s="67" t="s">
        <v>774</v>
      </c>
      <c r="D48" s="68">
        <v>3</v>
      </c>
      <c r="E48" s="69"/>
      <c r="F48" s="70">
        <v>40</v>
      </c>
      <c r="G48" s="67"/>
      <c r="H48" s="71"/>
      <c r="I48" s="72"/>
      <c r="J48" s="72"/>
      <c r="K48" s="35" t="s">
        <v>65</v>
      </c>
      <c r="L48" s="80">
        <v>48</v>
      </c>
      <c r="M48" s="80"/>
      <c r="N48" s="74"/>
      <c r="O48" s="82" t="s">
        <v>776</v>
      </c>
      <c r="P48" s="82" t="s">
        <v>197</v>
      </c>
      <c r="Q48" s="82" t="s">
        <v>820</v>
      </c>
      <c r="R48" s="82" t="s">
        <v>267</v>
      </c>
      <c r="S48" s="82" t="s">
        <v>1345</v>
      </c>
      <c r="T48" s="84" t="str">
        <f>HYPERLINK("http://www.youtube.com/channel/UCj0xj7vufSC4d2qdDPt8RFQ")</f>
        <v>http://www.youtube.com/channel/UCj0xj7vufSC4d2qdDPt8RFQ</v>
      </c>
      <c r="U48" s="82"/>
      <c r="V48" s="82" t="s">
        <v>1829</v>
      </c>
      <c r="W48" s="84" t="str">
        <f>HYPERLINK("https://www.youtube.com/watch?v=Q-YZD2u1mO8")</f>
        <v>https://www.youtube.com/watch?v=Q-YZD2u1mO8</v>
      </c>
      <c r="X48" s="82" t="s">
        <v>1857</v>
      </c>
      <c r="Y48" s="82">
        <v>2</v>
      </c>
      <c r="Z48" s="86">
        <v>44998.63858796296</v>
      </c>
      <c r="AA48" s="86">
        <v>44998.63858796296</v>
      </c>
      <c r="AB48" s="82"/>
      <c r="AC48" s="82"/>
      <c r="AD48" s="82"/>
      <c r="AE48" s="82">
        <v>1</v>
      </c>
      <c r="AF48" s="81">
        <v>3</v>
      </c>
      <c r="AG48" s="81">
        <v>3</v>
      </c>
      <c r="AH48" s="49">
        <v>0</v>
      </c>
      <c r="AI48" s="50">
        <v>0</v>
      </c>
      <c r="AJ48" s="49">
        <v>0</v>
      </c>
      <c r="AK48" s="50">
        <v>0</v>
      </c>
      <c r="AL48" s="49">
        <v>0</v>
      </c>
      <c r="AM48" s="50">
        <v>0</v>
      </c>
      <c r="AN48" s="49">
        <v>4</v>
      </c>
      <c r="AO48" s="110">
        <v>44.44444444444444</v>
      </c>
      <c r="AP48" s="49">
        <v>9</v>
      </c>
    </row>
    <row r="49" spans="1:42" ht="15">
      <c r="A49" s="66" t="s">
        <v>268</v>
      </c>
      <c r="B49" s="66" t="s">
        <v>292</v>
      </c>
      <c r="C49" s="67" t="s">
        <v>774</v>
      </c>
      <c r="D49" s="68">
        <v>3</v>
      </c>
      <c r="E49" s="69"/>
      <c r="F49" s="70">
        <v>40</v>
      </c>
      <c r="G49" s="67"/>
      <c r="H49" s="71"/>
      <c r="I49" s="72"/>
      <c r="J49" s="72"/>
      <c r="K49" s="35" t="s">
        <v>65</v>
      </c>
      <c r="L49" s="80">
        <v>49</v>
      </c>
      <c r="M49" s="80"/>
      <c r="N49" s="74"/>
      <c r="O49" s="82" t="s">
        <v>776</v>
      </c>
      <c r="P49" s="82" t="s">
        <v>197</v>
      </c>
      <c r="Q49" s="82" t="s">
        <v>821</v>
      </c>
      <c r="R49" s="82" t="s">
        <v>268</v>
      </c>
      <c r="S49" s="82" t="s">
        <v>1346</v>
      </c>
      <c r="T49" s="84" t="str">
        <f>HYPERLINK("http://www.youtube.com/channel/UCfFhBUE44pALXjKfTee7hLQ")</f>
        <v>http://www.youtube.com/channel/UCfFhBUE44pALXjKfTee7hLQ</v>
      </c>
      <c r="U49" s="82"/>
      <c r="V49" s="82" t="s">
        <v>1829</v>
      </c>
      <c r="W49" s="84" t="str">
        <f>HYPERLINK("https://www.youtube.com/watch?v=Q-YZD2u1mO8")</f>
        <v>https://www.youtube.com/watch?v=Q-YZD2u1mO8</v>
      </c>
      <c r="X49" s="82" t="s">
        <v>1857</v>
      </c>
      <c r="Y49" s="82">
        <v>0</v>
      </c>
      <c r="Z49" s="86">
        <v>44998.71671296296</v>
      </c>
      <c r="AA49" s="86">
        <v>44998.71671296296</v>
      </c>
      <c r="AB49" s="82"/>
      <c r="AC49" s="82"/>
      <c r="AD49" s="82"/>
      <c r="AE49" s="82">
        <v>1</v>
      </c>
      <c r="AF49" s="81">
        <v>3</v>
      </c>
      <c r="AG49" s="81">
        <v>3</v>
      </c>
      <c r="AH49" s="49">
        <v>1</v>
      </c>
      <c r="AI49" s="110">
        <v>2.3255813953488373</v>
      </c>
      <c r="AJ49" s="49">
        <v>1</v>
      </c>
      <c r="AK49" s="110">
        <v>2.3255813953488373</v>
      </c>
      <c r="AL49" s="49">
        <v>0</v>
      </c>
      <c r="AM49" s="50">
        <v>0</v>
      </c>
      <c r="AN49" s="49">
        <v>13</v>
      </c>
      <c r="AO49" s="110">
        <v>30.232558139534884</v>
      </c>
      <c r="AP49" s="49">
        <v>43</v>
      </c>
    </row>
    <row r="50" spans="1:42" ht="15">
      <c r="A50" s="66" t="s">
        <v>269</v>
      </c>
      <c r="B50" s="66" t="s">
        <v>292</v>
      </c>
      <c r="C50" s="67" t="s">
        <v>774</v>
      </c>
      <c r="D50" s="68">
        <v>3</v>
      </c>
      <c r="E50" s="69"/>
      <c r="F50" s="70">
        <v>40</v>
      </c>
      <c r="G50" s="67"/>
      <c r="H50" s="71"/>
      <c r="I50" s="72"/>
      <c r="J50" s="72"/>
      <c r="K50" s="35" t="s">
        <v>65</v>
      </c>
      <c r="L50" s="80">
        <v>50</v>
      </c>
      <c r="M50" s="80"/>
      <c r="N50" s="74"/>
      <c r="O50" s="82" t="s">
        <v>776</v>
      </c>
      <c r="P50" s="82" t="s">
        <v>197</v>
      </c>
      <c r="Q50" s="82" t="s">
        <v>822</v>
      </c>
      <c r="R50" s="82" t="s">
        <v>269</v>
      </c>
      <c r="S50" s="82" t="s">
        <v>1347</v>
      </c>
      <c r="T50" s="84" t="str">
        <f>HYPERLINK("http://www.youtube.com/channel/UCUoMJrpGe38iR6lAtceq0uw")</f>
        <v>http://www.youtube.com/channel/UCUoMJrpGe38iR6lAtceq0uw</v>
      </c>
      <c r="U50" s="82"/>
      <c r="V50" s="82" t="s">
        <v>1829</v>
      </c>
      <c r="W50" s="84" t="str">
        <f>HYPERLINK("https://www.youtube.com/watch?v=Q-YZD2u1mO8")</f>
        <v>https://www.youtube.com/watch?v=Q-YZD2u1mO8</v>
      </c>
      <c r="X50" s="82" t="s">
        <v>1857</v>
      </c>
      <c r="Y50" s="82">
        <v>0</v>
      </c>
      <c r="Z50" s="86">
        <v>44998.72342592593</v>
      </c>
      <c r="AA50" s="86">
        <v>44998.72342592593</v>
      </c>
      <c r="AB50" s="82"/>
      <c r="AC50" s="82"/>
      <c r="AD50" s="82"/>
      <c r="AE50" s="82">
        <v>1</v>
      </c>
      <c r="AF50" s="81">
        <v>3</v>
      </c>
      <c r="AG50" s="81">
        <v>3</v>
      </c>
      <c r="AH50" s="49">
        <v>2</v>
      </c>
      <c r="AI50" s="50">
        <v>6.25</v>
      </c>
      <c r="AJ50" s="49">
        <v>2</v>
      </c>
      <c r="AK50" s="50">
        <v>6.25</v>
      </c>
      <c r="AL50" s="49">
        <v>0</v>
      </c>
      <c r="AM50" s="50">
        <v>0</v>
      </c>
      <c r="AN50" s="49">
        <v>8</v>
      </c>
      <c r="AO50" s="50">
        <v>25</v>
      </c>
      <c r="AP50" s="49">
        <v>32</v>
      </c>
    </row>
    <row r="51" spans="1:42" ht="15">
      <c r="A51" s="66" t="s">
        <v>270</v>
      </c>
      <c r="B51" s="66" t="s">
        <v>292</v>
      </c>
      <c r="C51" s="67" t="s">
        <v>4788</v>
      </c>
      <c r="D51" s="68">
        <v>10</v>
      </c>
      <c r="E51" s="69"/>
      <c r="F51" s="70">
        <v>15</v>
      </c>
      <c r="G51" s="67"/>
      <c r="H51" s="71"/>
      <c r="I51" s="72"/>
      <c r="J51" s="72"/>
      <c r="K51" s="35" t="s">
        <v>65</v>
      </c>
      <c r="L51" s="80">
        <v>51</v>
      </c>
      <c r="M51" s="80"/>
      <c r="N51" s="74"/>
      <c r="O51" s="82" t="s">
        <v>776</v>
      </c>
      <c r="P51" s="82" t="s">
        <v>197</v>
      </c>
      <c r="Q51" s="82" t="s">
        <v>823</v>
      </c>
      <c r="R51" s="82" t="s">
        <v>270</v>
      </c>
      <c r="S51" s="82" t="s">
        <v>1348</v>
      </c>
      <c r="T51" s="84" t="str">
        <f>HYPERLINK("http://www.youtube.com/channel/UCf2Sg6ACXrN4uMekL4QtubA")</f>
        <v>http://www.youtube.com/channel/UCf2Sg6ACXrN4uMekL4QtubA</v>
      </c>
      <c r="U51" s="82"/>
      <c r="V51" s="82" t="s">
        <v>1829</v>
      </c>
      <c r="W51" s="84" t="str">
        <f>HYPERLINK("https://www.youtube.com/watch?v=Q-YZD2u1mO8")</f>
        <v>https://www.youtube.com/watch?v=Q-YZD2u1mO8</v>
      </c>
      <c r="X51" s="82" t="s">
        <v>1857</v>
      </c>
      <c r="Y51" s="82">
        <v>0</v>
      </c>
      <c r="Z51" s="86">
        <v>44996.13974537037</v>
      </c>
      <c r="AA51" s="86">
        <v>44996.13974537037</v>
      </c>
      <c r="AB51" s="82"/>
      <c r="AC51" s="82"/>
      <c r="AD51" s="82"/>
      <c r="AE51" s="82">
        <v>4</v>
      </c>
      <c r="AF51" s="81">
        <v>3</v>
      </c>
      <c r="AG51" s="81">
        <v>3</v>
      </c>
      <c r="AH51" s="49">
        <v>1</v>
      </c>
      <c r="AI51" s="110">
        <v>11.11111111111111</v>
      </c>
      <c r="AJ51" s="49">
        <v>0</v>
      </c>
      <c r="AK51" s="50">
        <v>0</v>
      </c>
      <c r="AL51" s="49">
        <v>0</v>
      </c>
      <c r="AM51" s="50">
        <v>0</v>
      </c>
      <c r="AN51" s="49">
        <v>5</v>
      </c>
      <c r="AO51" s="110">
        <v>55.55555555555556</v>
      </c>
      <c r="AP51" s="49">
        <v>9</v>
      </c>
    </row>
    <row r="52" spans="1:42" ht="15">
      <c r="A52" s="66" t="s">
        <v>271</v>
      </c>
      <c r="B52" s="66" t="s">
        <v>292</v>
      </c>
      <c r="C52" s="67" t="s">
        <v>4793</v>
      </c>
      <c r="D52" s="68">
        <v>10</v>
      </c>
      <c r="E52" s="69"/>
      <c r="F52" s="70">
        <v>15</v>
      </c>
      <c r="G52" s="67"/>
      <c r="H52" s="71"/>
      <c r="I52" s="72"/>
      <c r="J52" s="72"/>
      <c r="K52" s="35" t="s">
        <v>65</v>
      </c>
      <c r="L52" s="80">
        <v>52</v>
      </c>
      <c r="M52" s="80"/>
      <c r="N52" s="74"/>
      <c r="O52" s="82" t="s">
        <v>776</v>
      </c>
      <c r="P52" s="82" t="s">
        <v>197</v>
      </c>
      <c r="Q52" s="82" t="s">
        <v>824</v>
      </c>
      <c r="R52" s="82" t="s">
        <v>271</v>
      </c>
      <c r="S52" s="82" t="s">
        <v>1349</v>
      </c>
      <c r="T52" s="84" t="str">
        <f>HYPERLINK("http://www.youtube.com/channel/UCPgZ9MTye-9cBs1V0zlCMIQ")</f>
        <v>http://www.youtube.com/channel/UCPgZ9MTye-9cBs1V0zlCMIQ</v>
      </c>
      <c r="U52" s="82"/>
      <c r="V52" s="82" t="s">
        <v>1829</v>
      </c>
      <c r="W52" s="84" t="str">
        <f>HYPERLINK("https://www.youtube.com/watch?v=Q-YZD2u1mO8")</f>
        <v>https://www.youtube.com/watch?v=Q-YZD2u1mO8</v>
      </c>
      <c r="X52" s="82" t="s">
        <v>1857</v>
      </c>
      <c r="Y52" s="82">
        <v>2</v>
      </c>
      <c r="Z52" s="86">
        <v>44999.07434027778</v>
      </c>
      <c r="AA52" s="86">
        <v>44999.07434027778</v>
      </c>
      <c r="AB52" s="82"/>
      <c r="AC52" s="82"/>
      <c r="AD52" s="82"/>
      <c r="AE52" s="82">
        <v>25</v>
      </c>
      <c r="AF52" s="81">
        <v>3</v>
      </c>
      <c r="AG52" s="81">
        <v>3</v>
      </c>
      <c r="AH52" s="49">
        <v>0</v>
      </c>
      <c r="AI52" s="50">
        <v>0</v>
      </c>
      <c r="AJ52" s="49">
        <v>0</v>
      </c>
      <c r="AK52" s="50">
        <v>0</v>
      </c>
      <c r="AL52" s="49">
        <v>0</v>
      </c>
      <c r="AM52" s="50">
        <v>0</v>
      </c>
      <c r="AN52" s="49">
        <v>7</v>
      </c>
      <c r="AO52" s="50">
        <v>25</v>
      </c>
      <c r="AP52" s="49">
        <v>28</v>
      </c>
    </row>
    <row r="53" spans="1:42" ht="15">
      <c r="A53" s="66" t="s">
        <v>272</v>
      </c>
      <c r="B53" s="66" t="s">
        <v>292</v>
      </c>
      <c r="C53" s="67" t="s">
        <v>774</v>
      </c>
      <c r="D53" s="68">
        <v>3</v>
      </c>
      <c r="E53" s="69"/>
      <c r="F53" s="70">
        <v>40</v>
      </c>
      <c r="G53" s="67"/>
      <c r="H53" s="71"/>
      <c r="I53" s="72"/>
      <c r="J53" s="72"/>
      <c r="K53" s="35" t="s">
        <v>65</v>
      </c>
      <c r="L53" s="80">
        <v>53</v>
      </c>
      <c r="M53" s="80"/>
      <c r="N53" s="74"/>
      <c r="O53" s="82" t="s">
        <v>776</v>
      </c>
      <c r="P53" s="82" t="s">
        <v>197</v>
      </c>
      <c r="Q53" s="82" t="s">
        <v>825</v>
      </c>
      <c r="R53" s="82" t="s">
        <v>272</v>
      </c>
      <c r="S53" s="82" t="s">
        <v>1350</v>
      </c>
      <c r="T53" s="84" t="str">
        <f>HYPERLINK("http://www.youtube.com/channel/UCmoEwJy-a4hat88aVrWKpXQ")</f>
        <v>http://www.youtube.com/channel/UCmoEwJy-a4hat88aVrWKpXQ</v>
      </c>
      <c r="U53" s="82"/>
      <c r="V53" s="82" t="s">
        <v>1829</v>
      </c>
      <c r="W53" s="84" t="str">
        <f>HYPERLINK("https://www.youtube.com/watch?v=Q-YZD2u1mO8")</f>
        <v>https://www.youtube.com/watch?v=Q-YZD2u1mO8</v>
      </c>
      <c r="X53" s="82" t="s">
        <v>1857</v>
      </c>
      <c r="Y53" s="82">
        <v>0</v>
      </c>
      <c r="Z53" s="86">
        <v>44999.11653935185</v>
      </c>
      <c r="AA53" s="86">
        <v>44999.11653935185</v>
      </c>
      <c r="AB53" s="82"/>
      <c r="AC53" s="82"/>
      <c r="AD53" s="82"/>
      <c r="AE53" s="82">
        <v>1</v>
      </c>
      <c r="AF53" s="81">
        <v>3</v>
      </c>
      <c r="AG53" s="81">
        <v>3</v>
      </c>
      <c r="AH53" s="49">
        <v>2</v>
      </c>
      <c r="AI53" s="110">
        <v>7.407407407407407</v>
      </c>
      <c r="AJ53" s="49">
        <v>2</v>
      </c>
      <c r="AK53" s="110">
        <v>7.407407407407407</v>
      </c>
      <c r="AL53" s="49">
        <v>0</v>
      </c>
      <c r="AM53" s="50">
        <v>0</v>
      </c>
      <c r="AN53" s="49">
        <v>4</v>
      </c>
      <c r="AO53" s="110">
        <v>14.814814814814815</v>
      </c>
      <c r="AP53" s="49">
        <v>27</v>
      </c>
    </row>
    <row r="54" spans="1:42" ht="15">
      <c r="A54" s="66" t="s">
        <v>273</v>
      </c>
      <c r="B54" s="66" t="s">
        <v>292</v>
      </c>
      <c r="C54" s="67" t="s">
        <v>774</v>
      </c>
      <c r="D54" s="68">
        <v>3</v>
      </c>
      <c r="E54" s="69"/>
      <c r="F54" s="70">
        <v>40</v>
      </c>
      <c r="G54" s="67"/>
      <c r="H54" s="71"/>
      <c r="I54" s="72"/>
      <c r="J54" s="72"/>
      <c r="K54" s="35" t="s">
        <v>65</v>
      </c>
      <c r="L54" s="80">
        <v>54</v>
      </c>
      <c r="M54" s="80"/>
      <c r="N54" s="74"/>
      <c r="O54" s="82" t="s">
        <v>776</v>
      </c>
      <c r="P54" s="82" t="s">
        <v>197</v>
      </c>
      <c r="Q54" s="82" t="s">
        <v>826</v>
      </c>
      <c r="R54" s="82" t="s">
        <v>273</v>
      </c>
      <c r="S54" s="82" t="s">
        <v>1351</v>
      </c>
      <c r="T54" s="84" t="str">
        <f>HYPERLINK("http://www.youtube.com/channel/UCD0wnC9-8SapHHvHjbsawLQ")</f>
        <v>http://www.youtube.com/channel/UCD0wnC9-8SapHHvHjbsawLQ</v>
      </c>
      <c r="U54" s="82"/>
      <c r="V54" s="82" t="s">
        <v>1829</v>
      </c>
      <c r="W54" s="84" t="str">
        <f>HYPERLINK("https://www.youtube.com/watch?v=Q-YZD2u1mO8")</f>
        <v>https://www.youtube.com/watch?v=Q-YZD2u1mO8</v>
      </c>
      <c r="X54" s="82" t="s">
        <v>1857</v>
      </c>
      <c r="Y54" s="82">
        <v>0</v>
      </c>
      <c r="Z54" s="86">
        <v>44999.31086805555</v>
      </c>
      <c r="AA54" s="86">
        <v>44999.31086805555</v>
      </c>
      <c r="AB54" s="82"/>
      <c r="AC54" s="82"/>
      <c r="AD54" s="82"/>
      <c r="AE54" s="82">
        <v>1</v>
      </c>
      <c r="AF54" s="81">
        <v>3</v>
      </c>
      <c r="AG54" s="81">
        <v>3</v>
      </c>
      <c r="AH54" s="49">
        <v>0</v>
      </c>
      <c r="AI54" s="50">
        <v>0</v>
      </c>
      <c r="AJ54" s="49">
        <v>0</v>
      </c>
      <c r="AK54" s="50">
        <v>0</v>
      </c>
      <c r="AL54" s="49">
        <v>0</v>
      </c>
      <c r="AM54" s="50">
        <v>0</v>
      </c>
      <c r="AN54" s="49">
        <v>3</v>
      </c>
      <c r="AO54" s="50">
        <v>100</v>
      </c>
      <c r="AP54" s="49">
        <v>3</v>
      </c>
    </row>
    <row r="55" spans="1:42" ht="15">
      <c r="A55" s="66" t="s">
        <v>274</v>
      </c>
      <c r="B55" s="66" t="s">
        <v>292</v>
      </c>
      <c r="C55" s="67" t="s">
        <v>774</v>
      </c>
      <c r="D55" s="68">
        <v>3</v>
      </c>
      <c r="E55" s="69"/>
      <c r="F55" s="70">
        <v>40</v>
      </c>
      <c r="G55" s="67"/>
      <c r="H55" s="71"/>
      <c r="I55" s="72"/>
      <c r="J55" s="72"/>
      <c r="K55" s="35" t="s">
        <v>65</v>
      </c>
      <c r="L55" s="80">
        <v>55</v>
      </c>
      <c r="M55" s="80"/>
      <c r="N55" s="74"/>
      <c r="O55" s="82" t="s">
        <v>776</v>
      </c>
      <c r="P55" s="82" t="s">
        <v>197</v>
      </c>
      <c r="Q55" s="82" t="s">
        <v>827</v>
      </c>
      <c r="R55" s="82" t="s">
        <v>274</v>
      </c>
      <c r="S55" s="82" t="s">
        <v>1352</v>
      </c>
      <c r="T55" s="84" t="str">
        <f>HYPERLINK("http://www.youtube.com/channel/UCMdduxoECEaz_vhD-d84rAQ")</f>
        <v>http://www.youtube.com/channel/UCMdduxoECEaz_vhD-d84rAQ</v>
      </c>
      <c r="U55" s="82"/>
      <c r="V55" s="82" t="s">
        <v>1829</v>
      </c>
      <c r="W55" s="84" t="str">
        <f>HYPERLINK("https://www.youtube.com/watch?v=Q-YZD2u1mO8")</f>
        <v>https://www.youtube.com/watch?v=Q-YZD2u1mO8</v>
      </c>
      <c r="X55" s="82" t="s">
        <v>1857</v>
      </c>
      <c r="Y55" s="82">
        <v>0</v>
      </c>
      <c r="Z55" s="86">
        <v>44999.48195601852</v>
      </c>
      <c r="AA55" s="86">
        <v>44999.48195601852</v>
      </c>
      <c r="AB55" s="82"/>
      <c r="AC55" s="82"/>
      <c r="AD55" s="82"/>
      <c r="AE55" s="82">
        <v>1</v>
      </c>
      <c r="AF55" s="81">
        <v>3</v>
      </c>
      <c r="AG55" s="81">
        <v>3</v>
      </c>
      <c r="AH55" s="49">
        <v>0</v>
      </c>
      <c r="AI55" s="50">
        <v>0</v>
      </c>
      <c r="AJ55" s="49">
        <v>0</v>
      </c>
      <c r="AK55" s="50">
        <v>0</v>
      </c>
      <c r="AL55" s="49">
        <v>0</v>
      </c>
      <c r="AM55" s="50">
        <v>0</v>
      </c>
      <c r="AN55" s="49">
        <v>2</v>
      </c>
      <c r="AO55" s="110">
        <v>33.333333333333336</v>
      </c>
      <c r="AP55" s="49">
        <v>6</v>
      </c>
    </row>
    <row r="56" spans="1:42" ht="15">
      <c r="A56" s="66" t="s">
        <v>275</v>
      </c>
      <c r="B56" s="66" t="s">
        <v>292</v>
      </c>
      <c r="C56" s="67" t="s">
        <v>4788</v>
      </c>
      <c r="D56" s="68">
        <v>10</v>
      </c>
      <c r="E56" s="69"/>
      <c r="F56" s="70">
        <v>15</v>
      </c>
      <c r="G56" s="67"/>
      <c r="H56" s="71"/>
      <c r="I56" s="72"/>
      <c r="J56" s="72"/>
      <c r="K56" s="35" t="s">
        <v>65</v>
      </c>
      <c r="L56" s="80">
        <v>56</v>
      </c>
      <c r="M56" s="80"/>
      <c r="N56" s="74"/>
      <c r="O56" s="82" t="s">
        <v>776</v>
      </c>
      <c r="P56" s="82" t="s">
        <v>197</v>
      </c>
      <c r="Q56" s="82" t="s">
        <v>828</v>
      </c>
      <c r="R56" s="82" t="s">
        <v>275</v>
      </c>
      <c r="S56" s="82" t="s">
        <v>1353</v>
      </c>
      <c r="T56" s="84" t="str">
        <f>HYPERLINK("http://www.youtube.com/channel/UCAzyUwF_Op3JSfltgVnap3g")</f>
        <v>http://www.youtube.com/channel/UCAzyUwF_Op3JSfltgVnap3g</v>
      </c>
      <c r="U56" s="82"/>
      <c r="V56" s="82" t="s">
        <v>1829</v>
      </c>
      <c r="W56" s="84" t="str">
        <f>HYPERLINK("https://www.youtube.com/watch?v=Q-YZD2u1mO8")</f>
        <v>https://www.youtube.com/watch?v=Q-YZD2u1mO8</v>
      </c>
      <c r="X56" s="82" t="s">
        <v>1857</v>
      </c>
      <c r="Y56" s="82">
        <v>0</v>
      </c>
      <c r="Z56" s="86">
        <v>44999.534108796295</v>
      </c>
      <c r="AA56" s="86">
        <v>44999.534108796295</v>
      </c>
      <c r="AB56" s="82"/>
      <c r="AC56" s="82"/>
      <c r="AD56" s="82"/>
      <c r="AE56" s="82">
        <v>4</v>
      </c>
      <c r="AF56" s="81">
        <v>3</v>
      </c>
      <c r="AG56" s="81">
        <v>3</v>
      </c>
      <c r="AH56" s="49">
        <v>1</v>
      </c>
      <c r="AI56" s="110">
        <v>16.666666666666668</v>
      </c>
      <c r="AJ56" s="49">
        <v>0</v>
      </c>
      <c r="AK56" s="50">
        <v>0</v>
      </c>
      <c r="AL56" s="49">
        <v>0</v>
      </c>
      <c r="AM56" s="50">
        <v>0</v>
      </c>
      <c r="AN56" s="49">
        <v>2</v>
      </c>
      <c r="AO56" s="110">
        <v>33.333333333333336</v>
      </c>
      <c r="AP56" s="49">
        <v>6</v>
      </c>
    </row>
    <row r="57" spans="1:42" ht="15">
      <c r="A57" s="66" t="s">
        <v>276</v>
      </c>
      <c r="B57" s="66" t="s">
        <v>292</v>
      </c>
      <c r="C57" s="67" t="s">
        <v>774</v>
      </c>
      <c r="D57" s="68">
        <v>3</v>
      </c>
      <c r="E57" s="69"/>
      <c r="F57" s="70">
        <v>40</v>
      </c>
      <c r="G57" s="67"/>
      <c r="H57" s="71"/>
      <c r="I57" s="72"/>
      <c r="J57" s="72"/>
      <c r="K57" s="35" t="s">
        <v>65</v>
      </c>
      <c r="L57" s="80">
        <v>57</v>
      </c>
      <c r="M57" s="80"/>
      <c r="N57" s="74"/>
      <c r="O57" s="82" t="s">
        <v>776</v>
      </c>
      <c r="P57" s="82" t="s">
        <v>197</v>
      </c>
      <c r="Q57" s="82" t="s">
        <v>829</v>
      </c>
      <c r="R57" s="82" t="s">
        <v>276</v>
      </c>
      <c r="S57" s="82" t="s">
        <v>1354</v>
      </c>
      <c r="T57" s="84" t="str">
        <f>HYPERLINK("http://www.youtube.com/channel/UCk2UHkAXJ7RJ4kGsnjjsGPw")</f>
        <v>http://www.youtube.com/channel/UCk2UHkAXJ7RJ4kGsnjjsGPw</v>
      </c>
      <c r="U57" s="82"/>
      <c r="V57" s="82" t="s">
        <v>1829</v>
      </c>
      <c r="W57" s="84" t="str">
        <f>HYPERLINK("https://www.youtube.com/watch?v=Q-YZD2u1mO8")</f>
        <v>https://www.youtube.com/watch?v=Q-YZD2u1mO8</v>
      </c>
      <c r="X57" s="82" t="s">
        <v>1857</v>
      </c>
      <c r="Y57" s="82">
        <v>0</v>
      </c>
      <c r="Z57" s="86">
        <v>44999.77657407407</v>
      </c>
      <c r="AA57" s="86">
        <v>44999.77657407407</v>
      </c>
      <c r="AB57" s="82"/>
      <c r="AC57" s="82"/>
      <c r="AD57" s="82"/>
      <c r="AE57" s="82">
        <v>1</v>
      </c>
      <c r="AF57" s="81">
        <v>3</v>
      </c>
      <c r="AG57" s="81">
        <v>3</v>
      </c>
      <c r="AH57" s="49">
        <v>0</v>
      </c>
      <c r="AI57" s="50">
        <v>0</v>
      </c>
      <c r="AJ57" s="49">
        <v>10</v>
      </c>
      <c r="AK57" s="110">
        <v>10.638297872340425</v>
      </c>
      <c r="AL57" s="49">
        <v>0</v>
      </c>
      <c r="AM57" s="50">
        <v>0</v>
      </c>
      <c r="AN57" s="49">
        <v>38</v>
      </c>
      <c r="AO57" s="110">
        <v>40.42553191489362</v>
      </c>
      <c r="AP57" s="49">
        <v>94</v>
      </c>
    </row>
    <row r="58" spans="1:42" ht="15">
      <c r="A58" s="66" t="s">
        <v>277</v>
      </c>
      <c r="B58" s="66" t="s">
        <v>292</v>
      </c>
      <c r="C58" s="67" t="s">
        <v>774</v>
      </c>
      <c r="D58" s="68">
        <v>3</v>
      </c>
      <c r="E58" s="69"/>
      <c r="F58" s="70">
        <v>40</v>
      </c>
      <c r="G58" s="67"/>
      <c r="H58" s="71"/>
      <c r="I58" s="72"/>
      <c r="J58" s="72"/>
      <c r="K58" s="35" t="s">
        <v>65</v>
      </c>
      <c r="L58" s="80">
        <v>58</v>
      </c>
      <c r="M58" s="80"/>
      <c r="N58" s="74"/>
      <c r="O58" s="82" t="s">
        <v>776</v>
      </c>
      <c r="P58" s="82" t="s">
        <v>197</v>
      </c>
      <c r="Q58" s="82" t="s">
        <v>830</v>
      </c>
      <c r="R58" s="82" t="s">
        <v>277</v>
      </c>
      <c r="S58" s="82" t="s">
        <v>1355</v>
      </c>
      <c r="T58" s="84" t="str">
        <f>HYPERLINK("http://www.youtube.com/channel/UCvluqgSak-JUFoQ0crS_sBA")</f>
        <v>http://www.youtube.com/channel/UCvluqgSak-JUFoQ0crS_sBA</v>
      </c>
      <c r="U58" s="82"/>
      <c r="V58" s="82" t="s">
        <v>1829</v>
      </c>
      <c r="W58" s="84" t="str">
        <f>HYPERLINK("https://www.youtube.com/watch?v=Q-YZD2u1mO8")</f>
        <v>https://www.youtube.com/watch?v=Q-YZD2u1mO8</v>
      </c>
      <c r="X58" s="82" t="s">
        <v>1857</v>
      </c>
      <c r="Y58" s="82">
        <v>0</v>
      </c>
      <c r="Z58" s="86">
        <v>44999.96827546296</v>
      </c>
      <c r="AA58" s="86">
        <v>44999.96827546296</v>
      </c>
      <c r="AB58" s="82"/>
      <c r="AC58" s="82"/>
      <c r="AD58" s="82"/>
      <c r="AE58" s="82">
        <v>1</v>
      </c>
      <c r="AF58" s="81">
        <v>3</v>
      </c>
      <c r="AG58" s="81">
        <v>3</v>
      </c>
      <c r="AH58" s="49">
        <v>0</v>
      </c>
      <c r="AI58" s="50">
        <v>0</v>
      </c>
      <c r="AJ58" s="49">
        <v>0</v>
      </c>
      <c r="AK58" s="50">
        <v>0</v>
      </c>
      <c r="AL58" s="49">
        <v>0</v>
      </c>
      <c r="AM58" s="50">
        <v>0</v>
      </c>
      <c r="AN58" s="49">
        <v>1</v>
      </c>
      <c r="AO58" s="110">
        <v>33.333333333333336</v>
      </c>
      <c r="AP58" s="49">
        <v>3</v>
      </c>
    </row>
    <row r="59" spans="1:42" ht="15">
      <c r="A59" s="66" t="s">
        <v>278</v>
      </c>
      <c r="B59" s="66" t="s">
        <v>292</v>
      </c>
      <c r="C59" s="67" t="s">
        <v>774</v>
      </c>
      <c r="D59" s="68">
        <v>3</v>
      </c>
      <c r="E59" s="69"/>
      <c r="F59" s="70">
        <v>40</v>
      </c>
      <c r="G59" s="67"/>
      <c r="H59" s="71"/>
      <c r="I59" s="72"/>
      <c r="J59" s="72"/>
      <c r="K59" s="35" t="s">
        <v>65</v>
      </c>
      <c r="L59" s="80">
        <v>59</v>
      </c>
      <c r="M59" s="80"/>
      <c r="N59" s="74"/>
      <c r="O59" s="82" t="s">
        <v>776</v>
      </c>
      <c r="P59" s="82" t="s">
        <v>197</v>
      </c>
      <c r="Q59" s="82" t="s">
        <v>831</v>
      </c>
      <c r="R59" s="82" t="s">
        <v>278</v>
      </c>
      <c r="S59" s="82" t="s">
        <v>1356</v>
      </c>
      <c r="T59" s="84" t="str">
        <f>HYPERLINK("http://www.youtube.com/channel/UC9BxHslb4B1W2QJt9e0eihA")</f>
        <v>http://www.youtube.com/channel/UC9BxHslb4B1W2QJt9e0eihA</v>
      </c>
      <c r="U59" s="82"/>
      <c r="V59" s="82" t="s">
        <v>1829</v>
      </c>
      <c r="W59" s="84" t="str">
        <f>HYPERLINK("https://www.youtube.com/watch?v=Q-YZD2u1mO8")</f>
        <v>https://www.youtube.com/watch?v=Q-YZD2u1mO8</v>
      </c>
      <c r="X59" s="82" t="s">
        <v>1857</v>
      </c>
      <c r="Y59" s="82">
        <v>0</v>
      </c>
      <c r="Z59" s="86">
        <v>45000.163831018515</v>
      </c>
      <c r="AA59" s="86">
        <v>45000.163831018515</v>
      </c>
      <c r="AB59" s="82"/>
      <c r="AC59" s="82"/>
      <c r="AD59" s="82"/>
      <c r="AE59" s="82">
        <v>1</v>
      </c>
      <c r="AF59" s="81">
        <v>3</v>
      </c>
      <c r="AG59" s="81">
        <v>3</v>
      </c>
      <c r="AH59" s="49">
        <v>1</v>
      </c>
      <c r="AI59" s="110">
        <v>2.2222222222222223</v>
      </c>
      <c r="AJ59" s="49">
        <v>3</v>
      </c>
      <c r="AK59" s="110">
        <v>6.666666666666667</v>
      </c>
      <c r="AL59" s="49">
        <v>0</v>
      </c>
      <c r="AM59" s="50">
        <v>0</v>
      </c>
      <c r="AN59" s="49">
        <v>13</v>
      </c>
      <c r="AO59" s="110">
        <v>28.88888888888889</v>
      </c>
      <c r="AP59" s="49">
        <v>45</v>
      </c>
    </row>
    <row r="60" spans="1:42" ht="15">
      <c r="A60" s="66" t="s">
        <v>279</v>
      </c>
      <c r="B60" s="66" t="s">
        <v>292</v>
      </c>
      <c r="C60" s="67" t="s">
        <v>774</v>
      </c>
      <c r="D60" s="68">
        <v>3</v>
      </c>
      <c r="E60" s="69"/>
      <c r="F60" s="70">
        <v>40</v>
      </c>
      <c r="G60" s="67"/>
      <c r="H60" s="71"/>
      <c r="I60" s="72"/>
      <c r="J60" s="72"/>
      <c r="K60" s="35" t="s">
        <v>65</v>
      </c>
      <c r="L60" s="80">
        <v>60</v>
      </c>
      <c r="M60" s="80"/>
      <c r="N60" s="74"/>
      <c r="O60" s="82" t="s">
        <v>776</v>
      </c>
      <c r="P60" s="82" t="s">
        <v>197</v>
      </c>
      <c r="Q60" s="82" t="s">
        <v>832</v>
      </c>
      <c r="R60" s="82" t="s">
        <v>279</v>
      </c>
      <c r="S60" s="82" t="s">
        <v>1357</v>
      </c>
      <c r="T60" s="84" t="str">
        <f>HYPERLINK("http://www.youtube.com/channel/UCk2jMvMCNPWn1GoRVlwyQlg")</f>
        <v>http://www.youtube.com/channel/UCk2jMvMCNPWn1GoRVlwyQlg</v>
      </c>
      <c r="U60" s="82"/>
      <c r="V60" s="82" t="s">
        <v>1829</v>
      </c>
      <c r="W60" s="84" t="str">
        <f>HYPERLINK("https://www.youtube.com/watch?v=Q-YZD2u1mO8")</f>
        <v>https://www.youtube.com/watch?v=Q-YZD2u1mO8</v>
      </c>
      <c r="X60" s="82" t="s">
        <v>1857</v>
      </c>
      <c r="Y60" s="82">
        <v>1</v>
      </c>
      <c r="Z60" s="86">
        <v>45000.46481481481</v>
      </c>
      <c r="AA60" s="86">
        <v>45000.46481481481</v>
      </c>
      <c r="AB60" s="82"/>
      <c r="AC60" s="82"/>
      <c r="AD60" s="82"/>
      <c r="AE60" s="82">
        <v>1</v>
      </c>
      <c r="AF60" s="81">
        <v>3</v>
      </c>
      <c r="AG60" s="81">
        <v>3</v>
      </c>
      <c r="AH60" s="49">
        <v>2</v>
      </c>
      <c r="AI60" s="110">
        <v>6.666666666666667</v>
      </c>
      <c r="AJ60" s="49">
        <v>0</v>
      </c>
      <c r="AK60" s="50">
        <v>0</v>
      </c>
      <c r="AL60" s="49">
        <v>0</v>
      </c>
      <c r="AM60" s="50">
        <v>0</v>
      </c>
      <c r="AN60" s="49">
        <v>11</v>
      </c>
      <c r="AO60" s="110">
        <v>36.666666666666664</v>
      </c>
      <c r="AP60" s="49">
        <v>30</v>
      </c>
    </row>
    <row r="61" spans="1:42" ht="15">
      <c r="A61" s="66" t="s">
        <v>280</v>
      </c>
      <c r="B61" s="66" t="s">
        <v>292</v>
      </c>
      <c r="C61" s="67" t="s">
        <v>774</v>
      </c>
      <c r="D61" s="68">
        <v>3</v>
      </c>
      <c r="E61" s="69"/>
      <c r="F61" s="70">
        <v>40</v>
      </c>
      <c r="G61" s="67"/>
      <c r="H61" s="71"/>
      <c r="I61" s="72"/>
      <c r="J61" s="72"/>
      <c r="K61" s="35" t="s">
        <v>65</v>
      </c>
      <c r="L61" s="80">
        <v>61</v>
      </c>
      <c r="M61" s="80"/>
      <c r="N61" s="74"/>
      <c r="O61" s="82" t="s">
        <v>776</v>
      </c>
      <c r="P61" s="82" t="s">
        <v>197</v>
      </c>
      <c r="Q61" s="82" t="s">
        <v>833</v>
      </c>
      <c r="R61" s="82" t="s">
        <v>280</v>
      </c>
      <c r="S61" s="82" t="s">
        <v>1358</v>
      </c>
      <c r="T61" s="84" t="str">
        <f>HYPERLINK("http://www.youtube.com/channel/UCRDV4_Mm80Chyjh-t8DbpZw")</f>
        <v>http://www.youtube.com/channel/UCRDV4_Mm80Chyjh-t8DbpZw</v>
      </c>
      <c r="U61" s="82"/>
      <c r="V61" s="82" t="s">
        <v>1829</v>
      </c>
      <c r="W61" s="84" t="str">
        <f>HYPERLINK("https://www.youtube.com/watch?v=Q-YZD2u1mO8")</f>
        <v>https://www.youtube.com/watch?v=Q-YZD2u1mO8</v>
      </c>
      <c r="X61" s="82" t="s">
        <v>1857</v>
      </c>
      <c r="Y61" s="82">
        <v>0</v>
      </c>
      <c r="Z61" s="86">
        <v>45000.69545138889</v>
      </c>
      <c r="AA61" s="86">
        <v>45000.69545138889</v>
      </c>
      <c r="AB61" s="82"/>
      <c r="AC61" s="82"/>
      <c r="AD61" s="82"/>
      <c r="AE61" s="82">
        <v>1</v>
      </c>
      <c r="AF61" s="81">
        <v>3</v>
      </c>
      <c r="AG61" s="81">
        <v>3</v>
      </c>
      <c r="AH61" s="49">
        <v>6</v>
      </c>
      <c r="AI61" s="110">
        <v>9.67741935483871</v>
      </c>
      <c r="AJ61" s="49">
        <v>4</v>
      </c>
      <c r="AK61" s="110">
        <v>6.451612903225806</v>
      </c>
      <c r="AL61" s="49">
        <v>0</v>
      </c>
      <c r="AM61" s="50">
        <v>0</v>
      </c>
      <c r="AN61" s="49">
        <v>24</v>
      </c>
      <c r="AO61" s="110">
        <v>38.70967741935484</v>
      </c>
      <c r="AP61" s="49">
        <v>62</v>
      </c>
    </row>
    <row r="62" spans="1:42" ht="15">
      <c r="A62" s="66" t="s">
        <v>281</v>
      </c>
      <c r="B62" s="66" t="s">
        <v>292</v>
      </c>
      <c r="C62" s="67" t="s">
        <v>4788</v>
      </c>
      <c r="D62" s="68">
        <v>10</v>
      </c>
      <c r="E62" s="69"/>
      <c r="F62" s="70">
        <v>15</v>
      </c>
      <c r="G62" s="67"/>
      <c r="H62" s="71"/>
      <c r="I62" s="72"/>
      <c r="J62" s="72"/>
      <c r="K62" s="35" t="s">
        <v>65</v>
      </c>
      <c r="L62" s="80">
        <v>62</v>
      </c>
      <c r="M62" s="80"/>
      <c r="N62" s="74"/>
      <c r="O62" s="82" t="s">
        <v>776</v>
      </c>
      <c r="P62" s="82" t="s">
        <v>197</v>
      </c>
      <c r="Q62" s="82" t="s">
        <v>834</v>
      </c>
      <c r="R62" s="82" t="s">
        <v>281</v>
      </c>
      <c r="S62" s="82" t="s">
        <v>1359</v>
      </c>
      <c r="T62" s="84" t="str">
        <f>HYPERLINK("http://www.youtube.com/channel/UC_x3AkfG7g4M4wySJkWupqg")</f>
        <v>http://www.youtube.com/channel/UC_x3AkfG7g4M4wySJkWupqg</v>
      </c>
      <c r="U62" s="82"/>
      <c r="V62" s="82" t="s">
        <v>1829</v>
      </c>
      <c r="W62" s="84" t="str">
        <f>HYPERLINK("https://www.youtube.com/watch?v=Q-YZD2u1mO8")</f>
        <v>https://www.youtube.com/watch?v=Q-YZD2u1mO8</v>
      </c>
      <c r="X62" s="82" t="s">
        <v>1857</v>
      </c>
      <c r="Y62" s="82">
        <v>0</v>
      </c>
      <c r="Z62" s="86">
        <v>45000.96189814815</v>
      </c>
      <c r="AA62" s="86">
        <v>45000.96189814815</v>
      </c>
      <c r="AB62" s="82"/>
      <c r="AC62" s="82"/>
      <c r="AD62" s="82"/>
      <c r="AE62" s="82">
        <v>4</v>
      </c>
      <c r="AF62" s="81">
        <v>3</v>
      </c>
      <c r="AG62" s="81">
        <v>3</v>
      </c>
      <c r="AH62" s="49">
        <v>1</v>
      </c>
      <c r="AI62" s="110">
        <v>8.333333333333334</v>
      </c>
      <c r="AJ62" s="49">
        <v>0</v>
      </c>
      <c r="AK62" s="50">
        <v>0</v>
      </c>
      <c r="AL62" s="49">
        <v>0</v>
      </c>
      <c r="AM62" s="50">
        <v>0</v>
      </c>
      <c r="AN62" s="49">
        <v>5</v>
      </c>
      <c r="AO62" s="110">
        <v>41.666666666666664</v>
      </c>
      <c r="AP62" s="49">
        <v>12</v>
      </c>
    </row>
    <row r="63" spans="1:42" ht="15">
      <c r="A63" s="66" t="s">
        <v>282</v>
      </c>
      <c r="B63" s="66" t="s">
        <v>292</v>
      </c>
      <c r="C63" s="67" t="s">
        <v>774</v>
      </c>
      <c r="D63" s="68">
        <v>3</v>
      </c>
      <c r="E63" s="69"/>
      <c r="F63" s="70">
        <v>40</v>
      </c>
      <c r="G63" s="67"/>
      <c r="H63" s="71"/>
      <c r="I63" s="72"/>
      <c r="J63" s="72"/>
      <c r="K63" s="35" t="s">
        <v>65</v>
      </c>
      <c r="L63" s="80">
        <v>63</v>
      </c>
      <c r="M63" s="80"/>
      <c r="N63" s="74"/>
      <c r="O63" s="82" t="s">
        <v>776</v>
      </c>
      <c r="P63" s="82" t="s">
        <v>197</v>
      </c>
      <c r="Q63" s="82" t="s">
        <v>835</v>
      </c>
      <c r="R63" s="82" t="s">
        <v>282</v>
      </c>
      <c r="S63" s="82" t="s">
        <v>1360</v>
      </c>
      <c r="T63" s="84" t="str">
        <f>HYPERLINK("http://www.youtube.com/channel/UCxX5x9qobr1D3PHFlguifeA")</f>
        <v>http://www.youtube.com/channel/UCxX5x9qobr1D3PHFlguifeA</v>
      </c>
      <c r="U63" s="82"/>
      <c r="V63" s="82" t="s">
        <v>1829</v>
      </c>
      <c r="W63" s="84" t="str">
        <f>HYPERLINK("https://www.youtube.com/watch?v=Q-YZD2u1mO8")</f>
        <v>https://www.youtube.com/watch?v=Q-YZD2u1mO8</v>
      </c>
      <c r="X63" s="82" t="s">
        <v>1857</v>
      </c>
      <c r="Y63" s="82">
        <v>0</v>
      </c>
      <c r="Z63" s="86">
        <v>45000.97383101852</v>
      </c>
      <c r="AA63" s="86">
        <v>45000.976435185185</v>
      </c>
      <c r="AB63" s="82"/>
      <c r="AC63" s="82"/>
      <c r="AD63" s="82"/>
      <c r="AE63" s="82">
        <v>1</v>
      </c>
      <c r="AF63" s="81">
        <v>3</v>
      </c>
      <c r="AG63" s="81">
        <v>3</v>
      </c>
      <c r="AH63" s="49">
        <v>3</v>
      </c>
      <c r="AI63" s="110">
        <v>2.727272727272727</v>
      </c>
      <c r="AJ63" s="49">
        <v>1</v>
      </c>
      <c r="AK63" s="110">
        <v>0.9090909090909091</v>
      </c>
      <c r="AL63" s="49">
        <v>0</v>
      </c>
      <c r="AM63" s="50">
        <v>0</v>
      </c>
      <c r="AN63" s="49">
        <v>35</v>
      </c>
      <c r="AO63" s="110">
        <v>31.818181818181817</v>
      </c>
      <c r="AP63" s="49">
        <v>110</v>
      </c>
    </row>
    <row r="64" spans="1:42" ht="15">
      <c r="A64" s="66" t="s">
        <v>283</v>
      </c>
      <c r="B64" s="66" t="s">
        <v>292</v>
      </c>
      <c r="C64" s="67" t="s">
        <v>774</v>
      </c>
      <c r="D64" s="68">
        <v>3</v>
      </c>
      <c r="E64" s="69"/>
      <c r="F64" s="70">
        <v>40</v>
      </c>
      <c r="G64" s="67"/>
      <c r="H64" s="71"/>
      <c r="I64" s="72"/>
      <c r="J64" s="72"/>
      <c r="K64" s="35" t="s">
        <v>65</v>
      </c>
      <c r="L64" s="80">
        <v>64</v>
      </c>
      <c r="M64" s="80"/>
      <c r="N64" s="74"/>
      <c r="O64" s="82" t="s">
        <v>776</v>
      </c>
      <c r="P64" s="82" t="s">
        <v>197</v>
      </c>
      <c r="Q64" s="82" t="s">
        <v>836</v>
      </c>
      <c r="R64" s="82" t="s">
        <v>283</v>
      </c>
      <c r="S64" s="82" t="s">
        <v>1361</v>
      </c>
      <c r="T64" s="84" t="str">
        <f>HYPERLINK("http://www.youtube.com/channel/UCJA1pkV9mpAJYNew-ZoPD-A")</f>
        <v>http://www.youtube.com/channel/UCJA1pkV9mpAJYNew-ZoPD-A</v>
      </c>
      <c r="U64" s="82"/>
      <c r="V64" s="82" t="s">
        <v>1829</v>
      </c>
      <c r="W64" s="84" t="str">
        <f>HYPERLINK("https://www.youtube.com/watch?v=Q-YZD2u1mO8")</f>
        <v>https://www.youtube.com/watch?v=Q-YZD2u1mO8</v>
      </c>
      <c r="X64" s="82" t="s">
        <v>1857</v>
      </c>
      <c r="Y64" s="82">
        <v>0</v>
      </c>
      <c r="Z64" s="86">
        <v>45000.978680555556</v>
      </c>
      <c r="AA64" s="86">
        <v>45000.978680555556</v>
      </c>
      <c r="AB64" s="82"/>
      <c r="AC64" s="82"/>
      <c r="AD64" s="82"/>
      <c r="AE64" s="82">
        <v>1</v>
      </c>
      <c r="AF64" s="81">
        <v>3</v>
      </c>
      <c r="AG64" s="81">
        <v>3</v>
      </c>
      <c r="AH64" s="49">
        <v>2</v>
      </c>
      <c r="AI64" s="110">
        <v>3.9215686274509802</v>
      </c>
      <c r="AJ64" s="49">
        <v>1</v>
      </c>
      <c r="AK64" s="110">
        <v>1.9607843137254901</v>
      </c>
      <c r="AL64" s="49">
        <v>0</v>
      </c>
      <c r="AM64" s="50">
        <v>0</v>
      </c>
      <c r="AN64" s="49">
        <v>12</v>
      </c>
      <c r="AO64" s="110">
        <v>23.529411764705884</v>
      </c>
      <c r="AP64" s="49">
        <v>51</v>
      </c>
    </row>
    <row r="65" spans="1:42" ht="15">
      <c r="A65" s="66" t="s">
        <v>284</v>
      </c>
      <c r="B65" s="66" t="s">
        <v>292</v>
      </c>
      <c r="C65" s="67" t="s">
        <v>774</v>
      </c>
      <c r="D65" s="68">
        <v>3</v>
      </c>
      <c r="E65" s="69"/>
      <c r="F65" s="70">
        <v>40</v>
      </c>
      <c r="G65" s="67"/>
      <c r="H65" s="71"/>
      <c r="I65" s="72"/>
      <c r="J65" s="72"/>
      <c r="K65" s="35" t="s">
        <v>65</v>
      </c>
      <c r="L65" s="80">
        <v>65</v>
      </c>
      <c r="M65" s="80"/>
      <c r="N65" s="74"/>
      <c r="O65" s="82" t="s">
        <v>776</v>
      </c>
      <c r="P65" s="82" t="s">
        <v>197</v>
      </c>
      <c r="Q65" s="82" t="s">
        <v>837</v>
      </c>
      <c r="R65" s="82" t="s">
        <v>284</v>
      </c>
      <c r="S65" s="82" t="s">
        <v>1362</v>
      </c>
      <c r="T65" s="84" t="str">
        <f>HYPERLINK("http://www.youtube.com/channel/UCWQ86dk1RtzIxh39I4riWJg")</f>
        <v>http://www.youtube.com/channel/UCWQ86dk1RtzIxh39I4riWJg</v>
      </c>
      <c r="U65" s="82"/>
      <c r="V65" s="82" t="s">
        <v>1829</v>
      </c>
      <c r="W65" s="84" t="str">
        <f>HYPERLINK("https://www.youtube.com/watch?v=Q-YZD2u1mO8")</f>
        <v>https://www.youtube.com/watch?v=Q-YZD2u1mO8</v>
      </c>
      <c r="X65" s="82" t="s">
        <v>1857</v>
      </c>
      <c r="Y65" s="82">
        <v>0</v>
      </c>
      <c r="Z65" s="86">
        <v>45002.29466435185</v>
      </c>
      <c r="AA65" s="86">
        <v>45002.29466435185</v>
      </c>
      <c r="AB65" s="82"/>
      <c r="AC65" s="82"/>
      <c r="AD65" s="82"/>
      <c r="AE65" s="82">
        <v>1</v>
      </c>
      <c r="AF65" s="81">
        <v>3</v>
      </c>
      <c r="AG65" s="81">
        <v>3</v>
      </c>
      <c r="AH65" s="49">
        <v>3</v>
      </c>
      <c r="AI65" s="110">
        <v>5.769230769230769</v>
      </c>
      <c r="AJ65" s="49">
        <v>0</v>
      </c>
      <c r="AK65" s="50">
        <v>0</v>
      </c>
      <c r="AL65" s="49">
        <v>0</v>
      </c>
      <c r="AM65" s="50">
        <v>0</v>
      </c>
      <c r="AN65" s="49">
        <v>19</v>
      </c>
      <c r="AO65" s="110">
        <v>36.53846153846154</v>
      </c>
      <c r="AP65" s="49">
        <v>52</v>
      </c>
    </row>
    <row r="66" spans="1:42" ht="15">
      <c r="A66" s="66" t="s">
        <v>285</v>
      </c>
      <c r="B66" s="66" t="s">
        <v>292</v>
      </c>
      <c r="C66" s="67" t="s">
        <v>774</v>
      </c>
      <c r="D66" s="68">
        <v>3</v>
      </c>
      <c r="E66" s="69"/>
      <c r="F66" s="70">
        <v>40</v>
      </c>
      <c r="G66" s="67"/>
      <c r="H66" s="71"/>
      <c r="I66" s="72"/>
      <c r="J66" s="72"/>
      <c r="K66" s="35" t="s">
        <v>65</v>
      </c>
      <c r="L66" s="80">
        <v>66</v>
      </c>
      <c r="M66" s="80"/>
      <c r="N66" s="74"/>
      <c r="O66" s="82" t="s">
        <v>776</v>
      </c>
      <c r="P66" s="82" t="s">
        <v>197</v>
      </c>
      <c r="Q66" s="82" t="s">
        <v>838</v>
      </c>
      <c r="R66" s="82" t="s">
        <v>285</v>
      </c>
      <c r="S66" s="82" t="s">
        <v>1363</v>
      </c>
      <c r="T66" s="84" t="str">
        <f>HYPERLINK("http://www.youtube.com/channel/UCNWasPkWThbNGU78wTte-aA")</f>
        <v>http://www.youtube.com/channel/UCNWasPkWThbNGU78wTte-aA</v>
      </c>
      <c r="U66" s="82"/>
      <c r="V66" s="82" t="s">
        <v>1829</v>
      </c>
      <c r="W66" s="84" t="str">
        <f>HYPERLINK("https://www.youtube.com/watch?v=Q-YZD2u1mO8")</f>
        <v>https://www.youtube.com/watch?v=Q-YZD2u1mO8</v>
      </c>
      <c r="X66" s="82" t="s">
        <v>1857</v>
      </c>
      <c r="Y66" s="82">
        <v>0</v>
      </c>
      <c r="Z66" s="86">
        <v>45004.00849537037</v>
      </c>
      <c r="AA66" s="86">
        <v>45004.00849537037</v>
      </c>
      <c r="AB66" s="82"/>
      <c r="AC66" s="82"/>
      <c r="AD66" s="82"/>
      <c r="AE66" s="82">
        <v>1</v>
      </c>
      <c r="AF66" s="81">
        <v>3</v>
      </c>
      <c r="AG66" s="81">
        <v>3</v>
      </c>
      <c r="AH66" s="49">
        <v>4</v>
      </c>
      <c r="AI66" s="110">
        <v>2.0833333333333335</v>
      </c>
      <c r="AJ66" s="49">
        <v>4</v>
      </c>
      <c r="AK66" s="110">
        <v>2.0833333333333335</v>
      </c>
      <c r="AL66" s="49">
        <v>0</v>
      </c>
      <c r="AM66" s="50">
        <v>0</v>
      </c>
      <c r="AN66" s="49">
        <v>63</v>
      </c>
      <c r="AO66" s="50">
        <v>32.8125</v>
      </c>
      <c r="AP66" s="49">
        <v>192</v>
      </c>
    </row>
    <row r="67" spans="1:42" ht="15">
      <c r="A67" s="66" t="s">
        <v>286</v>
      </c>
      <c r="B67" s="66" t="s">
        <v>292</v>
      </c>
      <c r="C67" s="67" t="s">
        <v>774</v>
      </c>
      <c r="D67" s="68">
        <v>3</v>
      </c>
      <c r="E67" s="69"/>
      <c r="F67" s="70">
        <v>40</v>
      </c>
      <c r="G67" s="67"/>
      <c r="H67" s="71"/>
      <c r="I67" s="72"/>
      <c r="J67" s="72"/>
      <c r="K67" s="35" t="s">
        <v>65</v>
      </c>
      <c r="L67" s="80">
        <v>67</v>
      </c>
      <c r="M67" s="80"/>
      <c r="N67" s="74"/>
      <c r="O67" s="82" t="s">
        <v>776</v>
      </c>
      <c r="P67" s="82" t="s">
        <v>197</v>
      </c>
      <c r="Q67" s="82" t="s">
        <v>839</v>
      </c>
      <c r="R67" s="82" t="s">
        <v>286</v>
      </c>
      <c r="S67" s="82" t="s">
        <v>1364</v>
      </c>
      <c r="T67" s="84" t="str">
        <f>HYPERLINK("http://www.youtube.com/channel/UCfPPxdm0eV0r8yLJMUAeHYQ")</f>
        <v>http://www.youtube.com/channel/UCfPPxdm0eV0r8yLJMUAeHYQ</v>
      </c>
      <c r="U67" s="82"/>
      <c r="V67" s="82" t="s">
        <v>1829</v>
      </c>
      <c r="W67" s="84" t="str">
        <f>HYPERLINK("https://www.youtube.com/watch?v=Q-YZD2u1mO8")</f>
        <v>https://www.youtube.com/watch?v=Q-YZD2u1mO8</v>
      </c>
      <c r="X67" s="82" t="s">
        <v>1857</v>
      </c>
      <c r="Y67" s="82">
        <v>0</v>
      </c>
      <c r="Z67" s="86">
        <v>45006.6483912037</v>
      </c>
      <c r="AA67" s="86">
        <v>45006.6483912037</v>
      </c>
      <c r="AB67" s="82"/>
      <c r="AC67" s="82"/>
      <c r="AD67" s="82"/>
      <c r="AE67" s="82">
        <v>1</v>
      </c>
      <c r="AF67" s="81">
        <v>3</v>
      </c>
      <c r="AG67" s="81">
        <v>3</v>
      </c>
      <c r="AH67" s="49">
        <v>6</v>
      </c>
      <c r="AI67" s="110">
        <v>1.9047619047619047</v>
      </c>
      <c r="AJ67" s="49">
        <v>18</v>
      </c>
      <c r="AK67" s="110">
        <v>5.714285714285714</v>
      </c>
      <c r="AL67" s="49">
        <v>0</v>
      </c>
      <c r="AM67" s="50">
        <v>0</v>
      </c>
      <c r="AN67" s="49">
        <v>94</v>
      </c>
      <c r="AO67" s="110">
        <v>29.841269841269842</v>
      </c>
      <c r="AP67" s="49">
        <v>315</v>
      </c>
    </row>
    <row r="68" spans="1:42" ht="15">
      <c r="A68" s="66" t="s">
        <v>287</v>
      </c>
      <c r="B68" s="66" t="s">
        <v>292</v>
      </c>
      <c r="C68" s="67" t="s">
        <v>4793</v>
      </c>
      <c r="D68" s="68">
        <v>10</v>
      </c>
      <c r="E68" s="69"/>
      <c r="F68" s="70">
        <v>15</v>
      </c>
      <c r="G68" s="67"/>
      <c r="H68" s="71"/>
      <c r="I68" s="72"/>
      <c r="J68" s="72"/>
      <c r="K68" s="35" t="s">
        <v>65</v>
      </c>
      <c r="L68" s="80">
        <v>68</v>
      </c>
      <c r="M68" s="80"/>
      <c r="N68" s="74"/>
      <c r="O68" s="82" t="s">
        <v>776</v>
      </c>
      <c r="P68" s="82" t="s">
        <v>197</v>
      </c>
      <c r="Q68" s="82" t="s">
        <v>840</v>
      </c>
      <c r="R68" s="82" t="s">
        <v>287</v>
      </c>
      <c r="S68" s="82" t="s">
        <v>1365</v>
      </c>
      <c r="T68" s="84" t="str">
        <f>HYPERLINK("http://www.youtube.com/channel/UCY17GXLLENc2GDQES1coMAg")</f>
        <v>http://www.youtube.com/channel/UCY17GXLLENc2GDQES1coMAg</v>
      </c>
      <c r="U68" s="82"/>
      <c r="V68" s="82" t="s">
        <v>1829</v>
      </c>
      <c r="W68" s="84" t="str">
        <f>HYPERLINK("https://www.youtube.com/watch?v=Q-YZD2u1mO8")</f>
        <v>https://www.youtube.com/watch?v=Q-YZD2u1mO8</v>
      </c>
      <c r="X68" s="82" t="s">
        <v>1857</v>
      </c>
      <c r="Y68" s="82">
        <v>0</v>
      </c>
      <c r="Z68" s="86">
        <v>45007.43782407408</v>
      </c>
      <c r="AA68" s="86">
        <v>45007.43782407408</v>
      </c>
      <c r="AB68" s="82"/>
      <c r="AC68" s="82"/>
      <c r="AD68" s="82"/>
      <c r="AE68" s="82">
        <v>25</v>
      </c>
      <c r="AF68" s="81">
        <v>3</v>
      </c>
      <c r="AG68" s="81">
        <v>3</v>
      </c>
      <c r="AH68" s="49">
        <v>0</v>
      </c>
      <c r="AI68" s="50">
        <v>0</v>
      </c>
      <c r="AJ68" s="49">
        <v>0</v>
      </c>
      <c r="AK68" s="50">
        <v>0</v>
      </c>
      <c r="AL68" s="49">
        <v>0</v>
      </c>
      <c r="AM68" s="50">
        <v>0</v>
      </c>
      <c r="AN68" s="49">
        <v>5</v>
      </c>
      <c r="AO68" s="50">
        <v>50</v>
      </c>
      <c r="AP68" s="49">
        <v>10</v>
      </c>
    </row>
    <row r="69" spans="1:42" ht="15">
      <c r="A69" s="66" t="s">
        <v>288</v>
      </c>
      <c r="B69" s="66" t="s">
        <v>292</v>
      </c>
      <c r="C69" s="67" t="s">
        <v>774</v>
      </c>
      <c r="D69" s="68">
        <v>3</v>
      </c>
      <c r="E69" s="69"/>
      <c r="F69" s="70">
        <v>40</v>
      </c>
      <c r="G69" s="67"/>
      <c r="H69" s="71"/>
      <c r="I69" s="72"/>
      <c r="J69" s="72"/>
      <c r="K69" s="35" t="s">
        <v>65</v>
      </c>
      <c r="L69" s="80">
        <v>69</v>
      </c>
      <c r="M69" s="80"/>
      <c r="N69" s="74"/>
      <c r="O69" s="82" t="s">
        <v>776</v>
      </c>
      <c r="P69" s="82" t="s">
        <v>197</v>
      </c>
      <c r="Q69" s="82" t="s">
        <v>841</v>
      </c>
      <c r="R69" s="82" t="s">
        <v>288</v>
      </c>
      <c r="S69" s="82" t="s">
        <v>1366</v>
      </c>
      <c r="T69" s="84" t="str">
        <f>HYPERLINK("http://www.youtube.com/channel/UCqMcyZ2lJMpUZbytiLF7vog")</f>
        <v>http://www.youtube.com/channel/UCqMcyZ2lJMpUZbytiLF7vog</v>
      </c>
      <c r="U69" s="82"/>
      <c r="V69" s="82" t="s">
        <v>1829</v>
      </c>
      <c r="W69" s="84" t="str">
        <f>HYPERLINK("https://www.youtube.com/watch?v=Q-YZD2u1mO8")</f>
        <v>https://www.youtube.com/watch?v=Q-YZD2u1mO8</v>
      </c>
      <c r="X69" s="82" t="s">
        <v>1857</v>
      </c>
      <c r="Y69" s="82">
        <v>0</v>
      </c>
      <c r="Z69" s="86">
        <v>45010.93324074074</v>
      </c>
      <c r="AA69" s="86">
        <v>45010.93324074074</v>
      </c>
      <c r="AB69" s="82"/>
      <c r="AC69" s="82"/>
      <c r="AD69" s="82"/>
      <c r="AE69" s="82">
        <v>1</v>
      </c>
      <c r="AF69" s="81">
        <v>3</v>
      </c>
      <c r="AG69" s="81">
        <v>3</v>
      </c>
      <c r="AH69" s="49">
        <v>0</v>
      </c>
      <c r="AI69" s="50">
        <v>0</v>
      </c>
      <c r="AJ69" s="49">
        <v>0</v>
      </c>
      <c r="AK69" s="50">
        <v>0</v>
      </c>
      <c r="AL69" s="49">
        <v>0</v>
      </c>
      <c r="AM69" s="50">
        <v>0</v>
      </c>
      <c r="AN69" s="49">
        <v>3</v>
      </c>
      <c r="AO69" s="50">
        <v>25</v>
      </c>
      <c r="AP69" s="49">
        <v>12</v>
      </c>
    </row>
    <row r="70" spans="1:42" ht="15">
      <c r="A70" s="66" t="s">
        <v>289</v>
      </c>
      <c r="B70" s="66" t="s">
        <v>292</v>
      </c>
      <c r="C70" s="67" t="s">
        <v>774</v>
      </c>
      <c r="D70" s="68">
        <v>3</v>
      </c>
      <c r="E70" s="69"/>
      <c r="F70" s="70">
        <v>40</v>
      </c>
      <c r="G70" s="67"/>
      <c r="H70" s="71"/>
      <c r="I70" s="72"/>
      <c r="J70" s="72"/>
      <c r="K70" s="35" t="s">
        <v>65</v>
      </c>
      <c r="L70" s="80">
        <v>70</v>
      </c>
      <c r="M70" s="80"/>
      <c r="N70" s="74"/>
      <c r="O70" s="82" t="s">
        <v>776</v>
      </c>
      <c r="P70" s="82" t="s">
        <v>197</v>
      </c>
      <c r="Q70" s="82" t="s">
        <v>842</v>
      </c>
      <c r="R70" s="82" t="s">
        <v>289</v>
      </c>
      <c r="S70" s="82" t="s">
        <v>1367</v>
      </c>
      <c r="T70" s="84" t="str">
        <f>HYPERLINK("http://www.youtube.com/channel/UC9vNxe54O877N8XswqMCnAw")</f>
        <v>http://www.youtube.com/channel/UC9vNxe54O877N8XswqMCnAw</v>
      </c>
      <c r="U70" s="82"/>
      <c r="V70" s="82" t="s">
        <v>1829</v>
      </c>
      <c r="W70" s="84" t="str">
        <f>HYPERLINK("https://www.youtube.com/watch?v=Q-YZD2u1mO8")</f>
        <v>https://www.youtube.com/watch?v=Q-YZD2u1mO8</v>
      </c>
      <c r="X70" s="82" t="s">
        <v>1857</v>
      </c>
      <c r="Y70" s="82">
        <v>0</v>
      </c>
      <c r="Z70" s="86">
        <v>45011.78099537037</v>
      </c>
      <c r="AA70" s="86">
        <v>45011.78099537037</v>
      </c>
      <c r="AB70" s="82"/>
      <c r="AC70" s="82"/>
      <c r="AD70" s="82"/>
      <c r="AE70" s="82">
        <v>1</v>
      </c>
      <c r="AF70" s="81">
        <v>3</v>
      </c>
      <c r="AG70" s="81">
        <v>3</v>
      </c>
      <c r="AH70" s="49">
        <v>3</v>
      </c>
      <c r="AI70" s="110">
        <v>2.459016393442623</v>
      </c>
      <c r="AJ70" s="49">
        <v>10</v>
      </c>
      <c r="AK70" s="110">
        <v>8.19672131147541</v>
      </c>
      <c r="AL70" s="49">
        <v>0</v>
      </c>
      <c r="AM70" s="50">
        <v>0</v>
      </c>
      <c r="AN70" s="49">
        <v>52</v>
      </c>
      <c r="AO70" s="110">
        <v>42.622950819672134</v>
      </c>
      <c r="AP70" s="49">
        <v>122</v>
      </c>
    </row>
    <row r="71" spans="1:42" ht="15">
      <c r="A71" s="66" t="s">
        <v>290</v>
      </c>
      <c r="B71" s="66" t="s">
        <v>292</v>
      </c>
      <c r="C71" s="67" t="s">
        <v>774</v>
      </c>
      <c r="D71" s="68">
        <v>3</v>
      </c>
      <c r="E71" s="69"/>
      <c r="F71" s="70">
        <v>40</v>
      </c>
      <c r="G71" s="67"/>
      <c r="H71" s="71"/>
      <c r="I71" s="72"/>
      <c r="J71" s="72"/>
      <c r="K71" s="35" t="s">
        <v>65</v>
      </c>
      <c r="L71" s="80">
        <v>71</v>
      </c>
      <c r="M71" s="80"/>
      <c r="N71" s="74"/>
      <c r="O71" s="82" t="s">
        <v>776</v>
      </c>
      <c r="P71" s="82" t="s">
        <v>197</v>
      </c>
      <c r="Q71" s="82" t="s">
        <v>843</v>
      </c>
      <c r="R71" s="82" t="s">
        <v>290</v>
      </c>
      <c r="S71" s="82" t="s">
        <v>1368</v>
      </c>
      <c r="T71" s="84" t="str">
        <f>HYPERLINK("http://www.youtube.com/channel/UCJoPOi7-qPyZZ2MkH6SPc_A")</f>
        <v>http://www.youtube.com/channel/UCJoPOi7-qPyZZ2MkH6SPc_A</v>
      </c>
      <c r="U71" s="82"/>
      <c r="V71" s="82" t="s">
        <v>1829</v>
      </c>
      <c r="W71" s="84" t="str">
        <f>HYPERLINK("https://www.youtube.com/watch?v=Q-YZD2u1mO8")</f>
        <v>https://www.youtube.com/watch?v=Q-YZD2u1mO8</v>
      </c>
      <c r="X71" s="82" t="s">
        <v>1857</v>
      </c>
      <c r="Y71" s="82">
        <v>0</v>
      </c>
      <c r="Z71" s="86">
        <v>45028.17209490741</v>
      </c>
      <c r="AA71" s="86">
        <v>45028.17209490741</v>
      </c>
      <c r="AB71" s="82"/>
      <c r="AC71" s="82"/>
      <c r="AD71" s="82"/>
      <c r="AE71" s="82">
        <v>1</v>
      </c>
      <c r="AF71" s="81">
        <v>3</v>
      </c>
      <c r="AG71" s="81">
        <v>3</v>
      </c>
      <c r="AH71" s="49">
        <v>1</v>
      </c>
      <c r="AI71" s="110">
        <v>3.3333333333333335</v>
      </c>
      <c r="AJ71" s="49">
        <v>1</v>
      </c>
      <c r="AK71" s="110">
        <v>3.3333333333333335</v>
      </c>
      <c r="AL71" s="49">
        <v>0</v>
      </c>
      <c r="AM71" s="50">
        <v>0</v>
      </c>
      <c r="AN71" s="49">
        <v>8</v>
      </c>
      <c r="AO71" s="110">
        <v>26.666666666666668</v>
      </c>
      <c r="AP71" s="49">
        <v>30</v>
      </c>
    </row>
    <row r="72" spans="1:42" ht="15">
      <c r="A72" s="66" t="s">
        <v>291</v>
      </c>
      <c r="B72" s="66" t="s">
        <v>292</v>
      </c>
      <c r="C72" s="67" t="s">
        <v>4788</v>
      </c>
      <c r="D72" s="68">
        <v>10</v>
      </c>
      <c r="E72" s="69"/>
      <c r="F72" s="70">
        <v>15</v>
      </c>
      <c r="G72" s="67"/>
      <c r="H72" s="71"/>
      <c r="I72" s="72"/>
      <c r="J72" s="72"/>
      <c r="K72" s="35" t="s">
        <v>65</v>
      </c>
      <c r="L72" s="80">
        <v>72</v>
      </c>
      <c r="M72" s="80"/>
      <c r="N72" s="74"/>
      <c r="O72" s="82" t="s">
        <v>776</v>
      </c>
      <c r="P72" s="82" t="s">
        <v>197</v>
      </c>
      <c r="Q72" s="82" t="s">
        <v>844</v>
      </c>
      <c r="R72" s="82" t="s">
        <v>291</v>
      </c>
      <c r="S72" s="82" t="s">
        <v>1369</v>
      </c>
      <c r="T72" s="84" t="str">
        <f>HYPERLINK("http://www.youtube.com/channel/UCWH0qNynKh2T84M0-UlahdA")</f>
        <v>http://www.youtube.com/channel/UCWH0qNynKh2T84M0-UlahdA</v>
      </c>
      <c r="U72" s="82"/>
      <c r="V72" s="82" t="s">
        <v>1829</v>
      </c>
      <c r="W72" s="84" t="str">
        <f>HYPERLINK("https://www.youtube.com/watch?v=Q-YZD2u1mO8")</f>
        <v>https://www.youtube.com/watch?v=Q-YZD2u1mO8</v>
      </c>
      <c r="X72" s="82" t="s">
        <v>1857</v>
      </c>
      <c r="Y72" s="82">
        <v>0</v>
      </c>
      <c r="Z72" s="86">
        <v>45111.34229166667</v>
      </c>
      <c r="AA72" s="86">
        <v>45111.34229166667</v>
      </c>
      <c r="AB72" s="82"/>
      <c r="AC72" s="82"/>
      <c r="AD72" s="82"/>
      <c r="AE72" s="82">
        <v>4</v>
      </c>
      <c r="AF72" s="81">
        <v>3</v>
      </c>
      <c r="AG72" s="81">
        <v>3</v>
      </c>
      <c r="AH72" s="49">
        <v>0</v>
      </c>
      <c r="AI72" s="50">
        <v>0</v>
      </c>
      <c r="AJ72" s="49">
        <v>1</v>
      </c>
      <c r="AK72" s="50">
        <v>25</v>
      </c>
      <c r="AL72" s="49">
        <v>0</v>
      </c>
      <c r="AM72" s="50">
        <v>0</v>
      </c>
      <c r="AN72" s="49">
        <v>1</v>
      </c>
      <c r="AO72" s="50">
        <v>25</v>
      </c>
      <c r="AP72" s="49">
        <v>4</v>
      </c>
    </row>
    <row r="73" spans="1:42" ht="15">
      <c r="A73" s="66" t="s">
        <v>292</v>
      </c>
      <c r="B73" s="66" t="s">
        <v>292</v>
      </c>
      <c r="C73" s="67" t="s">
        <v>774</v>
      </c>
      <c r="D73" s="68">
        <v>3</v>
      </c>
      <c r="E73" s="69"/>
      <c r="F73" s="70">
        <v>40</v>
      </c>
      <c r="G73" s="67"/>
      <c r="H73" s="71"/>
      <c r="I73" s="72"/>
      <c r="J73" s="72"/>
      <c r="K73" s="35" t="s">
        <v>65</v>
      </c>
      <c r="L73" s="80">
        <v>73</v>
      </c>
      <c r="M73" s="80"/>
      <c r="N73" s="74"/>
      <c r="O73" s="82" t="s">
        <v>777</v>
      </c>
      <c r="P73" s="82"/>
      <c r="Q73" s="82"/>
      <c r="R73" s="82"/>
      <c r="S73" s="82"/>
      <c r="T73" s="82"/>
      <c r="U73" s="82"/>
      <c r="V73" s="82" t="s">
        <v>1829</v>
      </c>
      <c r="W73" s="84" t="str">
        <f>HYPERLINK("https://www.youtube.com/watch?v=Q-YZD2u1mO8")</f>
        <v>https://www.youtube.com/watch?v=Q-YZD2u1mO8</v>
      </c>
      <c r="X73" s="82"/>
      <c r="Y73" s="82"/>
      <c r="Z73" s="86">
        <v>44974.111967592595</v>
      </c>
      <c r="AA73" s="82"/>
      <c r="AB73" s="82"/>
      <c r="AC73" s="82"/>
      <c r="AD73" s="82"/>
      <c r="AE73" s="82">
        <v>1</v>
      </c>
      <c r="AF73" s="81">
        <v>3</v>
      </c>
      <c r="AG73" s="81">
        <v>3</v>
      </c>
      <c r="AH73" s="49"/>
      <c r="AI73" s="50"/>
      <c r="AJ73" s="49"/>
      <c r="AK73" s="50"/>
      <c r="AL73" s="49"/>
      <c r="AM73" s="50"/>
      <c r="AN73" s="49"/>
      <c r="AO73" s="50"/>
      <c r="AP73" s="49"/>
    </row>
    <row r="74" spans="1:42" ht="15">
      <c r="A74" s="66" t="s">
        <v>293</v>
      </c>
      <c r="B74" s="66" t="s">
        <v>292</v>
      </c>
      <c r="C74" s="67" t="s">
        <v>774</v>
      </c>
      <c r="D74" s="68">
        <v>3</v>
      </c>
      <c r="E74" s="69"/>
      <c r="F74" s="70">
        <v>40</v>
      </c>
      <c r="G74" s="67"/>
      <c r="H74" s="71"/>
      <c r="I74" s="72"/>
      <c r="J74" s="72"/>
      <c r="K74" s="35" t="s">
        <v>65</v>
      </c>
      <c r="L74" s="80">
        <v>74</v>
      </c>
      <c r="M74" s="80"/>
      <c r="N74" s="74"/>
      <c r="O74" s="82" t="s">
        <v>776</v>
      </c>
      <c r="P74" s="82" t="s">
        <v>197</v>
      </c>
      <c r="Q74" s="82" t="s">
        <v>845</v>
      </c>
      <c r="R74" s="82" t="s">
        <v>293</v>
      </c>
      <c r="S74" s="82" t="s">
        <v>1370</v>
      </c>
      <c r="T74" s="84" t="str">
        <f>HYPERLINK("http://www.youtube.com/channel/UC9bFss-24oXqPC76WhDPIOQ")</f>
        <v>http://www.youtube.com/channel/UC9bFss-24oXqPC76WhDPIOQ</v>
      </c>
      <c r="U74" s="82"/>
      <c r="V74" s="82" t="s">
        <v>1829</v>
      </c>
      <c r="W74" s="84" t="str">
        <f>HYPERLINK("https://www.youtube.com/watch?v=Q-YZD2u1mO8")</f>
        <v>https://www.youtube.com/watch?v=Q-YZD2u1mO8</v>
      </c>
      <c r="X74" s="82" t="s">
        <v>1857</v>
      </c>
      <c r="Y74" s="82">
        <v>0</v>
      </c>
      <c r="Z74" s="86">
        <v>45140.42952546296</v>
      </c>
      <c r="AA74" s="86">
        <v>45140.42952546296</v>
      </c>
      <c r="AB74" s="82"/>
      <c r="AC74" s="82"/>
      <c r="AD74" s="82"/>
      <c r="AE74" s="82">
        <v>1</v>
      </c>
      <c r="AF74" s="81">
        <v>3</v>
      </c>
      <c r="AG74" s="81">
        <v>3</v>
      </c>
      <c r="AH74" s="49">
        <v>13</v>
      </c>
      <c r="AI74" s="110">
        <v>6.046511627906977</v>
      </c>
      <c r="AJ74" s="49">
        <v>10</v>
      </c>
      <c r="AK74" s="110">
        <v>4.651162790697675</v>
      </c>
      <c r="AL74" s="49">
        <v>0</v>
      </c>
      <c r="AM74" s="50">
        <v>0</v>
      </c>
      <c r="AN74" s="49">
        <v>71</v>
      </c>
      <c r="AO74" s="110">
        <v>33.02325581395349</v>
      </c>
      <c r="AP74" s="49">
        <v>215</v>
      </c>
    </row>
    <row r="75" spans="1:42" ht="15">
      <c r="A75" s="66" t="s">
        <v>294</v>
      </c>
      <c r="B75" s="66" t="s">
        <v>355</v>
      </c>
      <c r="C75" s="67" t="s">
        <v>4788</v>
      </c>
      <c r="D75" s="68">
        <v>10</v>
      </c>
      <c r="E75" s="69"/>
      <c r="F75" s="70">
        <v>15</v>
      </c>
      <c r="G75" s="67"/>
      <c r="H75" s="71"/>
      <c r="I75" s="72"/>
      <c r="J75" s="72"/>
      <c r="K75" s="35" t="s">
        <v>65</v>
      </c>
      <c r="L75" s="80">
        <v>75</v>
      </c>
      <c r="M75" s="80"/>
      <c r="N75" s="74"/>
      <c r="O75" s="82" t="s">
        <v>776</v>
      </c>
      <c r="P75" s="82" t="s">
        <v>197</v>
      </c>
      <c r="Q75" s="82" t="s">
        <v>846</v>
      </c>
      <c r="R75" s="82" t="s">
        <v>294</v>
      </c>
      <c r="S75" s="82" t="s">
        <v>1371</v>
      </c>
      <c r="T75" s="84" t="str">
        <f>HYPERLINK("http://www.youtube.com/channel/UC_Nur1oBlns6HSWK9rI9_vw")</f>
        <v>http://www.youtube.com/channel/UC_Nur1oBlns6HSWK9rI9_vw</v>
      </c>
      <c r="U75" s="82"/>
      <c r="V75" s="82" t="s">
        <v>1830</v>
      </c>
      <c r="W75" s="84" t="str">
        <f>HYPERLINK("https://www.youtube.com/watch?v=pRT5aJ3nbHM")</f>
        <v>https://www.youtube.com/watch?v=pRT5aJ3nbHM</v>
      </c>
      <c r="X75" s="82" t="s">
        <v>1857</v>
      </c>
      <c r="Y75" s="82">
        <v>0</v>
      </c>
      <c r="Z75" s="86">
        <v>44831.76436342593</v>
      </c>
      <c r="AA75" s="86">
        <v>44831.76436342593</v>
      </c>
      <c r="AB75" s="82"/>
      <c r="AC75" s="82"/>
      <c r="AD75" s="82"/>
      <c r="AE75" s="82">
        <v>4</v>
      </c>
      <c r="AF75" s="81">
        <v>4</v>
      </c>
      <c r="AG75" s="81">
        <v>4</v>
      </c>
      <c r="AH75" s="49">
        <v>0</v>
      </c>
      <c r="AI75" s="50">
        <v>0</v>
      </c>
      <c r="AJ75" s="49">
        <v>0</v>
      </c>
      <c r="AK75" s="50">
        <v>0</v>
      </c>
      <c r="AL75" s="49">
        <v>0</v>
      </c>
      <c r="AM75" s="50">
        <v>0</v>
      </c>
      <c r="AN75" s="49">
        <v>0</v>
      </c>
      <c r="AO75" s="50">
        <v>0</v>
      </c>
      <c r="AP75" s="49">
        <v>0</v>
      </c>
    </row>
    <row r="76" spans="1:42" ht="15">
      <c r="A76" s="66" t="s">
        <v>295</v>
      </c>
      <c r="B76" s="66" t="s">
        <v>355</v>
      </c>
      <c r="C76" s="67" t="s">
        <v>774</v>
      </c>
      <c r="D76" s="68">
        <v>3</v>
      </c>
      <c r="E76" s="69"/>
      <c r="F76" s="70">
        <v>40</v>
      </c>
      <c r="G76" s="67"/>
      <c r="H76" s="71"/>
      <c r="I76" s="72"/>
      <c r="J76" s="72"/>
      <c r="K76" s="35" t="s">
        <v>65</v>
      </c>
      <c r="L76" s="80">
        <v>76</v>
      </c>
      <c r="M76" s="80"/>
      <c r="N76" s="74"/>
      <c r="O76" s="82" t="s">
        <v>776</v>
      </c>
      <c r="P76" s="82" t="s">
        <v>197</v>
      </c>
      <c r="Q76" s="82" t="s">
        <v>847</v>
      </c>
      <c r="R76" s="82" t="s">
        <v>295</v>
      </c>
      <c r="S76" s="82" t="s">
        <v>1372</v>
      </c>
      <c r="T76" s="84" t="str">
        <f>HYPERLINK("http://www.youtube.com/channel/UCwHDDjfIl0VwnHgP9PnH3bQ")</f>
        <v>http://www.youtube.com/channel/UCwHDDjfIl0VwnHgP9PnH3bQ</v>
      </c>
      <c r="U76" s="82"/>
      <c r="V76" s="82" t="s">
        <v>1830</v>
      </c>
      <c r="W76" s="84" t="str">
        <f>HYPERLINK("https://www.youtube.com/watch?v=pRT5aJ3nbHM")</f>
        <v>https://www.youtube.com/watch?v=pRT5aJ3nbHM</v>
      </c>
      <c r="X76" s="82" t="s">
        <v>1857</v>
      </c>
      <c r="Y76" s="82">
        <v>2</v>
      </c>
      <c r="Z76" s="86">
        <v>44831.777280092596</v>
      </c>
      <c r="AA76" s="86">
        <v>44831.777280092596</v>
      </c>
      <c r="AB76" s="82"/>
      <c r="AC76" s="82"/>
      <c r="AD76" s="82"/>
      <c r="AE76" s="82">
        <v>1</v>
      </c>
      <c r="AF76" s="81">
        <v>4</v>
      </c>
      <c r="AG76" s="81">
        <v>4</v>
      </c>
      <c r="AH76" s="49">
        <v>1</v>
      </c>
      <c r="AI76" s="110">
        <v>8.333333333333334</v>
      </c>
      <c r="AJ76" s="49">
        <v>0</v>
      </c>
      <c r="AK76" s="50">
        <v>0</v>
      </c>
      <c r="AL76" s="49">
        <v>0</v>
      </c>
      <c r="AM76" s="50">
        <v>0</v>
      </c>
      <c r="AN76" s="49">
        <v>4</v>
      </c>
      <c r="AO76" s="110">
        <v>33.333333333333336</v>
      </c>
      <c r="AP76" s="49">
        <v>12</v>
      </c>
    </row>
    <row r="77" spans="1:42" ht="15">
      <c r="A77" s="66" t="s">
        <v>296</v>
      </c>
      <c r="B77" s="66" t="s">
        <v>355</v>
      </c>
      <c r="C77" s="67" t="s">
        <v>774</v>
      </c>
      <c r="D77" s="68">
        <v>3</v>
      </c>
      <c r="E77" s="69"/>
      <c r="F77" s="70">
        <v>40</v>
      </c>
      <c r="G77" s="67"/>
      <c r="H77" s="71"/>
      <c r="I77" s="72"/>
      <c r="J77" s="72"/>
      <c r="K77" s="35" t="s">
        <v>65</v>
      </c>
      <c r="L77" s="80">
        <v>77</v>
      </c>
      <c r="M77" s="80"/>
      <c r="N77" s="74"/>
      <c r="O77" s="82" t="s">
        <v>776</v>
      </c>
      <c r="P77" s="82" t="s">
        <v>197</v>
      </c>
      <c r="Q77" s="82" t="s">
        <v>848</v>
      </c>
      <c r="R77" s="82" t="s">
        <v>296</v>
      </c>
      <c r="S77" s="82" t="s">
        <v>1373</v>
      </c>
      <c r="T77" s="84" t="str">
        <f>HYPERLINK("http://www.youtube.com/channel/UCZ0JT-tgxNOK-3c-g5yHufA")</f>
        <v>http://www.youtube.com/channel/UCZ0JT-tgxNOK-3c-g5yHufA</v>
      </c>
      <c r="U77" s="82"/>
      <c r="V77" s="82" t="s">
        <v>1830</v>
      </c>
      <c r="W77" s="84" t="str">
        <f>HYPERLINK("https://www.youtube.com/watch?v=pRT5aJ3nbHM")</f>
        <v>https://www.youtube.com/watch?v=pRT5aJ3nbHM</v>
      </c>
      <c r="X77" s="82" t="s">
        <v>1857</v>
      </c>
      <c r="Y77" s="82">
        <v>29</v>
      </c>
      <c r="Z77" s="86">
        <v>44831.78123842592</v>
      </c>
      <c r="AA77" s="86">
        <v>44831.78123842592</v>
      </c>
      <c r="AB77" s="82"/>
      <c r="AC77" s="82"/>
      <c r="AD77" s="82"/>
      <c r="AE77" s="82">
        <v>1</v>
      </c>
      <c r="AF77" s="81">
        <v>4</v>
      </c>
      <c r="AG77" s="81">
        <v>4</v>
      </c>
      <c r="AH77" s="49">
        <v>0</v>
      </c>
      <c r="AI77" s="50">
        <v>0</v>
      </c>
      <c r="AJ77" s="49">
        <v>0</v>
      </c>
      <c r="AK77" s="50">
        <v>0</v>
      </c>
      <c r="AL77" s="49">
        <v>0</v>
      </c>
      <c r="AM77" s="50">
        <v>0</v>
      </c>
      <c r="AN77" s="49">
        <v>8</v>
      </c>
      <c r="AO77" s="110">
        <v>57.142857142857146</v>
      </c>
      <c r="AP77" s="49">
        <v>14</v>
      </c>
    </row>
    <row r="78" spans="1:42" ht="15">
      <c r="A78" s="66" t="s">
        <v>297</v>
      </c>
      <c r="B78" s="66" t="s">
        <v>355</v>
      </c>
      <c r="C78" s="67" t="s">
        <v>774</v>
      </c>
      <c r="D78" s="68">
        <v>3</v>
      </c>
      <c r="E78" s="69"/>
      <c r="F78" s="70">
        <v>40</v>
      </c>
      <c r="G78" s="67"/>
      <c r="H78" s="71"/>
      <c r="I78" s="72"/>
      <c r="J78" s="72"/>
      <c r="K78" s="35" t="s">
        <v>65</v>
      </c>
      <c r="L78" s="80">
        <v>78</v>
      </c>
      <c r="M78" s="80"/>
      <c r="N78" s="74"/>
      <c r="O78" s="82" t="s">
        <v>776</v>
      </c>
      <c r="P78" s="82" t="s">
        <v>197</v>
      </c>
      <c r="Q78" s="82" t="s">
        <v>849</v>
      </c>
      <c r="R78" s="82" t="s">
        <v>297</v>
      </c>
      <c r="S78" s="82" t="s">
        <v>1374</v>
      </c>
      <c r="T78" s="84" t="str">
        <f>HYPERLINK("http://www.youtube.com/channel/UCYJ3Hgk0kkBCog2Q9Z9Dh-g")</f>
        <v>http://www.youtube.com/channel/UCYJ3Hgk0kkBCog2Q9Z9Dh-g</v>
      </c>
      <c r="U78" s="82"/>
      <c r="V78" s="82" t="s">
        <v>1830</v>
      </c>
      <c r="W78" s="84" t="str">
        <f>HYPERLINK("https://www.youtube.com/watch?v=pRT5aJ3nbHM")</f>
        <v>https://www.youtube.com/watch?v=pRT5aJ3nbHM</v>
      </c>
      <c r="X78" s="82" t="s">
        <v>1857</v>
      </c>
      <c r="Y78" s="82">
        <v>0</v>
      </c>
      <c r="Z78" s="86">
        <v>44831.783842592595</v>
      </c>
      <c r="AA78" s="86">
        <v>44831.783842592595</v>
      </c>
      <c r="AB78" s="82"/>
      <c r="AC78" s="82"/>
      <c r="AD78" s="82"/>
      <c r="AE78" s="82">
        <v>1</v>
      </c>
      <c r="AF78" s="81">
        <v>4</v>
      </c>
      <c r="AG78" s="81">
        <v>4</v>
      </c>
      <c r="AH78" s="49">
        <v>1</v>
      </c>
      <c r="AI78" s="50">
        <v>12.5</v>
      </c>
      <c r="AJ78" s="49">
        <v>0</v>
      </c>
      <c r="AK78" s="50">
        <v>0</v>
      </c>
      <c r="AL78" s="49">
        <v>0</v>
      </c>
      <c r="AM78" s="50">
        <v>0</v>
      </c>
      <c r="AN78" s="49">
        <v>2</v>
      </c>
      <c r="AO78" s="50">
        <v>25</v>
      </c>
      <c r="AP78" s="49">
        <v>8</v>
      </c>
    </row>
    <row r="79" spans="1:42" ht="15">
      <c r="A79" s="66" t="s">
        <v>298</v>
      </c>
      <c r="B79" s="66" t="s">
        <v>355</v>
      </c>
      <c r="C79" s="67" t="s">
        <v>774</v>
      </c>
      <c r="D79" s="68">
        <v>3</v>
      </c>
      <c r="E79" s="69"/>
      <c r="F79" s="70">
        <v>40</v>
      </c>
      <c r="G79" s="67"/>
      <c r="H79" s="71"/>
      <c r="I79" s="72"/>
      <c r="J79" s="72"/>
      <c r="K79" s="35" t="s">
        <v>65</v>
      </c>
      <c r="L79" s="80">
        <v>79</v>
      </c>
      <c r="M79" s="80"/>
      <c r="N79" s="74"/>
      <c r="O79" s="82" t="s">
        <v>776</v>
      </c>
      <c r="P79" s="82" t="s">
        <v>197</v>
      </c>
      <c r="Q79" s="82" t="s">
        <v>850</v>
      </c>
      <c r="R79" s="82" t="s">
        <v>298</v>
      </c>
      <c r="S79" s="82" t="s">
        <v>1375</v>
      </c>
      <c r="T79" s="84" t="str">
        <f>HYPERLINK("http://www.youtube.com/channel/UC7leX0JJWsaBD7t-ZgGQnhA")</f>
        <v>http://www.youtube.com/channel/UC7leX0JJWsaBD7t-ZgGQnhA</v>
      </c>
      <c r="U79" s="82"/>
      <c r="V79" s="82" t="s">
        <v>1830</v>
      </c>
      <c r="W79" s="84" t="str">
        <f>HYPERLINK("https://www.youtube.com/watch?v=pRT5aJ3nbHM")</f>
        <v>https://www.youtube.com/watch?v=pRT5aJ3nbHM</v>
      </c>
      <c r="X79" s="82" t="s">
        <v>1857</v>
      </c>
      <c r="Y79" s="82">
        <v>11</v>
      </c>
      <c r="Z79" s="86">
        <v>44831.86085648148</v>
      </c>
      <c r="AA79" s="86">
        <v>44831.86085648148</v>
      </c>
      <c r="AB79" s="82"/>
      <c r="AC79" s="82"/>
      <c r="AD79" s="82"/>
      <c r="AE79" s="82">
        <v>1</v>
      </c>
      <c r="AF79" s="81">
        <v>4</v>
      </c>
      <c r="AG79" s="81">
        <v>4</v>
      </c>
      <c r="AH79" s="49">
        <v>1</v>
      </c>
      <c r="AI79" s="110">
        <v>14.285714285714286</v>
      </c>
      <c r="AJ79" s="49">
        <v>0</v>
      </c>
      <c r="AK79" s="50">
        <v>0</v>
      </c>
      <c r="AL79" s="49">
        <v>0</v>
      </c>
      <c r="AM79" s="50">
        <v>0</v>
      </c>
      <c r="AN79" s="49">
        <v>2</v>
      </c>
      <c r="AO79" s="110">
        <v>28.571428571428573</v>
      </c>
      <c r="AP79" s="49">
        <v>7</v>
      </c>
    </row>
    <row r="80" spans="1:42" ht="15">
      <c r="A80" s="66" t="s">
        <v>299</v>
      </c>
      <c r="B80" s="66" t="s">
        <v>355</v>
      </c>
      <c r="C80" s="67" t="s">
        <v>774</v>
      </c>
      <c r="D80" s="68">
        <v>3</v>
      </c>
      <c r="E80" s="69"/>
      <c r="F80" s="70">
        <v>40</v>
      </c>
      <c r="G80" s="67"/>
      <c r="H80" s="71"/>
      <c r="I80" s="72"/>
      <c r="J80" s="72"/>
      <c r="K80" s="35" t="s">
        <v>65</v>
      </c>
      <c r="L80" s="80">
        <v>80</v>
      </c>
      <c r="M80" s="80"/>
      <c r="N80" s="74"/>
      <c r="O80" s="82" t="s">
        <v>776</v>
      </c>
      <c r="P80" s="82" t="s">
        <v>197</v>
      </c>
      <c r="Q80" s="82" t="s">
        <v>851</v>
      </c>
      <c r="R80" s="82" t="s">
        <v>299</v>
      </c>
      <c r="S80" s="82" t="s">
        <v>1376</v>
      </c>
      <c r="T80" s="84" t="str">
        <f>HYPERLINK("http://www.youtube.com/channel/UCaJWmYVKjwZIrsmTazenl2A")</f>
        <v>http://www.youtube.com/channel/UCaJWmYVKjwZIrsmTazenl2A</v>
      </c>
      <c r="U80" s="82"/>
      <c r="V80" s="82" t="s">
        <v>1830</v>
      </c>
      <c r="W80" s="84" t="str">
        <f>HYPERLINK("https://www.youtube.com/watch?v=pRT5aJ3nbHM")</f>
        <v>https://www.youtube.com/watch?v=pRT5aJ3nbHM</v>
      </c>
      <c r="X80" s="82" t="s">
        <v>1857</v>
      </c>
      <c r="Y80" s="82">
        <v>14</v>
      </c>
      <c r="Z80" s="86">
        <v>44831.86282407407</v>
      </c>
      <c r="AA80" s="86">
        <v>44831.86282407407</v>
      </c>
      <c r="AB80" s="82"/>
      <c r="AC80" s="82"/>
      <c r="AD80" s="82"/>
      <c r="AE80" s="82">
        <v>1</v>
      </c>
      <c r="AF80" s="81">
        <v>4</v>
      </c>
      <c r="AG80" s="81">
        <v>4</v>
      </c>
      <c r="AH80" s="49">
        <v>0</v>
      </c>
      <c r="AI80" s="50">
        <v>0</v>
      </c>
      <c r="AJ80" s="49">
        <v>0</v>
      </c>
      <c r="AK80" s="50">
        <v>0</v>
      </c>
      <c r="AL80" s="49">
        <v>0</v>
      </c>
      <c r="AM80" s="50">
        <v>0</v>
      </c>
      <c r="AN80" s="49">
        <v>5</v>
      </c>
      <c r="AO80" s="50">
        <v>25</v>
      </c>
      <c r="AP80" s="49">
        <v>20</v>
      </c>
    </row>
    <row r="81" spans="1:42" ht="15">
      <c r="A81" s="66" t="s">
        <v>300</v>
      </c>
      <c r="B81" s="66" t="s">
        <v>355</v>
      </c>
      <c r="C81" s="67" t="s">
        <v>774</v>
      </c>
      <c r="D81" s="68">
        <v>3</v>
      </c>
      <c r="E81" s="69"/>
      <c r="F81" s="70">
        <v>40</v>
      </c>
      <c r="G81" s="67"/>
      <c r="H81" s="71"/>
      <c r="I81" s="72"/>
      <c r="J81" s="72"/>
      <c r="K81" s="35" t="s">
        <v>65</v>
      </c>
      <c r="L81" s="80">
        <v>81</v>
      </c>
      <c r="M81" s="80"/>
      <c r="N81" s="74"/>
      <c r="O81" s="82" t="s">
        <v>776</v>
      </c>
      <c r="P81" s="82" t="s">
        <v>197</v>
      </c>
      <c r="Q81" s="82" t="s">
        <v>852</v>
      </c>
      <c r="R81" s="82" t="s">
        <v>300</v>
      </c>
      <c r="S81" s="82" t="s">
        <v>1377</v>
      </c>
      <c r="T81" s="84" t="str">
        <f>HYPERLINK("http://www.youtube.com/channel/UCBsqI3fVObBcipLKBLQWJOA")</f>
        <v>http://www.youtube.com/channel/UCBsqI3fVObBcipLKBLQWJOA</v>
      </c>
      <c r="U81" s="82"/>
      <c r="V81" s="82" t="s">
        <v>1830</v>
      </c>
      <c r="W81" s="84" t="str">
        <f>HYPERLINK("https://www.youtube.com/watch?v=pRT5aJ3nbHM")</f>
        <v>https://www.youtube.com/watch?v=pRT5aJ3nbHM</v>
      </c>
      <c r="X81" s="82" t="s">
        <v>1857</v>
      </c>
      <c r="Y81" s="82">
        <v>3</v>
      </c>
      <c r="Z81" s="86">
        <v>44831.881527777776</v>
      </c>
      <c r="AA81" s="86">
        <v>44831.881527777776</v>
      </c>
      <c r="AB81" s="82"/>
      <c r="AC81" s="82"/>
      <c r="AD81" s="82"/>
      <c r="AE81" s="82">
        <v>1</v>
      </c>
      <c r="AF81" s="81">
        <v>4</v>
      </c>
      <c r="AG81" s="81">
        <v>4</v>
      </c>
      <c r="AH81" s="49">
        <v>1</v>
      </c>
      <c r="AI81" s="50">
        <v>50</v>
      </c>
      <c r="AJ81" s="49">
        <v>0</v>
      </c>
      <c r="AK81" s="50">
        <v>0</v>
      </c>
      <c r="AL81" s="49">
        <v>0</v>
      </c>
      <c r="AM81" s="50">
        <v>0</v>
      </c>
      <c r="AN81" s="49">
        <v>0</v>
      </c>
      <c r="AO81" s="50">
        <v>0</v>
      </c>
      <c r="AP81" s="49">
        <v>2</v>
      </c>
    </row>
    <row r="82" spans="1:42" ht="15">
      <c r="A82" s="66" t="s">
        <v>301</v>
      </c>
      <c r="B82" s="66" t="s">
        <v>355</v>
      </c>
      <c r="C82" s="67" t="s">
        <v>774</v>
      </c>
      <c r="D82" s="68">
        <v>3</v>
      </c>
      <c r="E82" s="69"/>
      <c r="F82" s="70">
        <v>40</v>
      </c>
      <c r="G82" s="67"/>
      <c r="H82" s="71"/>
      <c r="I82" s="72"/>
      <c r="J82" s="72"/>
      <c r="K82" s="35" t="s">
        <v>65</v>
      </c>
      <c r="L82" s="80">
        <v>82</v>
      </c>
      <c r="M82" s="80"/>
      <c r="N82" s="74"/>
      <c r="O82" s="82" t="s">
        <v>776</v>
      </c>
      <c r="P82" s="82" t="s">
        <v>197</v>
      </c>
      <c r="Q82" s="82" t="s">
        <v>853</v>
      </c>
      <c r="R82" s="82" t="s">
        <v>301</v>
      </c>
      <c r="S82" s="82" t="s">
        <v>1378</v>
      </c>
      <c r="T82" s="84" t="str">
        <f>HYPERLINK("http://www.youtube.com/channel/UCH8NcCr4ZE3Rn_YSjKvQ7aA")</f>
        <v>http://www.youtube.com/channel/UCH8NcCr4ZE3Rn_YSjKvQ7aA</v>
      </c>
      <c r="U82" s="82"/>
      <c r="V82" s="82" t="s">
        <v>1830</v>
      </c>
      <c r="W82" s="84" t="str">
        <f>HYPERLINK("https://www.youtube.com/watch?v=pRT5aJ3nbHM")</f>
        <v>https://www.youtube.com/watch?v=pRT5aJ3nbHM</v>
      </c>
      <c r="X82" s="82" t="s">
        <v>1857</v>
      </c>
      <c r="Y82" s="82">
        <v>1</v>
      </c>
      <c r="Z82" s="86">
        <v>44831.911469907405</v>
      </c>
      <c r="AA82" s="86">
        <v>44831.911469907405</v>
      </c>
      <c r="AB82" s="82"/>
      <c r="AC82" s="82"/>
      <c r="AD82" s="82"/>
      <c r="AE82" s="82">
        <v>1</v>
      </c>
      <c r="AF82" s="81">
        <v>4</v>
      </c>
      <c r="AG82" s="81">
        <v>4</v>
      </c>
      <c r="AH82" s="49">
        <v>0</v>
      </c>
      <c r="AI82" s="50">
        <v>0</v>
      </c>
      <c r="AJ82" s="49">
        <v>0</v>
      </c>
      <c r="AK82" s="50">
        <v>0</v>
      </c>
      <c r="AL82" s="49">
        <v>0</v>
      </c>
      <c r="AM82" s="50">
        <v>0</v>
      </c>
      <c r="AN82" s="49">
        <v>3</v>
      </c>
      <c r="AO82" s="110">
        <v>33.333333333333336</v>
      </c>
      <c r="AP82" s="49">
        <v>9</v>
      </c>
    </row>
    <row r="83" spans="1:42" ht="15">
      <c r="A83" s="66" t="s">
        <v>302</v>
      </c>
      <c r="B83" s="66" t="s">
        <v>355</v>
      </c>
      <c r="C83" s="67" t="s">
        <v>774</v>
      </c>
      <c r="D83" s="68">
        <v>3</v>
      </c>
      <c r="E83" s="69"/>
      <c r="F83" s="70">
        <v>40</v>
      </c>
      <c r="G83" s="67"/>
      <c r="H83" s="71"/>
      <c r="I83" s="72"/>
      <c r="J83" s="72"/>
      <c r="K83" s="35" t="s">
        <v>65</v>
      </c>
      <c r="L83" s="80">
        <v>83</v>
      </c>
      <c r="M83" s="80"/>
      <c r="N83" s="74"/>
      <c r="O83" s="82" t="s">
        <v>776</v>
      </c>
      <c r="P83" s="82" t="s">
        <v>197</v>
      </c>
      <c r="Q83" s="82" t="s">
        <v>854</v>
      </c>
      <c r="R83" s="82" t="s">
        <v>302</v>
      </c>
      <c r="S83" s="82" t="s">
        <v>1379</v>
      </c>
      <c r="T83" s="84" t="str">
        <f>HYPERLINK("http://www.youtube.com/channel/UCNY7NCSlocFucxi6QAt2ASA")</f>
        <v>http://www.youtube.com/channel/UCNY7NCSlocFucxi6QAt2ASA</v>
      </c>
      <c r="U83" s="82"/>
      <c r="V83" s="82" t="s">
        <v>1830</v>
      </c>
      <c r="W83" s="84" t="str">
        <f>HYPERLINK("https://www.youtube.com/watch?v=pRT5aJ3nbHM")</f>
        <v>https://www.youtube.com/watch?v=pRT5aJ3nbHM</v>
      </c>
      <c r="X83" s="82" t="s">
        <v>1857</v>
      </c>
      <c r="Y83" s="82">
        <v>3</v>
      </c>
      <c r="Z83" s="86">
        <v>44832.09064814815</v>
      </c>
      <c r="AA83" s="86">
        <v>44832.09064814815</v>
      </c>
      <c r="AB83" s="82"/>
      <c r="AC83" s="82"/>
      <c r="AD83" s="82"/>
      <c r="AE83" s="82">
        <v>1</v>
      </c>
      <c r="AF83" s="81">
        <v>4</v>
      </c>
      <c r="AG83" s="81">
        <v>4</v>
      </c>
      <c r="AH83" s="49">
        <v>0</v>
      </c>
      <c r="AI83" s="50">
        <v>0</v>
      </c>
      <c r="AJ83" s="49">
        <v>0</v>
      </c>
      <c r="AK83" s="50">
        <v>0</v>
      </c>
      <c r="AL83" s="49">
        <v>0</v>
      </c>
      <c r="AM83" s="50">
        <v>0</v>
      </c>
      <c r="AN83" s="49">
        <v>7</v>
      </c>
      <c r="AO83" s="110">
        <v>33.333333333333336</v>
      </c>
      <c r="AP83" s="49">
        <v>21</v>
      </c>
    </row>
    <row r="84" spans="1:42" ht="15">
      <c r="A84" s="66" t="s">
        <v>303</v>
      </c>
      <c r="B84" s="66" t="s">
        <v>355</v>
      </c>
      <c r="C84" s="67" t="s">
        <v>774</v>
      </c>
      <c r="D84" s="68">
        <v>3</v>
      </c>
      <c r="E84" s="69"/>
      <c r="F84" s="70">
        <v>40</v>
      </c>
      <c r="G84" s="67"/>
      <c r="H84" s="71"/>
      <c r="I84" s="72"/>
      <c r="J84" s="72"/>
      <c r="K84" s="35" t="s">
        <v>65</v>
      </c>
      <c r="L84" s="80">
        <v>84</v>
      </c>
      <c r="M84" s="80"/>
      <c r="N84" s="74"/>
      <c r="O84" s="82" t="s">
        <v>776</v>
      </c>
      <c r="P84" s="82" t="s">
        <v>197</v>
      </c>
      <c r="Q84" s="82" t="s">
        <v>855</v>
      </c>
      <c r="R84" s="82" t="s">
        <v>303</v>
      </c>
      <c r="S84" s="82" t="s">
        <v>1380</v>
      </c>
      <c r="T84" s="84" t="str">
        <f>HYPERLINK("http://www.youtube.com/channel/UCC95lStYyTYfvksvOrTJQkw")</f>
        <v>http://www.youtube.com/channel/UCC95lStYyTYfvksvOrTJQkw</v>
      </c>
      <c r="U84" s="82"/>
      <c r="V84" s="82" t="s">
        <v>1830</v>
      </c>
      <c r="W84" s="84" t="str">
        <f>HYPERLINK("https://www.youtube.com/watch?v=pRT5aJ3nbHM")</f>
        <v>https://www.youtube.com/watch?v=pRT5aJ3nbHM</v>
      </c>
      <c r="X84" s="82" t="s">
        <v>1857</v>
      </c>
      <c r="Y84" s="82">
        <v>1</v>
      </c>
      <c r="Z84" s="86">
        <v>44832.22541666667</v>
      </c>
      <c r="AA84" s="86">
        <v>44832.22541666667</v>
      </c>
      <c r="AB84" s="82"/>
      <c r="AC84" s="82"/>
      <c r="AD84" s="82"/>
      <c r="AE84" s="82">
        <v>1</v>
      </c>
      <c r="AF84" s="81">
        <v>4</v>
      </c>
      <c r="AG84" s="81">
        <v>4</v>
      </c>
      <c r="AH84" s="49">
        <v>4</v>
      </c>
      <c r="AI84" s="110">
        <v>5.2631578947368425</v>
      </c>
      <c r="AJ84" s="49">
        <v>2</v>
      </c>
      <c r="AK84" s="110">
        <v>2.6315789473684212</v>
      </c>
      <c r="AL84" s="49">
        <v>0</v>
      </c>
      <c r="AM84" s="50">
        <v>0</v>
      </c>
      <c r="AN84" s="49">
        <v>8</v>
      </c>
      <c r="AO84" s="110">
        <v>10.526315789473685</v>
      </c>
      <c r="AP84" s="49">
        <v>76</v>
      </c>
    </row>
    <row r="85" spans="1:42" ht="15">
      <c r="A85" s="66" t="s">
        <v>304</v>
      </c>
      <c r="B85" s="66" t="s">
        <v>355</v>
      </c>
      <c r="C85" s="67" t="s">
        <v>774</v>
      </c>
      <c r="D85" s="68">
        <v>3</v>
      </c>
      <c r="E85" s="69"/>
      <c r="F85" s="70">
        <v>40</v>
      </c>
      <c r="G85" s="67"/>
      <c r="H85" s="71"/>
      <c r="I85" s="72"/>
      <c r="J85" s="72"/>
      <c r="K85" s="35" t="s">
        <v>65</v>
      </c>
      <c r="L85" s="80">
        <v>85</v>
      </c>
      <c r="M85" s="80"/>
      <c r="N85" s="74"/>
      <c r="O85" s="82" t="s">
        <v>776</v>
      </c>
      <c r="P85" s="82" t="s">
        <v>197</v>
      </c>
      <c r="Q85" s="82" t="s">
        <v>856</v>
      </c>
      <c r="R85" s="82" t="s">
        <v>304</v>
      </c>
      <c r="S85" s="82" t="s">
        <v>1381</v>
      </c>
      <c r="T85" s="84" t="str">
        <f>HYPERLINK("http://www.youtube.com/channel/UCaHPlF6yLHbXGI-3ioV7XMw")</f>
        <v>http://www.youtube.com/channel/UCaHPlF6yLHbXGI-3ioV7XMw</v>
      </c>
      <c r="U85" s="82"/>
      <c r="V85" s="82" t="s">
        <v>1830</v>
      </c>
      <c r="W85" s="84" t="str">
        <f>HYPERLINK("https://www.youtube.com/watch?v=pRT5aJ3nbHM")</f>
        <v>https://www.youtube.com/watch?v=pRT5aJ3nbHM</v>
      </c>
      <c r="X85" s="82" t="s">
        <v>1857</v>
      </c>
      <c r="Y85" s="82">
        <v>10</v>
      </c>
      <c r="Z85" s="86">
        <v>44833.20633101852</v>
      </c>
      <c r="AA85" s="86">
        <v>44833.20633101852</v>
      </c>
      <c r="AB85" s="82"/>
      <c r="AC85" s="82"/>
      <c r="AD85" s="82"/>
      <c r="AE85" s="82">
        <v>1</v>
      </c>
      <c r="AF85" s="81">
        <v>4</v>
      </c>
      <c r="AG85" s="81">
        <v>4</v>
      </c>
      <c r="AH85" s="49">
        <v>0</v>
      </c>
      <c r="AI85" s="50">
        <v>0</v>
      </c>
      <c r="AJ85" s="49">
        <v>0</v>
      </c>
      <c r="AK85" s="50">
        <v>0</v>
      </c>
      <c r="AL85" s="49">
        <v>0</v>
      </c>
      <c r="AM85" s="50">
        <v>0</v>
      </c>
      <c r="AN85" s="49">
        <v>4</v>
      </c>
      <c r="AO85" s="110">
        <v>66.66666666666667</v>
      </c>
      <c r="AP85" s="49">
        <v>6</v>
      </c>
    </row>
    <row r="86" spans="1:42" ht="15">
      <c r="A86" s="66" t="s">
        <v>305</v>
      </c>
      <c r="B86" s="66" t="s">
        <v>355</v>
      </c>
      <c r="C86" s="67" t="s">
        <v>774</v>
      </c>
      <c r="D86" s="68">
        <v>3</v>
      </c>
      <c r="E86" s="69"/>
      <c r="F86" s="70">
        <v>40</v>
      </c>
      <c r="G86" s="67"/>
      <c r="H86" s="71"/>
      <c r="I86" s="72"/>
      <c r="J86" s="72"/>
      <c r="K86" s="35" t="s">
        <v>65</v>
      </c>
      <c r="L86" s="80">
        <v>86</v>
      </c>
      <c r="M86" s="80"/>
      <c r="N86" s="74"/>
      <c r="O86" s="82" t="s">
        <v>776</v>
      </c>
      <c r="P86" s="82" t="s">
        <v>197</v>
      </c>
      <c r="Q86" s="82" t="s">
        <v>857</v>
      </c>
      <c r="R86" s="82" t="s">
        <v>305</v>
      </c>
      <c r="S86" s="82" t="s">
        <v>1382</v>
      </c>
      <c r="T86" s="84" t="str">
        <f>HYPERLINK("http://www.youtube.com/channel/UC8IYtRK5Gakqt5Fo5QYfWJg")</f>
        <v>http://www.youtube.com/channel/UC8IYtRK5Gakqt5Fo5QYfWJg</v>
      </c>
      <c r="U86" s="82"/>
      <c r="V86" s="82" t="s">
        <v>1830</v>
      </c>
      <c r="W86" s="84" t="str">
        <f>HYPERLINK("https://www.youtube.com/watch?v=pRT5aJ3nbHM")</f>
        <v>https://www.youtube.com/watch?v=pRT5aJ3nbHM</v>
      </c>
      <c r="X86" s="82" t="s">
        <v>1857</v>
      </c>
      <c r="Y86" s="82">
        <v>1</v>
      </c>
      <c r="Z86" s="86">
        <v>44833.22278935185</v>
      </c>
      <c r="AA86" s="86">
        <v>44833.22278935185</v>
      </c>
      <c r="AB86" s="82"/>
      <c r="AC86" s="82"/>
      <c r="AD86" s="82"/>
      <c r="AE86" s="82">
        <v>1</v>
      </c>
      <c r="AF86" s="81">
        <v>4</v>
      </c>
      <c r="AG86" s="81">
        <v>4</v>
      </c>
      <c r="AH86" s="49">
        <v>2</v>
      </c>
      <c r="AI86" s="110">
        <v>5.405405405405405</v>
      </c>
      <c r="AJ86" s="49">
        <v>0</v>
      </c>
      <c r="AK86" s="50">
        <v>0</v>
      </c>
      <c r="AL86" s="49">
        <v>0</v>
      </c>
      <c r="AM86" s="50">
        <v>0</v>
      </c>
      <c r="AN86" s="49">
        <v>14</v>
      </c>
      <c r="AO86" s="110">
        <v>37.83783783783784</v>
      </c>
      <c r="AP86" s="49">
        <v>37</v>
      </c>
    </row>
    <row r="87" spans="1:42" ht="15">
      <c r="A87" s="66" t="s">
        <v>306</v>
      </c>
      <c r="B87" s="66" t="s">
        <v>355</v>
      </c>
      <c r="C87" s="67" t="s">
        <v>774</v>
      </c>
      <c r="D87" s="68">
        <v>3</v>
      </c>
      <c r="E87" s="69"/>
      <c r="F87" s="70">
        <v>40</v>
      </c>
      <c r="G87" s="67"/>
      <c r="H87" s="71"/>
      <c r="I87" s="72"/>
      <c r="J87" s="72"/>
      <c r="K87" s="35" t="s">
        <v>65</v>
      </c>
      <c r="L87" s="80">
        <v>87</v>
      </c>
      <c r="M87" s="80"/>
      <c r="N87" s="74"/>
      <c r="O87" s="82" t="s">
        <v>776</v>
      </c>
      <c r="P87" s="82" t="s">
        <v>197</v>
      </c>
      <c r="Q87" s="82" t="s">
        <v>858</v>
      </c>
      <c r="R87" s="82" t="s">
        <v>306</v>
      </c>
      <c r="S87" s="82" t="s">
        <v>1383</v>
      </c>
      <c r="T87" s="84" t="str">
        <f>HYPERLINK("http://www.youtube.com/channel/UCxPmUahOPE970HbxEWrQ6VQ")</f>
        <v>http://www.youtube.com/channel/UCxPmUahOPE970HbxEWrQ6VQ</v>
      </c>
      <c r="U87" s="82"/>
      <c r="V87" s="82" t="s">
        <v>1830</v>
      </c>
      <c r="W87" s="84" t="str">
        <f>HYPERLINK("https://www.youtube.com/watch?v=pRT5aJ3nbHM")</f>
        <v>https://www.youtube.com/watch?v=pRT5aJ3nbHM</v>
      </c>
      <c r="X87" s="82" t="s">
        <v>1857</v>
      </c>
      <c r="Y87" s="82">
        <v>17</v>
      </c>
      <c r="Z87" s="86">
        <v>44834.06715277778</v>
      </c>
      <c r="AA87" s="86">
        <v>44834.06715277778</v>
      </c>
      <c r="AB87" s="82"/>
      <c r="AC87" s="82"/>
      <c r="AD87" s="82"/>
      <c r="AE87" s="82">
        <v>1</v>
      </c>
      <c r="AF87" s="81">
        <v>4</v>
      </c>
      <c r="AG87" s="81">
        <v>4</v>
      </c>
      <c r="AH87" s="49">
        <v>0</v>
      </c>
      <c r="AI87" s="50">
        <v>0</v>
      </c>
      <c r="AJ87" s="49">
        <v>0</v>
      </c>
      <c r="AK87" s="50">
        <v>0</v>
      </c>
      <c r="AL87" s="49">
        <v>0</v>
      </c>
      <c r="AM87" s="50">
        <v>0</v>
      </c>
      <c r="AN87" s="49">
        <v>2</v>
      </c>
      <c r="AO87" s="110">
        <v>28.571428571428573</v>
      </c>
      <c r="AP87" s="49">
        <v>7</v>
      </c>
    </row>
    <row r="88" spans="1:42" ht="15">
      <c r="A88" s="66" t="s">
        <v>307</v>
      </c>
      <c r="B88" s="66" t="s">
        <v>355</v>
      </c>
      <c r="C88" s="67" t="s">
        <v>774</v>
      </c>
      <c r="D88" s="68">
        <v>3</v>
      </c>
      <c r="E88" s="69"/>
      <c r="F88" s="70">
        <v>40</v>
      </c>
      <c r="G88" s="67"/>
      <c r="H88" s="71"/>
      <c r="I88" s="72"/>
      <c r="J88" s="72"/>
      <c r="K88" s="35" t="s">
        <v>65</v>
      </c>
      <c r="L88" s="80">
        <v>88</v>
      </c>
      <c r="M88" s="80"/>
      <c r="N88" s="74"/>
      <c r="O88" s="82" t="s">
        <v>776</v>
      </c>
      <c r="P88" s="82" t="s">
        <v>197</v>
      </c>
      <c r="Q88" s="82" t="s">
        <v>859</v>
      </c>
      <c r="R88" s="82" t="s">
        <v>307</v>
      </c>
      <c r="S88" s="82" t="s">
        <v>1384</v>
      </c>
      <c r="T88" s="84" t="str">
        <f>HYPERLINK("http://www.youtube.com/channel/UCcd8dbU6bA4nP9enZgBe67Q")</f>
        <v>http://www.youtube.com/channel/UCcd8dbU6bA4nP9enZgBe67Q</v>
      </c>
      <c r="U88" s="82"/>
      <c r="V88" s="82" t="s">
        <v>1830</v>
      </c>
      <c r="W88" s="84" t="str">
        <f>HYPERLINK("https://www.youtube.com/watch?v=pRT5aJ3nbHM")</f>
        <v>https://www.youtube.com/watch?v=pRT5aJ3nbHM</v>
      </c>
      <c r="X88" s="82" t="s">
        <v>1857</v>
      </c>
      <c r="Y88" s="82">
        <v>0</v>
      </c>
      <c r="Z88" s="86">
        <v>44834.77505787037</v>
      </c>
      <c r="AA88" s="86">
        <v>44834.77505787037</v>
      </c>
      <c r="AB88" s="82"/>
      <c r="AC88" s="82"/>
      <c r="AD88" s="82"/>
      <c r="AE88" s="82">
        <v>1</v>
      </c>
      <c r="AF88" s="81">
        <v>4</v>
      </c>
      <c r="AG88" s="81">
        <v>4</v>
      </c>
      <c r="AH88" s="49">
        <v>1</v>
      </c>
      <c r="AI88" s="50">
        <v>0.78125</v>
      </c>
      <c r="AJ88" s="49">
        <v>6</v>
      </c>
      <c r="AK88" s="50">
        <v>4.6875</v>
      </c>
      <c r="AL88" s="49">
        <v>0</v>
      </c>
      <c r="AM88" s="50">
        <v>0</v>
      </c>
      <c r="AN88" s="49">
        <v>36</v>
      </c>
      <c r="AO88" s="50">
        <v>28.125</v>
      </c>
      <c r="AP88" s="49">
        <v>128</v>
      </c>
    </row>
    <row r="89" spans="1:42" ht="15">
      <c r="A89" s="66" t="s">
        <v>308</v>
      </c>
      <c r="B89" s="66" t="s">
        <v>355</v>
      </c>
      <c r="C89" s="67" t="s">
        <v>4788</v>
      </c>
      <c r="D89" s="68">
        <v>10</v>
      </c>
      <c r="E89" s="69"/>
      <c r="F89" s="70">
        <v>15</v>
      </c>
      <c r="G89" s="67"/>
      <c r="H89" s="71"/>
      <c r="I89" s="72"/>
      <c r="J89" s="72"/>
      <c r="K89" s="35" t="s">
        <v>65</v>
      </c>
      <c r="L89" s="80">
        <v>89</v>
      </c>
      <c r="M89" s="80"/>
      <c r="N89" s="74"/>
      <c r="O89" s="82" t="s">
        <v>776</v>
      </c>
      <c r="P89" s="82" t="s">
        <v>197</v>
      </c>
      <c r="Q89" s="82" t="s">
        <v>860</v>
      </c>
      <c r="R89" s="82" t="s">
        <v>308</v>
      </c>
      <c r="S89" s="82" t="s">
        <v>1385</v>
      </c>
      <c r="T89" s="84" t="str">
        <f>HYPERLINK("http://www.youtube.com/channel/UCd6uiGWpnZNKu4FpWcRBRXA")</f>
        <v>http://www.youtube.com/channel/UCd6uiGWpnZNKu4FpWcRBRXA</v>
      </c>
      <c r="U89" s="82"/>
      <c r="V89" s="82" t="s">
        <v>1830</v>
      </c>
      <c r="W89" s="84" t="str">
        <f>HYPERLINK("https://www.youtube.com/watch?v=pRT5aJ3nbHM")</f>
        <v>https://www.youtube.com/watch?v=pRT5aJ3nbHM</v>
      </c>
      <c r="X89" s="82" t="s">
        <v>1857</v>
      </c>
      <c r="Y89" s="82">
        <v>4</v>
      </c>
      <c r="Z89" s="86">
        <v>44835.032372685186</v>
      </c>
      <c r="AA89" s="86">
        <v>44835.032372685186</v>
      </c>
      <c r="AB89" s="82"/>
      <c r="AC89" s="82"/>
      <c r="AD89" s="82"/>
      <c r="AE89" s="82">
        <v>4</v>
      </c>
      <c r="AF89" s="81">
        <v>4</v>
      </c>
      <c r="AG89" s="81">
        <v>4</v>
      </c>
      <c r="AH89" s="49">
        <v>0</v>
      </c>
      <c r="AI89" s="50">
        <v>0</v>
      </c>
      <c r="AJ89" s="49">
        <v>1</v>
      </c>
      <c r="AK89" s="110">
        <v>3.8461538461538463</v>
      </c>
      <c r="AL89" s="49">
        <v>0</v>
      </c>
      <c r="AM89" s="50">
        <v>0</v>
      </c>
      <c r="AN89" s="49">
        <v>11</v>
      </c>
      <c r="AO89" s="110">
        <v>42.30769230769231</v>
      </c>
      <c r="AP89" s="49">
        <v>26</v>
      </c>
    </row>
    <row r="90" spans="1:42" ht="15">
      <c r="A90" s="66" t="s">
        <v>309</v>
      </c>
      <c r="B90" s="66" t="s">
        <v>355</v>
      </c>
      <c r="C90" s="67" t="s">
        <v>774</v>
      </c>
      <c r="D90" s="68">
        <v>3</v>
      </c>
      <c r="E90" s="69"/>
      <c r="F90" s="70">
        <v>40</v>
      </c>
      <c r="G90" s="67"/>
      <c r="H90" s="71"/>
      <c r="I90" s="72"/>
      <c r="J90" s="72"/>
      <c r="K90" s="35" t="s">
        <v>65</v>
      </c>
      <c r="L90" s="80">
        <v>90</v>
      </c>
      <c r="M90" s="80"/>
      <c r="N90" s="74"/>
      <c r="O90" s="82" t="s">
        <v>776</v>
      </c>
      <c r="P90" s="82" t="s">
        <v>197</v>
      </c>
      <c r="Q90" s="82" t="s">
        <v>861</v>
      </c>
      <c r="R90" s="82" t="s">
        <v>309</v>
      </c>
      <c r="S90" s="82" t="s">
        <v>1386</v>
      </c>
      <c r="T90" s="84" t="str">
        <f>HYPERLINK("http://www.youtube.com/channel/UCavUfaWfXVB4wNnD88A1H8g")</f>
        <v>http://www.youtube.com/channel/UCavUfaWfXVB4wNnD88A1H8g</v>
      </c>
      <c r="U90" s="82"/>
      <c r="V90" s="82" t="s">
        <v>1830</v>
      </c>
      <c r="W90" s="84" t="str">
        <f>HYPERLINK("https://www.youtube.com/watch?v=pRT5aJ3nbHM")</f>
        <v>https://www.youtube.com/watch?v=pRT5aJ3nbHM</v>
      </c>
      <c r="X90" s="82" t="s">
        <v>1857</v>
      </c>
      <c r="Y90" s="82">
        <v>1</v>
      </c>
      <c r="Z90" s="86">
        <v>44835.08862268519</v>
      </c>
      <c r="AA90" s="86">
        <v>44835.08862268519</v>
      </c>
      <c r="AB90" s="82"/>
      <c r="AC90" s="82"/>
      <c r="AD90" s="82"/>
      <c r="AE90" s="82">
        <v>1</v>
      </c>
      <c r="AF90" s="81">
        <v>4</v>
      </c>
      <c r="AG90" s="81">
        <v>4</v>
      </c>
      <c r="AH90" s="49">
        <v>1</v>
      </c>
      <c r="AI90" s="110">
        <v>6.666666666666667</v>
      </c>
      <c r="AJ90" s="49">
        <v>1</v>
      </c>
      <c r="AK90" s="110">
        <v>6.666666666666667</v>
      </c>
      <c r="AL90" s="49">
        <v>0</v>
      </c>
      <c r="AM90" s="50">
        <v>0</v>
      </c>
      <c r="AN90" s="49">
        <v>4</v>
      </c>
      <c r="AO90" s="110">
        <v>26.666666666666668</v>
      </c>
      <c r="AP90" s="49">
        <v>15</v>
      </c>
    </row>
    <row r="91" spans="1:42" ht="15">
      <c r="A91" s="66" t="s">
        <v>310</v>
      </c>
      <c r="B91" s="66" t="s">
        <v>355</v>
      </c>
      <c r="C91" s="67" t="s">
        <v>774</v>
      </c>
      <c r="D91" s="68">
        <v>3</v>
      </c>
      <c r="E91" s="69"/>
      <c r="F91" s="70">
        <v>40</v>
      </c>
      <c r="G91" s="67"/>
      <c r="H91" s="71"/>
      <c r="I91" s="72"/>
      <c r="J91" s="72"/>
      <c r="K91" s="35" t="s">
        <v>65</v>
      </c>
      <c r="L91" s="80">
        <v>91</v>
      </c>
      <c r="M91" s="80"/>
      <c r="N91" s="74"/>
      <c r="O91" s="82" t="s">
        <v>776</v>
      </c>
      <c r="P91" s="82" t="s">
        <v>197</v>
      </c>
      <c r="Q91" s="82" t="s">
        <v>862</v>
      </c>
      <c r="R91" s="82" t="s">
        <v>310</v>
      </c>
      <c r="S91" s="82" t="s">
        <v>1387</v>
      </c>
      <c r="T91" s="84" t="str">
        <f>HYPERLINK("http://www.youtube.com/channel/UCq2eoN6OFZ1rAFj-YDpRUKQ")</f>
        <v>http://www.youtube.com/channel/UCq2eoN6OFZ1rAFj-YDpRUKQ</v>
      </c>
      <c r="U91" s="82"/>
      <c r="V91" s="82" t="s">
        <v>1830</v>
      </c>
      <c r="W91" s="84" t="str">
        <f>HYPERLINK("https://www.youtube.com/watch?v=pRT5aJ3nbHM")</f>
        <v>https://www.youtube.com/watch?v=pRT5aJ3nbHM</v>
      </c>
      <c r="X91" s="82" t="s">
        <v>1857</v>
      </c>
      <c r="Y91" s="82">
        <v>17</v>
      </c>
      <c r="Z91" s="86">
        <v>44835.22148148148</v>
      </c>
      <c r="AA91" s="86">
        <v>44835.22148148148</v>
      </c>
      <c r="AB91" s="82"/>
      <c r="AC91" s="82"/>
      <c r="AD91" s="82"/>
      <c r="AE91" s="82">
        <v>1</v>
      </c>
      <c r="AF91" s="81">
        <v>4</v>
      </c>
      <c r="AG91" s="81">
        <v>4</v>
      </c>
      <c r="AH91" s="49">
        <v>2</v>
      </c>
      <c r="AI91" s="110">
        <v>4.166666666666667</v>
      </c>
      <c r="AJ91" s="49">
        <v>1</v>
      </c>
      <c r="AK91" s="110">
        <v>2.0833333333333335</v>
      </c>
      <c r="AL91" s="49">
        <v>0</v>
      </c>
      <c r="AM91" s="50">
        <v>0</v>
      </c>
      <c r="AN91" s="49">
        <v>18</v>
      </c>
      <c r="AO91" s="50">
        <v>37.5</v>
      </c>
      <c r="AP91" s="49">
        <v>48</v>
      </c>
    </row>
    <row r="92" spans="1:42" ht="15">
      <c r="A92" s="66" t="s">
        <v>311</v>
      </c>
      <c r="B92" s="66" t="s">
        <v>355</v>
      </c>
      <c r="C92" s="67" t="s">
        <v>774</v>
      </c>
      <c r="D92" s="68">
        <v>3</v>
      </c>
      <c r="E92" s="69"/>
      <c r="F92" s="70">
        <v>40</v>
      </c>
      <c r="G92" s="67"/>
      <c r="H92" s="71"/>
      <c r="I92" s="72"/>
      <c r="J92" s="72"/>
      <c r="K92" s="35" t="s">
        <v>65</v>
      </c>
      <c r="L92" s="80">
        <v>92</v>
      </c>
      <c r="M92" s="80"/>
      <c r="N92" s="74"/>
      <c r="O92" s="82" t="s">
        <v>776</v>
      </c>
      <c r="P92" s="82" t="s">
        <v>197</v>
      </c>
      <c r="Q92" s="82" t="s">
        <v>863</v>
      </c>
      <c r="R92" s="82" t="s">
        <v>311</v>
      </c>
      <c r="S92" s="82" t="s">
        <v>1388</v>
      </c>
      <c r="T92" s="84" t="str">
        <f>HYPERLINK("http://www.youtube.com/channel/UCAf6FjC78v9K7V0mzBFFFfg")</f>
        <v>http://www.youtube.com/channel/UCAf6FjC78v9K7V0mzBFFFfg</v>
      </c>
      <c r="U92" s="82"/>
      <c r="V92" s="82" t="s">
        <v>1830</v>
      </c>
      <c r="W92" s="84" t="str">
        <f>HYPERLINK("https://www.youtube.com/watch?v=pRT5aJ3nbHM")</f>
        <v>https://www.youtube.com/watch?v=pRT5aJ3nbHM</v>
      </c>
      <c r="X92" s="82" t="s">
        <v>1857</v>
      </c>
      <c r="Y92" s="82">
        <v>10</v>
      </c>
      <c r="Z92" s="86">
        <v>44835.571608796294</v>
      </c>
      <c r="AA92" s="86">
        <v>44835.571608796294</v>
      </c>
      <c r="AB92" s="82"/>
      <c r="AC92" s="82"/>
      <c r="AD92" s="82"/>
      <c r="AE92" s="82">
        <v>1</v>
      </c>
      <c r="AF92" s="81">
        <v>4</v>
      </c>
      <c r="AG92" s="81">
        <v>4</v>
      </c>
      <c r="AH92" s="49">
        <v>0</v>
      </c>
      <c r="AI92" s="50">
        <v>0</v>
      </c>
      <c r="AJ92" s="49">
        <v>0</v>
      </c>
      <c r="AK92" s="50">
        <v>0</v>
      </c>
      <c r="AL92" s="49">
        <v>0</v>
      </c>
      <c r="AM92" s="50">
        <v>0</v>
      </c>
      <c r="AN92" s="49">
        <v>5</v>
      </c>
      <c r="AO92" s="110">
        <v>35.714285714285715</v>
      </c>
      <c r="AP92" s="49">
        <v>14</v>
      </c>
    </row>
    <row r="93" spans="1:42" ht="15">
      <c r="A93" s="66" t="s">
        <v>312</v>
      </c>
      <c r="B93" s="66" t="s">
        <v>355</v>
      </c>
      <c r="C93" s="67" t="s">
        <v>774</v>
      </c>
      <c r="D93" s="68">
        <v>3</v>
      </c>
      <c r="E93" s="69"/>
      <c r="F93" s="70">
        <v>40</v>
      </c>
      <c r="G93" s="67"/>
      <c r="H93" s="71"/>
      <c r="I93" s="72"/>
      <c r="J93" s="72"/>
      <c r="K93" s="35" t="s">
        <v>65</v>
      </c>
      <c r="L93" s="80">
        <v>93</v>
      </c>
      <c r="M93" s="80"/>
      <c r="N93" s="74"/>
      <c r="O93" s="82" t="s">
        <v>776</v>
      </c>
      <c r="P93" s="82" t="s">
        <v>197</v>
      </c>
      <c r="Q93" s="82" t="s">
        <v>864</v>
      </c>
      <c r="R93" s="82" t="s">
        <v>312</v>
      </c>
      <c r="S93" s="82" t="s">
        <v>1389</v>
      </c>
      <c r="T93" s="84" t="str">
        <f>HYPERLINK("http://www.youtube.com/channel/UCnQ1Acenegkv4owsGnfkz5A")</f>
        <v>http://www.youtube.com/channel/UCnQ1Acenegkv4owsGnfkz5A</v>
      </c>
      <c r="U93" s="82"/>
      <c r="V93" s="82" t="s">
        <v>1830</v>
      </c>
      <c r="W93" s="84" t="str">
        <f>HYPERLINK("https://www.youtube.com/watch?v=pRT5aJ3nbHM")</f>
        <v>https://www.youtube.com/watch?v=pRT5aJ3nbHM</v>
      </c>
      <c r="X93" s="82" t="s">
        <v>1857</v>
      </c>
      <c r="Y93" s="82">
        <v>8</v>
      </c>
      <c r="Z93" s="86">
        <v>44835.576157407406</v>
      </c>
      <c r="AA93" s="86">
        <v>44835.576157407406</v>
      </c>
      <c r="AB93" s="82"/>
      <c r="AC93" s="82"/>
      <c r="AD93" s="82"/>
      <c r="AE93" s="82">
        <v>1</v>
      </c>
      <c r="AF93" s="81">
        <v>4</v>
      </c>
      <c r="AG93" s="81">
        <v>4</v>
      </c>
      <c r="AH93" s="49">
        <v>1</v>
      </c>
      <c r="AI93" s="50">
        <v>100</v>
      </c>
      <c r="AJ93" s="49">
        <v>0</v>
      </c>
      <c r="AK93" s="50">
        <v>0</v>
      </c>
      <c r="AL93" s="49">
        <v>0</v>
      </c>
      <c r="AM93" s="50">
        <v>0</v>
      </c>
      <c r="AN93" s="49">
        <v>0</v>
      </c>
      <c r="AO93" s="50">
        <v>0</v>
      </c>
      <c r="AP93" s="49">
        <v>1</v>
      </c>
    </row>
    <row r="94" spans="1:42" ht="15">
      <c r="A94" s="66" t="s">
        <v>313</v>
      </c>
      <c r="B94" s="66" t="s">
        <v>355</v>
      </c>
      <c r="C94" s="67" t="s">
        <v>774</v>
      </c>
      <c r="D94" s="68">
        <v>3</v>
      </c>
      <c r="E94" s="69"/>
      <c r="F94" s="70">
        <v>40</v>
      </c>
      <c r="G94" s="67"/>
      <c r="H94" s="71"/>
      <c r="I94" s="72"/>
      <c r="J94" s="72"/>
      <c r="K94" s="35" t="s">
        <v>65</v>
      </c>
      <c r="L94" s="80">
        <v>94</v>
      </c>
      <c r="M94" s="80"/>
      <c r="N94" s="74"/>
      <c r="O94" s="82" t="s">
        <v>776</v>
      </c>
      <c r="P94" s="82" t="s">
        <v>197</v>
      </c>
      <c r="Q94" s="82" t="s">
        <v>865</v>
      </c>
      <c r="R94" s="82" t="s">
        <v>313</v>
      </c>
      <c r="S94" s="82" t="s">
        <v>1390</v>
      </c>
      <c r="T94" s="84" t="str">
        <f>HYPERLINK("http://www.youtube.com/channel/UCx6k-_k4sU3i5FdLuLTPKnA")</f>
        <v>http://www.youtube.com/channel/UCx6k-_k4sU3i5FdLuLTPKnA</v>
      </c>
      <c r="U94" s="82"/>
      <c r="V94" s="82" t="s">
        <v>1830</v>
      </c>
      <c r="W94" s="84" t="str">
        <f>HYPERLINK("https://www.youtube.com/watch?v=pRT5aJ3nbHM")</f>
        <v>https://www.youtube.com/watch?v=pRT5aJ3nbHM</v>
      </c>
      <c r="X94" s="82" t="s">
        <v>1857</v>
      </c>
      <c r="Y94" s="82">
        <v>3</v>
      </c>
      <c r="Z94" s="86">
        <v>44835.67466435185</v>
      </c>
      <c r="AA94" s="86">
        <v>44835.67466435185</v>
      </c>
      <c r="AB94" s="82"/>
      <c r="AC94" s="82"/>
      <c r="AD94" s="82"/>
      <c r="AE94" s="82">
        <v>1</v>
      </c>
      <c r="AF94" s="81">
        <v>4</v>
      </c>
      <c r="AG94" s="81">
        <v>4</v>
      </c>
      <c r="AH94" s="49">
        <v>0</v>
      </c>
      <c r="AI94" s="50">
        <v>0</v>
      </c>
      <c r="AJ94" s="49">
        <v>0</v>
      </c>
      <c r="AK94" s="50">
        <v>0</v>
      </c>
      <c r="AL94" s="49">
        <v>0</v>
      </c>
      <c r="AM94" s="50">
        <v>0</v>
      </c>
      <c r="AN94" s="49">
        <v>1</v>
      </c>
      <c r="AO94" s="50">
        <v>100</v>
      </c>
      <c r="AP94" s="49">
        <v>1</v>
      </c>
    </row>
    <row r="95" spans="1:42" ht="15">
      <c r="A95" s="66" t="s">
        <v>314</v>
      </c>
      <c r="B95" s="66" t="s">
        <v>355</v>
      </c>
      <c r="C95" s="67" t="s">
        <v>774</v>
      </c>
      <c r="D95" s="68">
        <v>3</v>
      </c>
      <c r="E95" s="69"/>
      <c r="F95" s="70">
        <v>40</v>
      </c>
      <c r="G95" s="67"/>
      <c r="H95" s="71"/>
      <c r="I95" s="72"/>
      <c r="J95" s="72"/>
      <c r="K95" s="35" t="s">
        <v>65</v>
      </c>
      <c r="L95" s="80">
        <v>95</v>
      </c>
      <c r="M95" s="80"/>
      <c r="N95" s="74"/>
      <c r="O95" s="82" t="s">
        <v>776</v>
      </c>
      <c r="P95" s="82" t="s">
        <v>197</v>
      </c>
      <c r="Q95" s="82" t="s">
        <v>866</v>
      </c>
      <c r="R95" s="82" t="s">
        <v>314</v>
      </c>
      <c r="S95" s="82" t="s">
        <v>1391</v>
      </c>
      <c r="T95" s="84" t="str">
        <f>HYPERLINK("http://www.youtube.com/channel/UC-PtcWseDzj7rNn2hEZaVFA")</f>
        <v>http://www.youtube.com/channel/UC-PtcWseDzj7rNn2hEZaVFA</v>
      </c>
      <c r="U95" s="82"/>
      <c r="V95" s="82" t="s">
        <v>1830</v>
      </c>
      <c r="W95" s="84" t="str">
        <f>HYPERLINK("https://www.youtube.com/watch?v=pRT5aJ3nbHM")</f>
        <v>https://www.youtube.com/watch?v=pRT5aJ3nbHM</v>
      </c>
      <c r="X95" s="82" t="s">
        <v>1857</v>
      </c>
      <c r="Y95" s="82">
        <v>1</v>
      </c>
      <c r="Z95" s="86">
        <v>44836.18616898148</v>
      </c>
      <c r="AA95" s="86">
        <v>44836.18616898148</v>
      </c>
      <c r="AB95" s="82"/>
      <c r="AC95" s="82"/>
      <c r="AD95" s="82"/>
      <c r="AE95" s="82">
        <v>1</v>
      </c>
      <c r="AF95" s="81">
        <v>4</v>
      </c>
      <c r="AG95" s="81">
        <v>4</v>
      </c>
      <c r="AH95" s="49">
        <v>1</v>
      </c>
      <c r="AI95" s="110">
        <v>3.7037037037037037</v>
      </c>
      <c r="AJ95" s="49">
        <v>0</v>
      </c>
      <c r="AK95" s="50">
        <v>0</v>
      </c>
      <c r="AL95" s="49">
        <v>0</v>
      </c>
      <c r="AM95" s="50">
        <v>0</v>
      </c>
      <c r="AN95" s="49">
        <v>13</v>
      </c>
      <c r="AO95" s="110">
        <v>48.148148148148145</v>
      </c>
      <c r="AP95" s="49">
        <v>27</v>
      </c>
    </row>
    <row r="96" spans="1:42" ht="15">
      <c r="A96" s="66" t="s">
        <v>315</v>
      </c>
      <c r="B96" s="66" t="s">
        <v>355</v>
      </c>
      <c r="C96" s="67" t="s">
        <v>774</v>
      </c>
      <c r="D96" s="68">
        <v>3</v>
      </c>
      <c r="E96" s="69"/>
      <c r="F96" s="70">
        <v>40</v>
      </c>
      <c r="G96" s="67"/>
      <c r="H96" s="71"/>
      <c r="I96" s="72"/>
      <c r="J96" s="72"/>
      <c r="K96" s="35" t="s">
        <v>65</v>
      </c>
      <c r="L96" s="80">
        <v>96</v>
      </c>
      <c r="M96" s="80"/>
      <c r="N96" s="74"/>
      <c r="O96" s="82" t="s">
        <v>776</v>
      </c>
      <c r="P96" s="82" t="s">
        <v>197</v>
      </c>
      <c r="Q96" s="82" t="s">
        <v>867</v>
      </c>
      <c r="R96" s="82" t="s">
        <v>315</v>
      </c>
      <c r="S96" s="82" t="s">
        <v>1392</v>
      </c>
      <c r="T96" s="84" t="str">
        <f>HYPERLINK("http://www.youtube.com/channel/UCt1IQuev0N_bgTs_ToN-7zw")</f>
        <v>http://www.youtube.com/channel/UCt1IQuev0N_bgTs_ToN-7zw</v>
      </c>
      <c r="U96" s="82"/>
      <c r="V96" s="82" t="s">
        <v>1830</v>
      </c>
      <c r="W96" s="84" t="str">
        <f>HYPERLINK("https://www.youtube.com/watch?v=pRT5aJ3nbHM")</f>
        <v>https://www.youtube.com/watch?v=pRT5aJ3nbHM</v>
      </c>
      <c r="X96" s="82" t="s">
        <v>1857</v>
      </c>
      <c r="Y96" s="82">
        <v>1</v>
      </c>
      <c r="Z96" s="86">
        <v>44836.1909375</v>
      </c>
      <c r="AA96" s="86">
        <v>44836.1909375</v>
      </c>
      <c r="AB96" s="82"/>
      <c r="AC96" s="82"/>
      <c r="AD96" s="82"/>
      <c r="AE96" s="82">
        <v>1</v>
      </c>
      <c r="AF96" s="81">
        <v>4</v>
      </c>
      <c r="AG96" s="81">
        <v>4</v>
      </c>
      <c r="AH96" s="49">
        <v>0</v>
      </c>
      <c r="AI96" s="50">
        <v>0</v>
      </c>
      <c r="AJ96" s="49">
        <v>1</v>
      </c>
      <c r="AK96" s="110">
        <v>11.11111111111111</v>
      </c>
      <c r="AL96" s="49">
        <v>0</v>
      </c>
      <c r="AM96" s="50">
        <v>0</v>
      </c>
      <c r="AN96" s="49">
        <v>3</v>
      </c>
      <c r="AO96" s="110">
        <v>33.333333333333336</v>
      </c>
      <c r="AP96" s="49">
        <v>9</v>
      </c>
    </row>
    <row r="97" spans="1:42" ht="15">
      <c r="A97" s="66" t="s">
        <v>316</v>
      </c>
      <c r="B97" s="66" t="s">
        <v>355</v>
      </c>
      <c r="C97" s="67" t="s">
        <v>774</v>
      </c>
      <c r="D97" s="68">
        <v>3</v>
      </c>
      <c r="E97" s="69"/>
      <c r="F97" s="70">
        <v>40</v>
      </c>
      <c r="G97" s="67"/>
      <c r="H97" s="71"/>
      <c r="I97" s="72"/>
      <c r="J97" s="72"/>
      <c r="K97" s="35" t="s">
        <v>65</v>
      </c>
      <c r="L97" s="80">
        <v>97</v>
      </c>
      <c r="M97" s="80"/>
      <c r="N97" s="74"/>
      <c r="O97" s="82" t="s">
        <v>776</v>
      </c>
      <c r="P97" s="82" t="s">
        <v>197</v>
      </c>
      <c r="Q97" s="82" t="s">
        <v>868</v>
      </c>
      <c r="R97" s="82" t="s">
        <v>316</v>
      </c>
      <c r="S97" s="82" t="s">
        <v>1393</v>
      </c>
      <c r="T97" s="84" t="str">
        <f>HYPERLINK("http://www.youtube.com/channel/UCSjE0lSlBGOwQAxsbkg66LA")</f>
        <v>http://www.youtube.com/channel/UCSjE0lSlBGOwQAxsbkg66LA</v>
      </c>
      <c r="U97" s="82"/>
      <c r="V97" s="82" t="s">
        <v>1830</v>
      </c>
      <c r="W97" s="84" t="str">
        <f>HYPERLINK("https://www.youtube.com/watch?v=pRT5aJ3nbHM")</f>
        <v>https://www.youtube.com/watch?v=pRT5aJ3nbHM</v>
      </c>
      <c r="X97" s="82" t="s">
        <v>1857</v>
      </c>
      <c r="Y97" s="82">
        <v>4</v>
      </c>
      <c r="Z97" s="86">
        <v>44836.75728009259</v>
      </c>
      <c r="AA97" s="86">
        <v>44836.75728009259</v>
      </c>
      <c r="AB97" s="82"/>
      <c r="AC97" s="82"/>
      <c r="AD97" s="82"/>
      <c r="AE97" s="82">
        <v>1</v>
      </c>
      <c r="AF97" s="81">
        <v>4</v>
      </c>
      <c r="AG97" s="81">
        <v>4</v>
      </c>
      <c r="AH97" s="49">
        <v>1</v>
      </c>
      <c r="AI97" s="110">
        <v>4.545454545454546</v>
      </c>
      <c r="AJ97" s="49">
        <v>0</v>
      </c>
      <c r="AK97" s="50">
        <v>0</v>
      </c>
      <c r="AL97" s="49">
        <v>0</v>
      </c>
      <c r="AM97" s="50">
        <v>0</v>
      </c>
      <c r="AN97" s="49">
        <v>9</v>
      </c>
      <c r="AO97" s="110">
        <v>40.90909090909091</v>
      </c>
      <c r="AP97" s="49">
        <v>22</v>
      </c>
    </row>
    <row r="98" spans="1:42" ht="15">
      <c r="A98" s="66" t="s">
        <v>317</v>
      </c>
      <c r="B98" s="66" t="s">
        <v>355</v>
      </c>
      <c r="C98" s="67" t="s">
        <v>774</v>
      </c>
      <c r="D98" s="68">
        <v>3</v>
      </c>
      <c r="E98" s="69"/>
      <c r="F98" s="70">
        <v>40</v>
      </c>
      <c r="G98" s="67"/>
      <c r="H98" s="71"/>
      <c r="I98" s="72"/>
      <c r="J98" s="72"/>
      <c r="K98" s="35" t="s">
        <v>65</v>
      </c>
      <c r="L98" s="80">
        <v>98</v>
      </c>
      <c r="M98" s="80"/>
      <c r="N98" s="74"/>
      <c r="O98" s="82" t="s">
        <v>776</v>
      </c>
      <c r="P98" s="82" t="s">
        <v>197</v>
      </c>
      <c r="Q98" s="82" t="s">
        <v>869</v>
      </c>
      <c r="R98" s="82" t="s">
        <v>317</v>
      </c>
      <c r="S98" s="82" t="s">
        <v>1394</v>
      </c>
      <c r="T98" s="84" t="str">
        <f>HYPERLINK("http://www.youtube.com/channel/UCXpFY0tltWLX5LctzkhILsw")</f>
        <v>http://www.youtube.com/channel/UCXpFY0tltWLX5LctzkhILsw</v>
      </c>
      <c r="U98" s="82"/>
      <c r="V98" s="82" t="s">
        <v>1830</v>
      </c>
      <c r="W98" s="84" t="str">
        <f>HYPERLINK("https://www.youtube.com/watch?v=pRT5aJ3nbHM")</f>
        <v>https://www.youtube.com/watch?v=pRT5aJ3nbHM</v>
      </c>
      <c r="X98" s="82" t="s">
        <v>1857</v>
      </c>
      <c r="Y98" s="82">
        <v>1</v>
      </c>
      <c r="Z98" s="86">
        <v>44837.63701388889</v>
      </c>
      <c r="AA98" s="86">
        <v>44837.63796296297</v>
      </c>
      <c r="AB98" s="82"/>
      <c r="AC98" s="82"/>
      <c r="AD98" s="82"/>
      <c r="AE98" s="82">
        <v>1</v>
      </c>
      <c r="AF98" s="81">
        <v>4</v>
      </c>
      <c r="AG98" s="81">
        <v>4</v>
      </c>
      <c r="AH98" s="49">
        <v>1</v>
      </c>
      <c r="AI98" s="50">
        <v>6.25</v>
      </c>
      <c r="AJ98" s="49">
        <v>0</v>
      </c>
      <c r="AK98" s="50">
        <v>0</v>
      </c>
      <c r="AL98" s="49">
        <v>0</v>
      </c>
      <c r="AM98" s="50">
        <v>0</v>
      </c>
      <c r="AN98" s="49">
        <v>8</v>
      </c>
      <c r="AO98" s="50">
        <v>50</v>
      </c>
      <c r="AP98" s="49">
        <v>16</v>
      </c>
    </row>
    <row r="99" spans="1:42" ht="15">
      <c r="A99" s="66" t="s">
        <v>318</v>
      </c>
      <c r="B99" s="66" t="s">
        <v>355</v>
      </c>
      <c r="C99" s="67" t="s">
        <v>774</v>
      </c>
      <c r="D99" s="68">
        <v>3</v>
      </c>
      <c r="E99" s="69"/>
      <c r="F99" s="70">
        <v>40</v>
      </c>
      <c r="G99" s="67"/>
      <c r="H99" s="71"/>
      <c r="I99" s="72"/>
      <c r="J99" s="72"/>
      <c r="K99" s="35" t="s">
        <v>65</v>
      </c>
      <c r="L99" s="80">
        <v>99</v>
      </c>
      <c r="M99" s="80"/>
      <c r="N99" s="74"/>
      <c r="O99" s="82" t="s">
        <v>776</v>
      </c>
      <c r="P99" s="82" t="s">
        <v>197</v>
      </c>
      <c r="Q99" s="82" t="s">
        <v>870</v>
      </c>
      <c r="R99" s="82" t="s">
        <v>318</v>
      </c>
      <c r="S99" s="82" t="s">
        <v>1395</v>
      </c>
      <c r="T99" s="84" t="str">
        <f>HYPERLINK("http://www.youtube.com/channel/UCwUoMmkhZxBAUh7XwIyZuAg")</f>
        <v>http://www.youtube.com/channel/UCwUoMmkhZxBAUh7XwIyZuAg</v>
      </c>
      <c r="U99" s="82"/>
      <c r="V99" s="82" t="s">
        <v>1830</v>
      </c>
      <c r="W99" s="84" t="str">
        <f>HYPERLINK("https://www.youtube.com/watch?v=pRT5aJ3nbHM")</f>
        <v>https://www.youtube.com/watch?v=pRT5aJ3nbHM</v>
      </c>
      <c r="X99" s="82" t="s">
        <v>1857</v>
      </c>
      <c r="Y99" s="82">
        <v>1</v>
      </c>
      <c r="Z99" s="86">
        <v>44838.178622685184</v>
      </c>
      <c r="AA99" s="86">
        <v>44838.178622685184</v>
      </c>
      <c r="AB99" s="82"/>
      <c r="AC99" s="82"/>
      <c r="AD99" s="82"/>
      <c r="AE99" s="82">
        <v>1</v>
      </c>
      <c r="AF99" s="81">
        <v>4</v>
      </c>
      <c r="AG99" s="81">
        <v>4</v>
      </c>
      <c r="AH99" s="49">
        <v>0</v>
      </c>
      <c r="AI99" s="50">
        <v>0</v>
      </c>
      <c r="AJ99" s="49">
        <v>0</v>
      </c>
      <c r="AK99" s="50">
        <v>0</v>
      </c>
      <c r="AL99" s="49">
        <v>0</v>
      </c>
      <c r="AM99" s="50">
        <v>0</v>
      </c>
      <c r="AN99" s="49">
        <v>6</v>
      </c>
      <c r="AO99" s="50">
        <v>60</v>
      </c>
      <c r="AP99" s="49">
        <v>10</v>
      </c>
    </row>
    <row r="100" spans="1:42" ht="15">
      <c r="A100" s="66" t="s">
        <v>319</v>
      </c>
      <c r="B100" s="66" t="s">
        <v>355</v>
      </c>
      <c r="C100" s="67" t="s">
        <v>774</v>
      </c>
      <c r="D100" s="68">
        <v>3</v>
      </c>
      <c r="E100" s="69"/>
      <c r="F100" s="70">
        <v>40</v>
      </c>
      <c r="G100" s="67"/>
      <c r="H100" s="71"/>
      <c r="I100" s="72"/>
      <c r="J100" s="72"/>
      <c r="K100" s="35" t="s">
        <v>65</v>
      </c>
      <c r="L100" s="80">
        <v>100</v>
      </c>
      <c r="M100" s="80"/>
      <c r="N100" s="74"/>
      <c r="O100" s="82" t="s">
        <v>776</v>
      </c>
      <c r="P100" s="82" t="s">
        <v>197</v>
      </c>
      <c r="Q100" s="82" t="s">
        <v>871</v>
      </c>
      <c r="R100" s="82" t="s">
        <v>319</v>
      </c>
      <c r="S100" s="82" t="s">
        <v>1396</v>
      </c>
      <c r="T100" s="84" t="str">
        <f>HYPERLINK("http://www.youtube.com/channel/UCI7BoLPkH6apL97k50J-Y5w")</f>
        <v>http://www.youtube.com/channel/UCI7BoLPkH6apL97k50J-Y5w</v>
      </c>
      <c r="U100" s="82"/>
      <c r="V100" s="82" t="s">
        <v>1830</v>
      </c>
      <c r="W100" s="84" t="str">
        <f>HYPERLINK("https://www.youtube.com/watch?v=pRT5aJ3nbHM")</f>
        <v>https://www.youtube.com/watch?v=pRT5aJ3nbHM</v>
      </c>
      <c r="X100" s="82" t="s">
        <v>1857</v>
      </c>
      <c r="Y100" s="82">
        <v>14</v>
      </c>
      <c r="Z100" s="86">
        <v>44838.91855324074</v>
      </c>
      <c r="AA100" s="86">
        <v>44838.91855324074</v>
      </c>
      <c r="AB100" s="82"/>
      <c r="AC100" s="82"/>
      <c r="AD100" s="82"/>
      <c r="AE100" s="82">
        <v>1</v>
      </c>
      <c r="AF100" s="81">
        <v>4</v>
      </c>
      <c r="AG100" s="81">
        <v>4</v>
      </c>
      <c r="AH100" s="49">
        <v>1</v>
      </c>
      <c r="AI100" s="110">
        <v>3.4482758620689653</v>
      </c>
      <c r="AJ100" s="49">
        <v>0</v>
      </c>
      <c r="AK100" s="50">
        <v>0</v>
      </c>
      <c r="AL100" s="49">
        <v>0</v>
      </c>
      <c r="AM100" s="50">
        <v>0</v>
      </c>
      <c r="AN100" s="49">
        <v>12</v>
      </c>
      <c r="AO100" s="110">
        <v>41.37931034482759</v>
      </c>
      <c r="AP100" s="49">
        <v>29</v>
      </c>
    </row>
    <row r="101" spans="1:42" ht="15">
      <c r="A101" s="66" t="s">
        <v>320</v>
      </c>
      <c r="B101" s="66" t="s">
        <v>355</v>
      </c>
      <c r="C101" s="67" t="s">
        <v>774</v>
      </c>
      <c r="D101" s="68">
        <v>3</v>
      </c>
      <c r="E101" s="69"/>
      <c r="F101" s="70">
        <v>40</v>
      </c>
      <c r="G101" s="67"/>
      <c r="H101" s="71"/>
      <c r="I101" s="72"/>
      <c r="J101" s="72"/>
      <c r="K101" s="35" t="s">
        <v>65</v>
      </c>
      <c r="L101" s="80">
        <v>101</v>
      </c>
      <c r="M101" s="80"/>
      <c r="N101" s="74"/>
      <c r="O101" s="82" t="s">
        <v>776</v>
      </c>
      <c r="P101" s="82" t="s">
        <v>197</v>
      </c>
      <c r="Q101" s="82" t="s">
        <v>872</v>
      </c>
      <c r="R101" s="82" t="s">
        <v>320</v>
      </c>
      <c r="S101" s="82" t="s">
        <v>1397</v>
      </c>
      <c r="T101" s="84" t="str">
        <f>HYPERLINK("http://www.youtube.com/channel/UCjgMPLmajooHkHX18fjLIZw")</f>
        <v>http://www.youtube.com/channel/UCjgMPLmajooHkHX18fjLIZw</v>
      </c>
      <c r="U101" s="82"/>
      <c r="V101" s="82" t="s">
        <v>1830</v>
      </c>
      <c r="W101" s="84" t="str">
        <f>HYPERLINK("https://www.youtube.com/watch?v=pRT5aJ3nbHM")</f>
        <v>https://www.youtube.com/watch?v=pRT5aJ3nbHM</v>
      </c>
      <c r="X101" s="82" t="s">
        <v>1857</v>
      </c>
      <c r="Y101" s="82">
        <v>1</v>
      </c>
      <c r="Z101" s="86">
        <v>44840.23211805556</v>
      </c>
      <c r="AA101" s="86">
        <v>44840.23211805556</v>
      </c>
      <c r="AB101" s="82"/>
      <c r="AC101" s="82"/>
      <c r="AD101" s="82"/>
      <c r="AE101" s="82">
        <v>1</v>
      </c>
      <c r="AF101" s="81">
        <v>4</v>
      </c>
      <c r="AG101" s="81">
        <v>4</v>
      </c>
      <c r="AH101" s="49">
        <v>0</v>
      </c>
      <c r="AI101" s="50">
        <v>0</v>
      </c>
      <c r="AJ101" s="49">
        <v>0</v>
      </c>
      <c r="AK101" s="50">
        <v>0</v>
      </c>
      <c r="AL101" s="49">
        <v>0</v>
      </c>
      <c r="AM101" s="50">
        <v>0</v>
      </c>
      <c r="AN101" s="49">
        <v>8</v>
      </c>
      <c r="AO101" s="110">
        <v>57.142857142857146</v>
      </c>
      <c r="AP101" s="49">
        <v>14</v>
      </c>
    </row>
    <row r="102" spans="1:42" ht="15">
      <c r="A102" s="66" t="s">
        <v>321</v>
      </c>
      <c r="B102" s="66" t="s">
        <v>355</v>
      </c>
      <c r="C102" s="67" t="s">
        <v>774</v>
      </c>
      <c r="D102" s="68">
        <v>3</v>
      </c>
      <c r="E102" s="69"/>
      <c r="F102" s="70">
        <v>40</v>
      </c>
      <c r="G102" s="67"/>
      <c r="H102" s="71"/>
      <c r="I102" s="72"/>
      <c r="J102" s="72"/>
      <c r="K102" s="35" t="s">
        <v>65</v>
      </c>
      <c r="L102" s="80">
        <v>102</v>
      </c>
      <c r="M102" s="80"/>
      <c r="N102" s="74"/>
      <c r="O102" s="82" t="s">
        <v>776</v>
      </c>
      <c r="P102" s="82" t="s">
        <v>197</v>
      </c>
      <c r="Q102" s="82" t="s">
        <v>873</v>
      </c>
      <c r="R102" s="82" t="s">
        <v>321</v>
      </c>
      <c r="S102" s="82" t="s">
        <v>1398</v>
      </c>
      <c r="T102" s="84" t="str">
        <f>HYPERLINK("http://www.youtube.com/channel/UCK6MI5zP7kCf1pv1_d_nJ7g")</f>
        <v>http://www.youtube.com/channel/UCK6MI5zP7kCf1pv1_d_nJ7g</v>
      </c>
      <c r="U102" s="82"/>
      <c r="V102" s="82" t="s">
        <v>1830</v>
      </c>
      <c r="W102" s="84" t="str">
        <f>HYPERLINK("https://www.youtube.com/watch?v=pRT5aJ3nbHM")</f>
        <v>https://www.youtube.com/watch?v=pRT5aJ3nbHM</v>
      </c>
      <c r="X102" s="82" t="s">
        <v>1857</v>
      </c>
      <c r="Y102" s="82">
        <v>1</v>
      </c>
      <c r="Z102" s="86">
        <v>44842.31655092593</v>
      </c>
      <c r="AA102" s="86">
        <v>44842.31655092593</v>
      </c>
      <c r="AB102" s="82"/>
      <c r="AC102" s="82"/>
      <c r="AD102" s="82"/>
      <c r="AE102" s="82">
        <v>1</v>
      </c>
      <c r="AF102" s="81">
        <v>4</v>
      </c>
      <c r="AG102" s="81">
        <v>4</v>
      </c>
      <c r="AH102" s="49">
        <v>1</v>
      </c>
      <c r="AI102" s="50">
        <v>2.5</v>
      </c>
      <c r="AJ102" s="49">
        <v>1</v>
      </c>
      <c r="AK102" s="50">
        <v>2.5</v>
      </c>
      <c r="AL102" s="49">
        <v>0</v>
      </c>
      <c r="AM102" s="50">
        <v>0</v>
      </c>
      <c r="AN102" s="49">
        <v>22</v>
      </c>
      <c r="AO102" s="50">
        <v>55</v>
      </c>
      <c r="AP102" s="49">
        <v>40</v>
      </c>
    </row>
    <row r="103" spans="1:42" ht="15">
      <c r="A103" s="66" t="s">
        <v>322</v>
      </c>
      <c r="B103" s="66" t="s">
        <v>355</v>
      </c>
      <c r="C103" s="67" t="s">
        <v>774</v>
      </c>
      <c r="D103" s="68">
        <v>3</v>
      </c>
      <c r="E103" s="69"/>
      <c r="F103" s="70">
        <v>40</v>
      </c>
      <c r="G103" s="67"/>
      <c r="H103" s="71"/>
      <c r="I103" s="72"/>
      <c r="J103" s="72"/>
      <c r="K103" s="35" t="s">
        <v>65</v>
      </c>
      <c r="L103" s="80">
        <v>103</v>
      </c>
      <c r="M103" s="80"/>
      <c r="N103" s="74"/>
      <c r="O103" s="82" t="s">
        <v>776</v>
      </c>
      <c r="P103" s="82" t="s">
        <v>197</v>
      </c>
      <c r="Q103" s="82" t="s">
        <v>874</v>
      </c>
      <c r="R103" s="82" t="s">
        <v>322</v>
      </c>
      <c r="S103" s="82" t="s">
        <v>1399</v>
      </c>
      <c r="T103" s="84" t="str">
        <f>HYPERLINK("http://www.youtube.com/channel/UCIDy2RwI4OpXpxA7vHefKJg")</f>
        <v>http://www.youtube.com/channel/UCIDy2RwI4OpXpxA7vHefKJg</v>
      </c>
      <c r="U103" s="82"/>
      <c r="V103" s="82" t="s">
        <v>1830</v>
      </c>
      <c r="W103" s="84" t="str">
        <f>HYPERLINK("https://www.youtube.com/watch?v=pRT5aJ3nbHM")</f>
        <v>https://www.youtube.com/watch?v=pRT5aJ3nbHM</v>
      </c>
      <c r="X103" s="82" t="s">
        <v>1857</v>
      </c>
      <c r="Y103" s="82">
        <v>0</v>
      </c>
      <c r="Z103" s="86">
        <v>44842.78435185185</v>
      </c>
      <c r="AA103" s="86">
        <v>44842.78435185185</v>
      </c>
      <c r="AB103" s="82"/>
      <c r="AC103" s="82"/>
      <c r="AD103" s="82"/>
      <c r="AE103" s="82">
        <v>1</v>
      </c>
      <c r="AF103" s="81">
        <v>4</v>
      </c>
      <c r="AG103" s="81">
        <v>4</v>
      </c>
      <c r="AH103" s="49">
        <v>0</v>
      </c>
      <c r="AI103" s="50">
        <v>0</v>
      </c>
      <c r="AJ103" s="49">
        <v>1</v>
      </c>
      <c r="AK103" s="110">
        <v>5.555555555555555</v>
      </c>
      <c r="AL103" s="49">
        <v>0</v>
      </c>
      <c r="AM103" s="50">
        <v>0</v>
      </c>
      <c r="AN103" s="49">
        <v>7</v>
      </c>
      <c r="AO103" s="110">
        <v>38.888888888888886</v>
      </c>
      <c r="AP103" s="49">
        <v>18</v>
      </c>
    </row>
    <row r="104" spans="1:42" ht="15">
      <c r="A104" s="66" t="s">
        <v>323</v>
      </c>
      <c r="B104" s="66" t="s">
        <v>355</v>
      </c>
      <c r="C104" s="67" t="s">
        <v>774</v>
      </c>
      <c r="D104" s="68">
        <v>3</v>
      </c>
      <c r="E104" s="69"/>
      <c r="F104" s="70">
        <v>40</v>
      </c>
      <c r="G104" s="67"/>
      <c r="H104" s="71"/>
      <c r="I104" s="72"/>
      <c r="J104" s="72"/>
      <c r="K104" s="35" t="s">
        <v>65</v>
      </c>
      <c r="L104" s="80">
        <v>104</v>
      </c>
      <c r="M104" s="80"/>
      <c r="N104" s="74"/>
      <c r="O104" s="82" t="s">
        <v>776</v>
      </c>
      <c r="P104" s="82" t="s">
        <v>197</v>
      </c>
      <c r="Q104" s="82" t="s">
        <v>875</v>
      </c>
      <c r="R104" s="82" t="s">
        <v>323</v>
      </c>
      <c r="S104" s="82" t="s">
        <v>1400</v>
      </c>
      <c r="T104" s="84" t="str">
        <f>HYPERLINK("http://www.youtube.com/channel/UCzP9bEmqy6rusl5xAIv-xrA")</f>
        <v>http://www.youtube.com/channel/UCzP9bEmqy6rusl5xAIv-xrA</v>
      </c>
      <c r="U104" s="82"/>
      <c r="V104" s="82" t="s">
        <v>1830</v>
      </c>
      <c r="W104" s="84" t="str">
        <f>HYPERLINK("https://www.youtube.com/watch?v=pRT5aJ3nbHM")</f>
        <v>https://www.youtube.com/watch?v=pRT5aJ3nbHM</v>
      </c>
      <c r="X104" s="82" t="s">
        <v>1857</v>
      </c>
      <c r="Y104" s="82">
        <v>0</v>
      </c>
      <c r="Z104" s="86">
        <v>44845.66608796296</v>
      </c>
      <c r="AA104" s="86">
        <v>44845.66608796296</v>
      </c>
      <c r="AB104" s="82"/>
      <c r="AC104" s="82"/>
      <c r="AD104" s="82"/>
      <c r="AE104" s="82">
        <v>1</v>
      </c>
      <c r="AF104" s="81">
        <v>4</v>
      </c>
      <c r="AG104" s="81">
        <v>4</v>
      </c>
      <c r="AH104" s="49">
        <v>0</v>
      </c>
      <c r="AI104" s="50">
        <v>0</v>
      </c>
      <c r="AJ104" s="49">
        <v>1</v>
      </c>
      <c r="AK104" s="110">
        <v>33.333333333333336</v>
      </c>
      <c r="AL104" s="49">
        <v>0</v>
      </c>
      <c r="AM104" s="50">
        <v>0</v>
      </c>
      <c r="AN104" s="49">
        <v>0</v>
      </c>
      <c r="AO104" s="50">
        <v>0</v>
      </c>
      <c r="AP104" s="49">
        <v>3</v>
      </c>
    </row>
    <row r="105" spans="1:42" ht="15">
      <c r="A105" s="66" t="s">
        <v>324</v>
      </c>
      <c r="B105" s="66" t="s">
        <v>355</v>
      </c>
      <c r="C105" s="67" t="s">
        <v>774</v>
      </c>
      <c r="D105" s="68">
        <v>3</v>
      </c>
      <c r="E105" s="69"/>
      <c r="F105" s="70">
        <v>40</v>
      </c>
      <c r="G105" s="67"/>
      <c r="H105" s="71"/>
      <c r="I105" s="72"/>
      <c r="J105" s="72"/>
      <c r="K105" s="35" t="s">
        <v>65</v>
      </c>
      <c r="L105" s="80">
        <v>105</v>
      </c>
      <c r="M105" s="80"/>
      <c r="N105" s="74"/>
      <c r="O105" s="82" t="s">
        <v>776</v>
      </c>
      <c r="P105" s="82" t="s">
        <v>197</v>
      </c>
      <c r="Q105" s="82" t="s">
        <v>876</v>
      </c>
      <c r="R105" s="82" t="s">
        <v>324</v>
      </c>
      <c r="S105" s="82" t="s">
        <v>1401</v>
      </c>
      <c r="T105" s="84" t="str">
        <f>HYPERLINK("http://www.youtube.com/channel/UCBDmMIl7xaotZ_ZYgIXys1A")</f>
        <v>http://www.youtube.com/channel/UCBDmMIl7xaotZ_ZYgIXys1A</v>
      </c>
      <c r="U105" s="82"/>
      <c r="V105" s="82" t="s">
        <v>1830</v>
      </c>
      <c r="W105" s="84" t="str">
        <f>HYPERLINK("https://www.youtube.com/watch?v=pRT5aJ3nbHM")</f>
        <v>https://www.youtube.com/watch?v=pRT5aJ3nbHM</v>
      </c>
      <c r="X105" s="82" t="s">
        <v>1857</v>
      </c>
      <c r="Y105" s="82">
        <v>25</v>
      </c>
      <c r="Z105" s="86">
        <v>44845.7947337963</v>
      </c>
      <c r="AA105" s="86">
        <v>44845.79518518518</v>
      </c>
      <c r="AB105" s="82"/>
      <c r="AC105" s="82"/>
      <c r="AD105" s="82"/>
      <c r="AE105" s="82">
        <v>1</v>
      </c>
      <c r="AF105" s="81">
        <v>4</v>
      </c>
      <c r="AG105" s="81">
        <v>4</v>
      </c>
      <c r="AH105" s="49">
        <v>0</v>
      </c>
      <c r="AI105" s="50">
        <v>0</v>
      </c>
      <c r="AJ105" s="49">
        <v>0</v>
      </c>
      <c r="AK105" s="50">
        <v>0</v>
      </c>
      <c r="AL105" s="49">
        <v>0</v>
      </c>
      <c r="AM105" s="50">
        <v>0</v>
      </c>
      <c r="AN105" s="49">
        <v>8</v>
      </c>
      <c r="AO105" s="110">
        <v>42.10526315789474</v>
      </c>
      <c r="AP105" s="49">
        <v>19</v>
      </c>
    </row>
    <row r="106" spans="1:42" ht="15">
      <c r="A106" s="66" t="s">
        <v>325</v>
      </c>
      <c r="B106" s="66" t="s">
        <v>355</v>
      </c>
      <c r="C106" s="67" t="s">
        <v>774</v>
      </c>
      <c r="D106" s="68">
        <v>3</v>
      </c>
      <c r="E106" s="69"/>
      <c r="F106" s="70">
        <v>40</v>
      </c>
      <c r="G106" s="67"/>
      <c r="H106" s="71"/>
      <c r="I106" s="72"/>
      <c r="J106" s="72"/>
      <c r="K106" s="35" t="s">
        <v>65</v>
      </c>
      <c r="L106" s="80">
        <v>106</v>
      </c>
      <c r="M106" s="80"/>
      <c r="N106" s="74"/>
      <c r="O106" s="82" t="s">
        <v>776</v>
      </c>
      <c r="P106" s="82" t="s">
        <v>197</v>
      </c>
      <c r="Q106" s="82" t="s">
        <v>877</v>
      </c>
      <c r="R106" s="82" t="s">
        <v>325</v>
      </c>
      <c r="S106" s="82" t="s">
        <v>1402</v>
      </c>
      <c r="T106" s="84" t="str">
        <f>HYPERLINK("http://www.youtube.com/channel/UCP9Tu8lLXl-cwVLL1_4kV_g")</f>
        <v>http://www.youtube.com/channel/UCP9Tu8lLXl-cwVLL1_4kV_g</v>
      </c>
      <c r="U106" s="82"/>
      <c r="V106" s="82" t="s">
        <v>1830</v>
      </c>
      <c r="W106" s="84" t="str">
        <f>HYPERLINK("https://www.youtube.com/watch?v=pRT5aJ3nbHM")</f>
        <v>https://www.youtube.com/watch?v=pRT5aJ3nbHM</v>
      </c>
      <c r="X106" s="82" t="s">
        <v>1857</v>
      </c>
      <c r="Y106" s="82">
        <v>0</v>
      </c>
      <c r="Z106" s="86">
        <v>44845.93664351852</v>
      </c>
      <c r="AA106" s="86">
        <v>44845.94016203703</v>
      </c>
      <c r="AB106" s="82"/>
      <c r="AC106" s="82"/>
      <c r="AD106" s="82"/>
      <c r="AE106" s="82">
        <v>1</v>
      </c>
      <c r="AF106" s="81">
        <v>4</v>
      </c>
      <c r="AG106" s="81">
        <v>4</v>
      </c>
      <c r="AH106" s="49">
        <v>3</v>
      </c>
      <c r="AI106" s="110">
        <v>6.122448979591836</v>
      </c>
      <c r="AJ106" s="49">
        <v>1</v>
      </c>
      <c r="AK106" s="110">
        <v>2.0408163265306123</v>
      </c>
      <c r="AL106" s="49">
        <v>0</v>
      </c>
      <c r="AM106" s="50">
        <v>0</v>
      </c>
      <c r="AN106" s="49">
        <v>18</v>
      </c>
      <c r="AO106" s="110">
        <v>36.734693877551024</v>
      </c>
      <c r="AP106" s="49">
        <v>49</v>
      </c>
    </row>
    <row r="107" spans="1:42" ht="15">
      <c r="A107" s="66" t="s">
        <v>326</v>
      </c>
      <c r="B107" s="66" t="s">
        <v>355</v>
      </c>
      <c r="C107" s="67" t="s">
        <v>774</v>
      </c>
      <c r="D107" s="68">
        <v>3</v>
      </c>
      <c r="E107" s="69"/>
      <c r="F107" s="70">
        <v>40</v>
      </c>
      <c r="G107" s="67"/>
      <c r="H107" s="71"/>
      <c r="I107" s="72"/>
      <c r="J107" s="72"/>
      <c r="K107" s="35" t="s">
        <v>65</v>
      </c>
      <c r="L107" s="80">
        <v>107</v>
      </c>
      <c r="M107" s="80"/>
      <c r="N107" s="74"/>
      <c r="O107" s="82" t="s">
        <v>776</v>
      </c>
      <c r="P107" s="82" t="s">
        <v>197</v>
      </c>
      <c r="Q107" s="82" t="s">
        <v>878</v>
      </c>
      <c r="R107" s="82" t="s">
        <v>326</v>
      </c>
      <c r="S107" s="82" t="s">
        <v>1403</v>
      </c>
      <c r="T107" s="84" t="str">
        <f>HYPERLINK("http://www.youtube.com/channel/UC3T6vcfVSrtVBPvF5T_xa0w")</f>
        <v>http://www.youtube.com/channel/UC3T6vcfVSrtVBPvF5T_xa0w</v>
      </c>
      <c r="U107" s="82"/>
      <c r="V107" s="82" t="s">
        <v>1830</v>
      </c>
      <c r="W107" s="84" t="str">
        <f>HYPERLINK("https://www.youtube.com/watch?v=pRT5aJ3nbHM")</f>
        <v>https://www.youtube.com/watch?v=pRT5aJ3nbHM</v>
      </c>
      <c r="X107" s="82" t="s">
        <v>1857</v>
      </c>
      <c r="Y107" s="82">
        <v>0</v>
      </c>
      <c r="Z107" s="86">
        <v>44846.006377314814</v>
      </c>
      <c r="AA107" s="86">
        <v>44846.006377314814</v>
      </c>
      <c r="AB107" s="82"/>
      <c r="AC107" s="82"/>
      <c r="AD107" s="82"/>
      <c r="AE107" s="82">
        <v>1</v>
      </c>
      <c r="AF107" s="81">
        <v>4</v>
      </c>
      <c r="AG107" s="81">
        <v>4</v>
      </c>
      <c r="AH107" s="49">
        <v>0</v>
      </c>
      <c r="AI107" s="50">
        <v>0</v>
      </c>
      <c r="AJ107" s="49">
        <v>0</v>
      </c>
      <c r="AK107" s="50">
        <v>0</v>
      </c>
      <c r="AL107" s="49">
        <v>0</v>
      </c>
      <c r="AM107" s="50">
        <v>0</v>
      </c>
      <c r="AN107" s="49">
        <v>8</v>
      </c>
      <c r="AO107" s="50">
        <v>32</v>
      </c>
      <c r="AP107" s="49">
        <v>25</v>
      </c>
    </row>
    <row r="108" spans="1:42" ht="15">
      <c r="A108" s="66" t="s">
        <v>327</v>
      </c>
      <c r="B108" s="66" t="s">
        <v>355</v>
      </c>
      <c r="C108" s="67" t="s">
        <v>774</v>
      </c>
      <c r="D108" s="68">
        <v>3</v>
      </c>
      <c r="E108" s="69"/>
      <c r="F108" s="70">
        <v>40</v>
      </c>
      <c r="G108" s="67"/>
      <c r="H108" s="71"/>
      <c r="I108" s="72"/>
      <c r="J108" s="72"/>
      <c r="K108" s="35" t="s">
        <v>65</v>
      </c>
      <c r="L108" s="80">
        <v>108</v>
      </c>
      <c r="M108" s="80"/>
      <c r="N108" s="74"/>
      <c r="O108" s="82" t="s">
        <v>776</v>
      </c>
      <c r="P108" s="82" t="s">
        <v>197</v>
      </c>
      <c r="Q108" s="82" t="s">
        <v>879</v>
      </c>
      <c r="R108" s="82" t="s">
        <v>327</v>
      </c>
      <c r="S108" s="82" t="s">
        <v>1404</v>
      </c>
      <c r="T108" s="84" t="str">
        <f>HYPERLINK("http://www.youtube.com/channel/UCSVb_doMhFCuWEB-jKFFBwg")</f>
        <v>http://www.youtube.com/channel/UCSVb_doMhFCuWEB-jKFFBwg</v>
      </c>
      <c r="U108" s="82"/>
      <c r="V108" s="82" t="s">
        <v>1830</v>
      </c>
      <c r="W108" s="84" t="str">
        <f>HYPERLINK("https://www.youtube.com/watch?v=pRT5aJ3nbHM")</f>
        <v>https://www.youtube.com/watch?v=pRT5aJ3nbHM</v>
      </c>
      <c r="X108" s="82" t="s">
        <v>1857</v>
      </c>
      <c r="Y108" s="82">
        <v>0</v>
      </c>
      <c r="Z108" s="86">
        <v>44846.22825231482</v>
      </c>
      <c r="AA108" s="86">
        <v>44846.22825231482</v>
      </c>
      <c r="AB108" s="82"/>
      <c r="AC108" s="82"/>
      <c r="AD108" s="82"/>
      <c r="AE108" s="82">
        <v>1</v>
      </c>
      <c r="AF108" s="81">
        <v>4</v>
      </c>
      <c r="AG108" s="81">
        <v>4</v>
      </c>
      <c r="AH108" s="49">
        <v>0</v>
      </c>
      <c r="AI108" s="50">
        <v>0</v>
      </c>
      <c r="AJ108" s="49">
        <v>1</v>
      </c>
      <c r="AK108" s="50">
        <v>100</v>
      </c>
      <c r="AL108" s="49">
        <v>0</v>
      </c>
      <c r="AM108" s="50">
        <v>0</v>
      </c>
      <c r="AN108" s="49">
        <v>0</v>
      </c>
      <c r="AO108" s="50">
        <v>0</v>
      </c>
      <c r="AP108" s="49">
        <v>1</v>
      </c>
    </row>
    <row r="109" spans="1:42" ht="15">
      <c r="A109" s="66" t="s">
        <v>328</v>
      </c>
      <c r="B109" s="66" t="s">
        <v>355</v>
      </c>
      <c r="C109" s="67" t="s">
        <v>774</v>
      </c>
      <c r="D109" s="68">
        <v>3</v>
      </c>
      <c r="E109" s="69"/>
      <c r="F109" s="70">
        <v>40</v>
      </c>
      <c r="G109" s="67"/>
      <c r="H109" s="71"/>
      <c r="I109" s="72"/>
      <c r="J109" s="72"/>
      <c r="K109" s="35" t="s">
        <v>65</v>
      </c>
      <c r="L109" s="80">
        <v>109</v>
      </c>
      <c r="M109" s="80"/>
      <c r="N109" s="74"/>
      <c r="O109" s="82" t="s">
        <v>776</v>
      </c>
      <c r="P109" s="82" t="s">
        <v>197</v>
      </c>
      <c r="Q109" s="82" t="s">
        <v>880</v>
      </c>
      <c r="R109" s="82" t="s">
        <v>328</v>
      </c>
      <c r="S109" s="82" t="s">
        <v>1405</v>
      </c>
      <c r="T109" s="84" t="str">
        <f>HYPERLINK("http://www.youtube.com/channel/UCouml9o85CbzVWdG5kzcueA")</f>
        <v>http://www.youtube.com/channel/UCouml9o85CbzVWdG5kzcueA</v>
      </c>
      <c r="U109" s="82"/>
      <c r="V109" s="82" t="s">
        <v>1830</v>
      </c>
      <c r="W109" s="84" t="str">
        <f>HYPERLINK("https://www.youtube.com/watch?v=pRT5aJ3nbHM")</f>
        <v>https://www.youtube.com/watch?v=pRT5aJ3nbHM</v>
      </c>
      <c r="X109" s="82" t="s">
        <v>1857</v>
      </c>
      <c r="Y109" s="82">
        <v>0</v>
      </c>
      <c r="Z109" s="86">
        <v>44846.27170138889</v>
      </c>
      <c r="AA109" s="86">
        <v>44846.27170138889</v>
      </c>
      <c r="AB109" s="82"/>
      <c r="AC109" s="82"/>
      <c r="AD109" s="82"/>
      <c r="AE109" s="82">
        <v>1</v>
      </c>
      <c r="AF109" s="81">
        <v>4</v>
      </c>
      <c r="AG109" s="81">
        <v>4</v>
      </c>
      <c r="AH109" s="49">
        <v>0</v>
      </c>
      <c r="AI109" s="50">
        <v>0</v>
      </c>
      <c r="AJ109" s="49">
        <v>0</v>
      </c>
      <c r="AK109" s="50">
        <v>0</v>
      </c>
      <c r="AL109" s="49">
        <v>0</v>
      </c>
      <c r="AM109" s="50">
        <v>0</v>
      </c>
      <c r="AN109" s="49">
        <v>1</v>
      </c>
      <c r="AO109" s="110">
        <v>33.333333333333336</v>
      </c>
      <c r="AP109" s="49">
        <v>3</v>
      </c>
    </row>
    <row r="110" spans="1:42" ht="15">
      <c r="A110" s="66" t="s">
        <v>329</v>
      </c>
      <c r="B110" s="66" t="s">
        <v>355</v>
      </c>
      <c r="C110" s="67" t="s">
        <v>4788</v>
      </c>
      <c r="D110" s="68">
        <v>10</v>
      </c>
      <c r="E110" s="69"/>
      <c r="F110" s="70">
        <v>15</v>
      </c>
      <c r="G110" s="67"/>
      <c r="H110" s="71"/>
      <c r="I110" s="72"/>
      <c r="J110" s="72"/>
      <c r="K110" s="35" t="s">
        <v>65</v>
      </c>
      <c r="L110" s="80">
        <v>110</v>
      </c>
      <c r="M110" s="80"/>
      <c r="N110" s="74"/>
      <c r="O110" s="82" t="s">
        <v>776</v>
      </c>
      <c r="P110" s="82" t="s">
        <v>197</v>
      </c>
      <c r="Q110" s="82" t="s">
        <v>881</v>
      </c>
      <c r="R110" s="82" t="s">
        <v>329</v>
      </c>
      <c r="S110" s="82" t="s">
        <v>1406</v>
      </c>
      <c r="T110" s="84" t="str">
        <f>HYPERLINK("http://www.youtube.com/channel/UCZE8M4UePEf4M89kJqB8Tig")</f>
        <v>http://www.youtube.com/channel/UCZE8M4UePEf4M89kJqB8Tig</v>
      </c>
      <c r="U110" s="82"/>
      <c r="V110" s="82" t="s">
        <v>1830</v>
      </c>
      <c r="W110" s="84" t="str">
        <f>HYPERLINK("https://www.youtube.com/watch?v=pRT5aJ3nbHM")</f>
        <v>https://www.youtube.com/watch?v=pRT5aJ3nbHM</v>
      </c>
      <c r="X110" s="82" t="s">
        <v>1857</v>
      </c>
      <c r="Y110" s="82">
        <v>0</v>
      </c>
      <c r="Z110" s="86">
        <v>44846.892858796295</v>
      </c>
      <c r="AA110" s="86">
        <v>44846.892858796295</v>
      </c>
      <c r="AB110" s="82"/>
      <c r="AC110" s="82"/>
      <c r="AD110" s="82"/>
      <c r="AE110" s="82">
        <v>4</v>
      </c>
      <c r="AF110" s="81">
        <v>4</v>
      </c>
      <c r="AG110" s="81">
        <v>4</v>
      </c>
      <c r="AH110" s="49">
        <v>0</v>
      </c>
      <c r="AI110" s="50">
        <v>0</v>
      </c>
      <c r="AJ110" s="49">
        <v>0</v>
      </c>
      <c r="AK110" s="50">
        <v>0</v>
      </c>
      <c r="AL110" s="49">
        <v>0</v>
      </c>
      <c r="AM110" s="50">
        <v>0</v>
      </c>
      <c r="AN110" s="49">
        <v>9</v>
      </c>
      <c r="AO110" s="110">
        <v>42.857142857142854</v>
      </c>
      <c r="AP110" s="49">
        <v>21</v>
      </c>
    </row>
    <row r="111" spans="1:42" ht="15">
      <c r="A111" s="66" t="s">
        <v>330</v>
      </c>
      <c r="B111" s="66" t="s">
        <v>355</v>
      </c>
      <c r="C111" s="67" t="s">
        <v>774</v>
      </c>
      <c r="D111" s="68">
        <v>3</v>
      </c>
      <c r="E111" s="69"/>
      <c r="F111" s="70">
        <v>40</v>
      </c>
      <c r="G111" s="67"/>
      <c r="H111" s="71"/>
      <c r="I111" s="72"/>
      <c r="J111" s="72"/>
      <c r="K111" s="35" t="s">
        <v>65</v>
      </c>
      <c r="L111" s="80">
        <v>111</v>
      </c>
      <c r="M111" s="80"/>
      <c r="N111" s="74"/>
      <c r="O111" s="82" t="s">
        <v>776</v>
      </c>
      <c r="P111" s="82" t="s">
        <v>197</v>
      </c>
      <c r="Q111" s="82" t="s">
        <v>882</v>
      </c>
      <c r="R111" s="82" t="s">
        <v>330</v>
      </c>
      <c r="S111" s="82" t="s">
        <v>1407</v>
      </c>
      <c r="T111" s="84" t="str">
        <f>HYPERLINK("http://www.youtube.com/channel/UCEqVzBT7SFk-XhatGhDaSqA")</f>
        <v>http://www.youtube.com/channel/UCEqVzBT7SFk-XhatGhDaSqA</v>
      </c>
      <c r="U111" s="82"/>
      <c r="V111" s="82" t="s">
        <v>1830</v>
      </c>
      <c r="W111" s="84" t="str">
        <f>HYPERLINK("https://www.youtube.com/watch?v=pRT5aJ3nbHM")</f>
        <v>https://www.youtube.com/watch?v=pRT5aJ3nbHM</v>
      </c>
      <c r="X111" s="82" t="s">
        <v>1857</v>
      </c>
      <c r="Y111" s="82">
        <v>0</v>
      </c>
      <c r="Z111" s="86">
        <v>44847.23815972222</v>
      </c>
      <c r="AA111" s="86">
        <v>44847.23815972222</v>
      </c>
      <c r="AB111" s="82"/>
      <c r="AC111" s="82"/>
      <c r="AD111" s="82"/>
      <c r="AE111" s="82">
        <v>1</v>
      </c>
      <c r="AF111" s="81">
        <v>4</v>
      </c>
      <c r="AG111" s="81">
        <v>4</v>
      </c>
      <c r="AH111" s="49">
        <v>0</v>
      </c>
      <c r="AI111" s="50">
        <v>0</v>
      </c>
      <c r="AJ111" s="49">
        <v>1</v>
      </c>
      <c r="AK111" s="110">
        <v>2.857142857142857</v>
      </c>
      <c r="AL111" s="49">
        <v>0</v>
      </c>
      <c r="AM111" s="50">
        <v>0</v>
      </c>
      <c r="AN111" s="49">
        <v>10</v>
      </c>
      <c r="AO111" s="110">
        <v>28.571428571428573</v>
      </c>
      <c r="AP111" s="49">
        <v>35</v>
      </c>
    </row>
    <row r="112" spans="1:42" ht="15">
      <c r="A112" s="66" t="s">
        <v>331</v>
      </c>
      <c r="B112" s="66" t="s">
        <v>355</v>
      </c>
      <c r="C112" s="67" t="s">
        <v>774</v>
      </c>
      <c r="D112" s="68">
        <v>3</v>
      </c>
      <c r="E112" s="69"/>
      <c r="F112" s="70">
        <v>40</v>
      </c>
      <c r="G112" s="67"/>
      <c r="H112" s="71"/>
      <c r="I112" s="72"/>
      <c r="J112" s="72"/>
      <c r="K112" s="35" t="s">
        <v>65</v>
      </c>
      <c r="L112" s="80">
        <v>112</v>
      </c>
      <c r="M112" s="80"/>
      <c r="N112" s="74"/>
      <c r="O112" s="82" t="s">
        <v>776</v>
      </c>
      <c r="P112" s="82" t="s">
        <v>197</v>
      </c>
      <c r="Q112" s="82" t="s">
        <v>883</v>
      </c>
      <c r="R112" s="82" t="s">
        <v>331</v>
      </c>
      <c r="S112" s="82" t="s">
        <v>1408</v>
      </c>
      <c r="T112" s="84" t="str">
        <f>HYPERLINK("http://www.youtube.com/channel/UCu7voL1-c4P9GneVn9hMNBw")</f>
        <v>http://www.youtube.com/channel/UCu7voL1-c4P9GneVn9hMNBw</v>
      </c>
      <c r="U112" s="82"/>
      <c r="V112" s="82" t="s">
        <v>1830</v>
      </c>
      <c r="W112" s="84" t="str">
        <f>HYPERLINK("https://www.youtube.com/watch?v=pRT5aJ3nbHM")</f>
        <v>https://www.youtube.com/watch?v=pRT5aJ3nbHM</v>
      </c>
      <c r="X112" s="82" t="s">
        <v>1857</v>
      </c>
      <c r="Y112" s="82">
        <v>0</v>
      </c>
      <c r="Z112" s="86">
        <v>44847.46059027778</v>
      </c>
      <c r="AA112" s="86">
        <v>44847.46059027778</v>
      </c>
      <c r="AB112" s="82"/>
      <c r="AC112" s="82"/>
      <c r="AD112" s="82"/>
      <c r="AE112" s="82">
        <v>1</v>
      </c>
      <c r="AF112" s="81">
        <v>4</v>
      </c>
      <c r="AG112" s="81">
        <v>4</v>
      </c>
      <c r="AH112" s="49">
        <v>0</v>
      </c>
      <c r="AI112" s="50">
        <v>0</v>
      </c>
      <c r="AJ112" s="49">
        <v>0</v>
      </c>
      <c r="AK112" s="50">
        <v>0</v>
      </c>
      <c r="AL112" s="49">
        <v>0</v>
      </c>
      <c r="AM112" s="50">
        <v>0</v>
      </c>
      <c r="AN112" s="49">
        <v>6</v>
      </c>
      <c r="AO112" s="50">
        <v>75</v>
      </c>
      <c r="AP112" s="49">
        <v>8</v>
      </c>
    </row>
    <row r="113" spans="1:42" ht="15">
      <c r="A113" s="66" t="s">
        <v>332</v>
      </c>
      <c r="B113" s="66" t="s">
        <v>355</v>
      </c>
      <c r="C113" s="67" t="s">
        <v>774</v>
      </c>
      <c r="D113" s="68">
        <v>3</v>
      </c>
      <c r="E113" s="69"/>
      <c r="F113" s="70">
        <v>40</v>
      </c>
      <c r="G113" s="67"/>
      <c r="H113" s="71"/>
      <c r="I113" s="72"/>
      <c r="J113" s="72"/>
      <c r="K113" s="35" t="s">
        <v>65</v>
      </c>
      <c r="L113" s="80">
        <v>113</v>
      </c>
      <c r="M113" s="80"/>
      <c r="N113" s="74"/>
      <c r="O113" s="82" t="s">
        <v>776</v>
      </c>
      <c r="P113" s="82" t="s">
        <v>197</v>
      </c>
      <c r="Q113" s="82" t="s">
        <v>884</v>
      </c>
      <c r="R113" s="82" t="s">
        <v>332</v>
      </c>
      <c r="S113" s="82" t="s">
        <v>1409</v>
      </c>
      <c r="T113" s="84" t="str">
        <f>HYPERLINK("http://www.youtube.com/channel/UC4esSLpWxO9TjiUbNzUH2DA")</f>
        <v>http://www.youtube.com/channel/UC4esSLpWxO9TjiUbNzUH2DA</v>
      </c>
      <c r="U113" s="82"/>
      <c r="V113" s="82" t="s">
        <v>1830</v>
      </c>
      <c r="W113" s="84" t="str">
        <f>HYPERLINK("https://www.youtube.com/watch?v=pRT5aJ3nbHM")</f>
        <v>https://www.youtube.com/watch?v=pRT5aJ3nbHM</v>
      </c>
      <c r="X113" s="82" t="s">
        <v>1857</v>
      </c>
      <c r="Y113" s="82">
        <v>0</v>
      </c>
      <c r="Z113" s="86">
        <v>44847.492638888885</v>
      </c>
      <c r="AA113" s="86">
        <v>44847.492638888885</v>
      </c>
      <c r="AB113" s="82"/>
      <c r="AC113" s="82"/>
      <c r="AD113" s="82"/>
      <c r="AE113" s="82">
        <v>1</v>
      </c>
      <c r="AF113" s="81">
        <v>4</v>
      </c>
      <c r="AG113" s="81">
        <v>4</v>
      </c>
      <c r="AH113" s="49">
        <v>0</v>
      </c>
      <c r="AI113" s="50">
        <v>0</v>
      </c>
      <c r="AJ113" s="49">
        <v>1</v>
      </c>
      <c r="AK113" s="50">
        <v>100</v>
      </c>
      <c r="AL113" s="49">
        <v>0</v>
      </c>
      <c r="AM113" s="50">
        <v>0</v>
      </c>
      <c r="AN113" s="49">
        <v>0</v>
      </c>
      <c r="AO113" s="50">
        <v>0</v>
      </c>
      <c r="AP113" s="49">
        <v>1</v>
      </c>
    </row>
    <row r="114" spans="1:42" ht="15">
      <c r="A114" s="66" t="s">
        <v>333</v>
      </c>
      <c r="B114" s="66" t="s">
        <v>355</v>
      </c>
      <c r="C114" s="67" t="s">
        <v>774</v>
      </c>
      <c r="D114" s="68">
        <v>3</v>
      </c>
      <c r="E114" s="69"/>
      <c r="F114" s="70">
        <v>40</v>
      </c>
      <c r="G114" s="67"/>
      <c r="H114" s="71"/>
      <c r="I114" s="72"/>
      <c r="J114" s="72"/>
      <c r="K114" s="35" t="s">
        <v>65</v>
      </c>
      <c r="L114" s="80">
        <v>114</v>
      </c>
      <c r="M114" s="80"/>
      <c r="N114" s="74"/>
      <c r="O114" s="82" t="s">
        <v>776</v>
      </c>
      <c r="P114" s="82" t="s">
        <v>197</v>
      </c>
      <c r="Q114" s="82" t="s">
        <v>885</v>
      </c>
      <c r="R114" s="82" t="s">
        <v>333</v>
      </c>
      <c r="S114" s="82" t="s">
        <v>1410</v>
      </c>
      <c r="T114" s="84" t="str">
        <f>HYPERLINK("http://www.youtube.com/channel/UCt5zQPu8nXjohE7lmfHc_JQ")</f>
        <v>http://www.youtube.com/channel/UCt5zQPu8nXjohE7lmfHc_JQ</v>
      </c>
      <c r="U114" s="82"/>
      <c r="V114" s="82" t="s">
        <v>1830</v>
      </c>
      <c r="W114" s="84" t="str">
        <f>HYPERLINK("https://www.youtube.com/watch?v=pRT5aJ3nbHM")</f>
        <v>https://www.youtube.com/watch?v=pRT5aJ3nbHM</v>
      </c>
      <c r="X114" s="82" t="s">
        <v>1857</v>
      </c>
      <c r="Y114" s="82">
        <v>0</v>
      </c>
      <c r="Z114" s="86">
        <v>44847.80844907407</v>
      </c>
      <c r="AA114" s="86">
        <v>44847.80875</v>
      </c>
      <c r="AB114" s="82"/>
      <c r="AC114" s="82"/>
      <c r="AD114" s="82"/>
      <c r="AE114" s="82">
        <v>1</v>
      </c>
      <c r="AF114" s="81">
        <v>4</v>
      </c>
      <c r="AG114" s="81">
        <v>4</v>
      </c>
      <c r="AH114" s="49">
        <v>0</v>
      </c>
      <c r="AI114" s="50">
        <v>0</v>
      </c>
      <c r="AJ114" s="49">
        <v>1</v>
      </c>
      <c r="AK114" s="110">
        <v>3.0303030303030303</v>
      </c>
      <c r="AL114" s="49">
        <v>0</v>
      </c>
      <c r="AM114" s="50">
        <v>0</v>
      </c>
      <c r="AN114" s="49">
        <v>13</v>
      </c>
      <c r="AO114" s="110">
        <v>39.39393939393939</v>
      </c>
      <c r="AP114" s="49">
        <v>33</v>
      </c>
    </row>
    <row r="115" spans="1:42" ht="15">
      <c r="A115" s="66" t="s">
        <v>334</v>
      </c>
      <c r="B115" s="66" t="s">
        <v>355</v>
      </c>
      <c r="C115" s="67" t="s">
        <v>774</v>
      </c>
      <c r="D115" s="68">
        <v>3</v>
      </c>
      <c r="E115" s="69"/>
      <c r="F115" s="70">
        <v>40</v>
      </c>
      <c r="G115" s="67"/>
      <c r="H115" s="71"/>
      <c r="I115" s="72"/>
      <c r="J115" s="72"/>
      <c r="K115" s="35" t="s">
        <v>65</v>
      </c>
      <c r="L115" s="80">
        <v>115</v>
      </c>
      <c r="M115" s="80"/>
      <c r="N115" s="74"/>
      <c r="O115" s="82" t="s">
        <v>776</v>
      </c>
      <c r="P115" s="82" t="s">
        <v>197</v>
      </c>
      <c r="Q115" s="82" t="s">
        <v>886</v>
      </c>
      <c r="R115" s="82" t="s">
        <v>334</v>
      </c>
      <c r="S115" s="82" t="s">
        <v>1411</v>
      </c>
      <c r="T115" s="84" t="str">
        <f>HYPERLINK("http://www.youtube.com/channel/UCmVL9ei5toadpH-wPtYkllg")</f>
        <v>http://www.youtube.com/channel/UCmVL9ei5toadpH-wPtYkllg</v>
      </c>
      <c r="U115" s="82"/>
      <c r="V115" s="82" t="s">
        <v>1830</v>
      </c>
      <c r="W115" s="84" t="str">
        <f>HYPERLINK("https://www.youtube.com/watch?v=pRT5aJ3nbHM")</f>
        <v>https://www.youtube.com/watch?v=pRT5aJ3nbHM</v>
      </c>
      <c r="X115" s="82" t="s">
        <v>1857</v>
      </c>
      <c r="Y115" s="82">
        <v>0</v>
      </c>
      <c r="Z115" s="86">
        <v>44847.9696412037</v>
      </c>
      <c r="AA115" s="86">
        <v>44847.9696412037</v>
      </c>
      <c r="AB115" s="82"/>
      <c r="AC115" s="82"/>
      <c r="AD115" s="82"/>
      <c r="AE115" s="82">
        <v>1</v>
      </c>
      <c r="AF115" s="81">
        <v>4</v>
      </c>
      <c r="AG115" s="81">
        <v>4</v>
      </c>
      <c r="AH115" s="49">
        <v>0</v>
      </c>
      <c r="AI115" s="50">
        <v>0</v>
      </c>
      <c r="AJ115" s="49">
        <v>0</v>
      </c>
      <c r="AK115" s="50">
        <v>0</v>
      </c>
      <c r="AL115" s="49">
        <v>0</v>
      </c>
      <c r="AM115" s="50">
        <v>0</v>
      </c>
      <c r="AN115" s="49">
        <v>2</v>
      </c>
      <c r="AO115" s="110">
        <v>28.571428571428573</v>
      </c>
      <c r="AP115" s="49">
        <v>7</v>
      </c>
    </row>
    <row r="116" spans="1:42" ht="15">
      <c r="A116" s="66" t="s">
        <v>335</v>
      </c>
      <c r="B116" s="66" t="s">
        <v>355</v>
      </c>
      <c r="C116" s="67" t="s">
        <v>774</v>
      </c>
      <c r="D116" s="68">
        <v>3</v>
      </c>
      <c r="E116" s="69"/>
      <c r="F116" s="70">
        <v>40</v>
      </c>
      <c r="G116" s="67"/>
      <c r="H116" s="71"/>
      <c r="I116" s="72"/>
      <c r="J116" s="72"/>
      <c r="K116" s="35" t="s">
        <v>65</v>
      </c>
      <c r="L116" s="80">
        <v>116</v>
      </c>
      <c r="M116" s="80"/>
      <c r="N116" s="74"/>
      <c r="O116" s="82" t="s">
        <v>776</v>
      </c>
      <c r="P116" s="82" t="s">
        <v>197</v>
      </c>
      <c r="Q116" s="82" t="s">
        <v>887</v>
      </c>
      <c r="R116" s="82" t="s">
        <v>335</v>
      </c>
      <c r="S116" s="82" t="s">
        <v>1412</v>
      </c>
      <c r="T116" s="84" t="str">
        <f>HYPERLINK("http://www.youtube.com/channel/UCtZODGfQZAGMps0UTzAZ26Q")</f>
        <v>http://www.youtube.com/channel/UCtZODGfQZAGMps0UTzAZ26Q</v>
      </c>
      <c r="U116" s="82"/>
      <c r="V116" s="82" t="s">
        <v>1830</v>
      </c>
      <c r="W116" s="84" t="str">
        <f>HYPERLINK("https://www.youtube.com/watch?v=pRT5aJ3nbHM")</f>
        <v>https://www.youtube.com/watch?v=pRT5aJ3nbHM</v>
      </c>
      <c r="X116" s="82" t="s">
        <v>1857</v>
      </c>
      <c r="Y116" s="82">
        <v>0</v>
      </c>
      <c r="Z116" s="86">
        <v>44848.57512731481</v>
      </c>
      <c r="AA116" s="86">
        <v>44848.57512731481</v>
      </c>
      <c r="AB116" s="82"/>
      <c r="AC116" s="82"/>
      <c r="AD116" s="82"/>
      <c r="AE116" s="82">
        <v>1</v>
      </c>
      <c r="AF116" s="81">
        <v>4</v>
      </c>
      <c r="AG116" s="81">
        <v>4</v>
      </c>
      <c r="AH116" s="49">
        <v>1</v>
      </c>
      <c r="AI116" s="110">
        <v>2.9411764705882355</v>
      </c>
      <c r="AJ116" s="49">
        <v>0</v>
      </c>
      <c r="AK116" s="50">
        <v>0</v>
      </c>
      <c r="AL116" s="49">
        <v>0</v>
      </c>
      <c r="AM116" s="50">
        <v>0</v>
      </c>
      <c r="AN116" s="49">
        <v>10</v>
      </c>
      <c r="AO116" s="110">
        <v>29.41176470588235</v>
      </c>
      <c r="AP116" s="49">
        <v>34</v>
      </c>
    </row>
    <row r="117" spans="1:42" ht="15">
      <c r="A117" s="66" t="s">
        <v>336</v>
      </c>
      <c r="B117" s="66" t="s">
        <v>355</v>
      </c>
      <c r="C117" s="67" t="s">
        <v>774</v>
      </c>
      <c r="D117" s="68">
        <v>3</v>
      </c>
      <c r="E117" s="69"/>
      <c r="F117" s="70">
        <v>40</v>
      </c>
      <c r="G117" s="67"/>
      <c r="H117" s="71"/>
      <c r="I117" s="72"/>
      <c r="J117" s="72"/>
      <c r="K117" s="35" t="s">
        <v>65</v>
      </c>
      <c r="L117" s="80">
        <v>117</v>
      </c>
      <c r="M117" s="80"/>
      <c r="N117" s="74"/>
      <c r="O117" s="82" t="s">
        <v>776</v>
      </c>
      <c r="P117" s="82" t="s">
        <v>197</v>
      </c>
      <c r="Q117" s="82" t="s">
        <v>888</v>
      </c>
      <c r="R117" s="82" t="s">
        <v>336</v>
      </c>
      <c r="S117" s="82" t="s">
        <v>1413</v>
      </c>
      <c r="T117" s="84" t="str">
        <f>HYPERLINK("http://www.youtube.com/channel/UChT8AEosnNpVqK9F8LEViEg")</f>
        <v>http://www.youtube.com/channel/UChT8AEosnNpVqK9F8LEViEg</v>
      </c>
      <c r="U117" s="82"/>
      <c r="V117" s="82" t="s">
        <v>1830</v>
      </c>
      <c r="W117" s="84" t="str">
        <f>HYPERLINK("https://www.youtube.com/watch?v=pRT5aJ3nbHM")</f>
        <v>https://www.youtube.com/watch?v=pRT5aJ3nbHM</v>
      </c>
      <c r="X117" s="82" t="s">
        <v>1857</v>
      </c>
      <c r="Y117" s="82">
        <v>5</v>
      </c>
      <c r="Z117" s="86">
        <v>44848.987291666665</v>
      </c>
      <c r="AA117" s="86">
        <v>44848.987291666665</v>
      </c>
      <c r="AB117" s="82"/>
      <c r="AC117" s="82"/>
      <c r="AD117" s="82"/>
      <c r="AE117" s="82">
        <v>1</v>
      </c>
      <c r="AF117" s="81">
        <v>4</v>
      </c>
      <c r="AG117" s="81">
        <v>4</v>
      </c>
      <c r="AH117" s="49">
        <v>0</v>
      </c>
      <c r="AI117" s="50">
        <v>0</v>
      </c>
      <c r="AJ117" s="49">
        <v>0</v>
      </c>
      <c r="AK117" s="50">
        <v>0</v>
      </c>
      <c r="AL117" s="49">
        <v>0</v>
      </c>
      <c r="AM117" s="50">
        <v>0</v>
      </c>
      <c r="AN117" s="49">
        <v>6</v>
      </c>
      <c r="AO117" s="110">
        <v>28.571428571428573</v>
      </c>
      <c r="AP117" s="49">
        <v>21</v>
      </c>
    </row>
    <row r="118" spans="1:42" ht="15">
      <c r="A118" s="66" t="s">
        <v>337</v>
      </c>
      <c r="B118" s="66" t="s">
        <v>355</v>
      </c>
      <c r="C118" s="67" t="s">
        <v>774</v>
      </c>
      <c r="D118" s="68">
        <v>3</v>
      </c>
      <c r="E118" s="69"/>
      <c r="F118" s="70">
        <v>40</v>
      </c>
      <c r="G118" s="67"/>
      <c r="H118" s="71"/>
      <c r="I118" s="72"/>
      <c r="J118" s="72"/>
      <c r="K118" s="35" t="s">
        <v>65</v>
      </c>
      <c r="L118" s="80">
        <v>118</v>
      </c>
      <c r="M118" s="80"/>
      <c r="N118" s="74"/>
      <c r="O118" s="82" t="s">
        <v>776</v>
      </c>
      <c r="P118" s="82" t="s">
        <v>197</v>
      </c>
      <c r="Q118" s="82" t="s">
        <v>889</v>
      </c>
      <c r="R118" s="82" t="s">
        <v>337</v>
      </c>
      <c r="S118" s="82" t="s">
        <v>1414</v>
      </c>
      <c r="T118" s="84" t="str">
        <f>HYPERLINK("http://www.youtube.com/channel/UC69m6Zrv3h2B-v2d9C4PUHQ")</f>
        <v>http://www.youtube.com/channel/UC69m6Zrv3h2B-v2d9C4PUHQ</v>
      </c>
      <c r="U118" s="82"/>
      <c r="V118" s="82" t="s">
        <v>1830</v>
      </c>
      <c r="W118" s="84" t="str">
        <f>HYPERLINK("https://www.youtube.com/watch?v=pRT5aJ3nbHM")</f>
        <v>https://www.youtube.com/watch?v=pRT5aJ3nbHM</v>
      </c>
      <c r="X118" s="82" t="s">
        <v>1857</v>
      </c>
      <c r="Y118" s="82">
        <v>0</v>
      </c>
      <c r="Z118" s="86">
        <v>44849.79876157407</v>
      </c>
      <c r="AA118" s="86">
        <v>44849.79876157407</v>
      </c>
      <c r="AB118" s="82"/>
      <c r="AC118" s="82"/>
      <c r="AD118" s="82"/>
      <c r="AE118" s="82">
        <v>1</v>
      </c>
      <c r="AF118" s="81">
        <v>4</v>
      </c>
      <c r="AG118" s="81">
        <v>4</v>
      </c>
      <c r="AH118" s="49">
        <v>0</v>
      </c>
      <c r="AI118" s="50">
        <v>0</v>
      </c>
      <c r="AJ118" s="49">
        <v>0</v>
      </c>
      <c r="AK118" s="50">
        <v>0</v>
      </c>
      <c r="AL118" s="49">
        <v>0</v>
      </c>
      <c r="AM118" s="50">
        <v>0</v>
      </c>
      <c r="AN118" s="49">
        <v>4</v>
      </c>
      <c r="AO118" s="110">
        <v>44.44444444444444</v>
      </c>
      <c r="AP118" s="49">
        <v>9</v>
      </c>
    </row>
    <row r="119" spans="1:42" ht="15">
      <c r="A119" s="66" t="s">
        <v>338</v>
      </c>
      <c r="B119" s="66" t="s">
        <v>355</v>
      </c>
      <c r="C119" s="67" t="s">
        <v>774</v>
      </c>
      <c r="D119" s="68">
        <v>3</v>
      </c>
      <c r="E119" s="69"/>
      <c r="F119" s="70">
        <v>40</v>
      </c>
      <c r="G119" s="67"/>
      <c r="H119" s="71"/>
      <c r="I119" s="72"/>
      <c r="J119" s="72"/>
      <c r="K119" s="35" t="s">
        <v>65</v>
      </c>
      <c r="L119" s="80">
        <v>119</v>
      </c>
      <c r="M119" s="80"/>
      <c r="N119" s="74"/>
      <c r="O119" s="82" t="s">
        <v>776</v>
      </c>
      <c r="P119" s="82" t="s">
        <v>197</v>
      </c>
      <c r="Q119" s="82" t="s">
        <v>890</v>
      </c>
      <c r="R119" s="82" t="s">
        <v>338</v>
      </c>
      <c r="S119" s="82" t="s">
        <v>1415</v>
      </c>
      <c r="T119" s="84" t="str">
        <f>HYPERLINK("http://www.youtube.com/channel/UCVrxqJMnaZ4DonYjn-TzZtA")</f>
        <v>http://www.youtube.com/channel/UCVrxqJMnaZ4DonYjn-TzZtA</v>
      </c>
      <c r="U119" s="82"/>
      <c r="V119" s="82" t="s">
        <v>1830</v>
      </c>
      <c r="W119" s="84" t="str">
        <f>HYPERLINK("https://www.youtube.com/watch?v=pRT5aJ3nbHM")</f>
        <v>https://www.youtube.com/watch?v=pRT5aJ3nbHM</v>
      </c>
      <c r="X119" s="82" t="s">
        <v>1857</v>
      </c>
      <c r="Y119" s="82">
        <v>2</v>
      </c>
      <c r="Z119" s="86">
        <v>44849.975856481484</v>
      </c>
      <c r="AA119" s="86">
        <v>44849.975856481484</v>
      </c>
      <c r="AB119" s="82"/>
      <c r="AC119" s="82"/>
      <c r="AD119" s="82"/>
      <c r="AE119" s="82">
        <v>1</v>
      </c>
      <c r="AF119" s="81">
        <v>4</v>
      </c>
      <c r="AG119" s="81">
        <v>4</v>
      </c>
      <c r="AH119" s="49">
        <v>1</v>
      </c>
      <c r="AI119" s="110">
        <v>3.3333333333333335</v>
      </c>
      <c r="AJ119" s="49">
        <v>1</v>
      </c>
      <c r="AK119" s="110">
        <v>3.3333333333333335</v>
      </c>
      <c r="AL119" s="49">
        <v>0</v>
      </c>
      <c r="AM119" s="50">
        <v>0</v>
      </c>
      <c r="AN119" s="49">
        <v>8</v>
      </c>
      <c r="AO119" s="110">
        <v>26.666666666666668</v>
      </c>
      <c r="AP119" s="49">
        <v>30</v>
      </c>
    </row>
    <row r="120" spans="1:42" ht="15">
      <c r="A120" s="66" t="s">
        <v>339</v>
      </c>
      <c r="B120" s="66" t="s">
        <v>355</v>
      </c>
      <c r="C120" s="67" t="s">
        <v>774</v>
      </c>
      <c r="D120" s="68">
        <v>3</v>
      </c>
      <c r="E120" s="69"/>
      <c r="F120" s="70">
        <v>40</v>
      </c>
      <c r="G120" s="67"/>
      <c r="H120" s="71"/>
      <c r="I120" s="72"/>
      <c r="J120" s="72"/>
      <c r="K120" s="35" t="s">
        <v>65</v>
      </c>
      <c r="L120" s="80">
        <v>120</v>
      </c>
      <c r="M120" s="80"/>
      <c r="N120" s="74"/>
      <c r="O120" s="82" t="s">
        <v>776</v>
      </c>
      <c r="P120" s="82" t="s">
        <v>197</v>
      </c>
      <c r="Q120" s="82" t="s">
        <v>891</v>
      </c>
      <c r="R120" s="82" t="s">
        <v>339</v>
      </c>
      <c r="S120" s="82" t="s">
        <v>1416</v>
      </c>
      <c r="T120" s="84" t="str">
        <f>HYPERLINK("http://www.youtube.com/channel/UCPVMvl2anCY-LedUJBXzqKQ")</f>
        <v>http://www.youtube.com/channel/UCPVMvl2anCY-LedUJBXzqKQ</v>
      </c>
      <c r="U120" s="82"/>
      <c r="V120" s="82" t="s">
        <v>1830</v>
      </c>
      <c r="W120" s="84" t="str">
        <f>HYPERLINK("https://www.youtube.com/watch?v=pRT5aJ3nbHM")</f>
        <v>https://www.youtube.com/watch?v=pRT5aJ3nbHM</v>
      </c>
      <c r="X120" s="82" t="s">
        <v>1857</v>
      </c>
      <c r="Y120" s="82">
        <v>2</v>
      </c>
      <c r="Z120" s="86">
        <v>44850.11493055556</v>
      </c>
      <c r="AA120" s="86">
        <v>44850.11493055556</v>
      </c>
      <c r="AB120" s="82"/>
      <c r="AC120" s="82"/>
      <c r="AD120" s="82"/>
      <c r="AE120" s="82">
        <v>1</v>
      </c>
      <c r="AF120" s="81">
        <v>4</v>
      </c>
      <c r="AG120" s="81">
        <v>4</v>
      </c>
      <c r="AH120" s="49">
        <v>0</v>
      </c>
      <c r="AI120" s="50">
        <v>0</v>
      </c>
      <c r="AJ120" s="49">
        <v>1</v>
      </c>
      <c r="AK120" s="110">
        <v>6.666666666666667</v>
      </c>
      <c r="AL120" s="49">
        <v>0</v>
      </c>
      <c r="AM120" s="50">
        <v>0</v>
      </c>
      <c r="AN120" s="49">
        <v>5</v>
      </c>
      <c r="AO120" s="110">
        <v>33.333333333333336</v>
      </c>
      <c r="AP120" s="49">
        <v>15</v>
      </c>
    </row>
    <row r="121" spans="1:42" ht="15">
      <c r="A121" s="66" t="s">
        <v>340</v>
      </c>
      <c r="B121" s="66" t="s">
        <v>355</v>
      </c>
      <c r="C121" s="67" t="s">
        <v>774</v>
      </c>
      <c r="D121" s="68">
        <v>3</v>
      </c>
      <c r="E121" s="69"/>
      <c r="F121" s="70">
        <v>40</v>
      </c>
      <c r="G121" s="67"/>
      <c r="H121" s="71"/>
      <c r="I121" s="72"/>
      <c r="J121" s="72"/>
      <c r="K121" s="35" t="s">
        <v>65</v>
      </c>
      <c r="L121" s="80">
        <v>121</v>
      </c>
      <c r="M121" s="80"/>
      <c r="N121" s="74"/>
      <c r="O121" s="82" t="s">
        <v>776</v>
      </c>
      <c r="P121" s="82" t="s">
        <v>197</v>
      </c>
      <c r="Q121" s="82" t="s">
        <v>892</v>
      </c>
      <c r="R121" s="82" t="s">
        <v>340</v>
      </c>
      <c r="S121" s="82" t="s">
        <v>1417</v>
      </c>
      <c r="T121" s="84" t="str">
        <f>HYPERLINK("http://www.youtube.com/channel/UCZ3KHdE7i632s9TVW19yu0Q")</f>
        <v>http://www.youtube.com/channel/UCZ3KHdE7i632s9TVW19yu0Q</v>
      </c>
      <c r="U121" s="82"/>
      <c r="V121" s="82" t="s">
        <v>1830</v>
      </c>
      <c r="W121" s="84" t="str">
        <f>HYPERLINK("https://www.youtube.com/watch?v=pRT5aJ3nbHM")</f>
        <v>https://www.youtube.com/watch?v=pRT5aJ3nbHM</v>
      </c>
      <c r="X121" s="82" t="s">
        <v>1857</v>
      </c>
      <c r="Y121" s="82">
        <v>0</v>
      </c>
      <c r="Z121" s="86">
        <v>44850.70347222222</v>
      </c>
      <c r="AA121" s="86">
        <v>44850.70347222222</v>
      </c>
      <c r="AB121" s="82"/>
      <c r="AC121" s="82"/>
      <c r="AD121" s="82"/>
      <c r="AE121" s="82">
        <v>1</v>
      </c>
      <c r="AF121" s="81">
        <v>4</v>
      </c>
      <c r="AG121" s="81">
        <v>4</v>
      </c>
      <c r="AH121" s="49">
        <v>0</v>
      </c>
      <c r="AI121" s="50">
        <v>0</v>
      </c>
      <c r="AJ121" s="49">
        <v>0</v>
      </c>
      <c r="AK121" s="50">
        <v>0</v>
      </c>
      <c r="AL121" s="49">
        <v>0</v>
      </c>
      <c r="AM121" s="50">
        <v>0</v>
      </c>
      <c r="AN121" s="49">
        <v>2</v>
      </c>
      <c r="AO121" s="110">
        <v>33.333333333333336</v>
      </c>
      <c r="AP121" s="49">
        <v>6</v>
      </c>
    </row>
    <row r="122" spans="1:42" ht="15">
      <c r="A122" s="66" t="s">
        <v>341</v>
      </c>
      <c r="B122" s="66" t="s">
        <v>355</v>
      </c>
      <c r="C122" s="67" t="s">
        <v>774</v>
      </c>
      <c r="D122" s="68">
        <v>3</v>
      </c>
      <c r="E122" s="69"/>
      <c r="F122" s="70">
        <v>40</v>
      </c>
      <c r="G122" s="67"/>
      <c r="H122" s="71"/>
      <c r="I122" s="72"/>
      <c r="J122" s="72"/>
      <c r="K122" s="35" t="s">
        <v>65</v>
      </c>
      <c r="L122" s="80">
        <v>122</v>
      </c>
      <c r="M122" s="80"/>
      <c r="N122" s="74"/>
      <c r="O122" s="82" t="s">
        <v>776</v>
      </c>
      <c r="P122" s="82" t="s">
        <v>197</v>
      </c>
      <c r="Q122" s="82" t="s">
        <v>893</v>
      </c>
      <c r="R122" s="82" t="s">
        <v>341</v>
      </c>
      <c r="S122" s="82" t="s">
        <v>1418</v>
      </c>
      <c r="T122" s="84" t="str">
        <f>HYPERLINK("http://www.youtube.com/channel/UCNlS14JjzEr-TJrW6OGwsMw")</f>
        <v>http://www.youtube.com/channel/UCNlS14JjzEr-TJrW6OGwsMw</v>
      </c>
      <c r="U122" s="82"/>
      <c r="V122" s="82" t="s">
        <v>1830</v>
      </c>
      <c r="W122" s="84" t="str">
        <f>HYPERLINK("https://www.youtube.com/watch?v=pRT5aJ3nbHM")</f>
        <v>https://www.youtube.com/watch?v=pRT5aJ3nbHM</v>
      </c>
      <c r="X122" s="82" t="s">
        <v>1857</v>
      </c>
      <c r="Y122" s="82">
        <v>1</v>
      </c>
      <c r="Z122" s="86">
        <v>44851.727268518516</v>
      </c>
      <c r="AA122" s="86">
        <v>44851.727268518516</v>
      </c>
      <c r="AB122" s="82"/>
      <c r="AC122" s="82"/>
      <c r="AD122" s="82"/>
      <c r="AE122" s="82">
        <v>1</v>
      </c>
      <c r="AF122" s="81">
        <v>4</v>
      </c>
      <c r="AG122" s="81">
        <v>4</v>
      </c>
      <c r="AH122" s="49">
        <v>0</v>
      </c>
      <c r="AI122" s="50">
        <v>0</v>
      </c>
      <c r="AJ122" s="49">
        <v>1</v>
      </c>
      <c r="AK122" s="110">
        <v>9.090909090909092</v>
      </c>
      <c r="AL122" s="49">
        <v>0</v>
      </c>
      <c r="AM122" s="50">
        <v>0</v>
      </c>
      <c r="AN122" s="49">
        <v>2</v>
      </c>
      <c r="AO122" s="110">
        <v>18.181818181818183</v>
      </c>
      <c r="AP122" s="49">
        <v>11</v>
      </c>
    </row>
    <row r="123" spans="1:42" ht="15">
      <c r="A123" s="66" t="s">
        <v>342</v>
      </c>
      <c r="B123" s="66" t="s">
        <v>355</v>
      </c>
      <c r="C123" s="67" t="s">
        <v>774</v>
      </c>
      <c r="D123" s="68">
        <v>3</v>
      </c>
      <c r="E123" s="69"/>
      <c r="F123" s="70">
        <v>40</v>
      </c>
      <c r="G123" s="67"/>
      <c r="H123" s="71"/>
      <c r="I123" s="72"/>
      <c r="J123" s="72"/>
      <c r="K123" s="35" t="s">
        <v>65</v>
      </c>
      <c r="L123" s="80">
        <v>123</v>
      </c>
      <c r="M123" s="80"/>
      <c r="N123" s="74"/>
      <c r="O123" s="82" t="s">
        <v>776</v>
      </c>
      <c r="P123" s="82" t="s">
        <v>197</v>
      </c>
      <c r="Q123" s="82" t="s">
        <v>894</v>
      </c>
      <c r="R123" s="82" t="s">
        <v>342</v>
      </c>
      <c r="S123" s="82" t="s">
        <v>1419</v>
      </c>
      <c r="T123" s="84" t="str">
        <f>HYPERLINK("http://www.youtube.com/channel/UC2LW9R5gb-5gidvUTkIIDjQ")</f>
        <v>http://www.youtube.com/channel/UC2LW9R5gb-5gidvUTkIIDjQ</v>
      </c>
      <c r="U123" s="82"/>
      <c r="V123" s="82" t="s">
        <v>1830</v>
      </c>
      <c r="W123" s="84" t="str">
        <f>HYPERLINK("https://www.youtube.com/watch?v=pRT5aJ3nbHM")</f>
        <v>https://www.youtube.com/watch?v=pRT5aJ3nbHM</v>
      </c>
      <c r="X123" s="82" t="s">
        <v>1857</v>
      </c>
      <c r="Y123" s="82">
        <v>0</v>
      </c>
      <c r="Z123" s="86">
        <v>44851.9428587963</v>
      </c>
      <c r="AA123" s="86">
        <v>44851.9428587963</v>
      </c>
      <c r="AB123" s="82"/>
      <c r="AC123" s="82"/>
      <c r="AD123" s="82"/>
      <c r="AE123" s="82">
        <v>1</v>
      </c>
      <c r="AF123" s="81">
        <v>4</v>
      </c>
      <c r="AG123" s="81">
        <v>4</v>
      </c>
      <c r="AH123" s="49">
        <v>0</v>
      </c>
      <c r="AI123" s="50">
        <v>0</v>
      </c>
      <c r="AJ123" s="49">
        <v>0</v>
      </c>
      <c r="AK123" s="50">
        <v>0</v>
      </c>
      <c r="AL123" s="49">
        <v>0</v>
      </c>
      <c r="AM123" s="50">
        <v>0</v>
      </c>
      <c r="AN123" s="49">
        <v>4</v>
      </c>
      <c r="AO123" s="110">
        <v>57.142857142857146</v>
      </c>
      <c r="AP123" s="49">
        <v>7</v>
      </c>
    </row>
    <row r="124" spans="1:42" ht="15">
      <c r="A124" s="66" t="s">
        <v>343</v>
      </c>
      <c r="B124" s="66" t="s">
        <v>355</v>
      </c>
      <c r="C124" s="67" t="s">
        <v>774</v>
      </c>
      <c r="D124" s="68">
        <v>3</v>
      </c>
      <c r="E124" s="69"/>
      <c r="F124" s="70">
        <v>40</v>
      </c>
      <c r="G124" s="67"/>
      <c r="H124" s="71"/>
      <c r="I124" s="72"/>
      <c r="J124" s="72"/>
      <c r="K124" s="35" t="s">
        <v>65</v>
      </c>
      <c r="L124" s="80">
        <v>124</v>
      </c>
      <c r="M124" s="80"/>
      <c r="N124" s="74"/>
      <c r="O124" s="82" t="s">
        <v>776</v>
      </c>
      <c r="P124" s="82" t="s">
        <v>197</v>
      </c>
      <c r="Q124" s="82" t="s">
        <v>895</v>
      </c>
      <c r="R124" s="82" t="s">
        <v>343</v>
      </c>
      <c r="S124" s="82" t="s">
        <v>1420</v>
      </c>
      <c r="T124" s="84" t="str">
        <f>HYPERLINK("http://www.youtube.com/channel/UCv0eWd61ebucIyWAfoJMtpQ")</f>
        <v>http://www.youtube.com/channel/UCv0eWd61ebucIyWAfoJMtpQ</v>
      </c>
      <c r="U124" s="82"/>
      <c r="V124" s="82" t="s">
        <v>1830</v>
      </c>
      <c r="W124" s="84" t="str">
        <f>HYPERLINK("https://www.youtube.com/watch?v=pRT5aJ3nbHM")</f>
        <v>https://www.youtube.com/watch?v=pRT5aJ3nbHM</v>
      </c>
      <c r="X124" s="82" t="s">
        <v>1857</v>
      </c>
      <c r="Y124" s="82">
        <v>0</v>
      </c>
      <c r="Z124" s="86">
        <v>44852.285995370374</v>
      </c>
      <c r="AA124" s="86">
        <v>44852.285995370374</v>
      </c>
      <c r="AB124" s="82"/>
      <c r="AC124" s="82"/>
      <c r="AD124" s="82"/>
      <c r="AE124" s="82">
        <v>1</v>
      </c>
      <c r="AF124" s="81">
        <v>4</v>
      </c>
      <c r="AG124" s="81">
        <v>4</v>
      </c>
      <c r="AH124" s="49">
        <v>0</v>
      </c>
      <c r="AI124" s="50">
        <v>0</v>
      </c>
      <c r="AJ124" s="49">
        <v>0</v>
      </c>
      <c r="AK124" s="50">
        <v>0</v>
      </c>
      <c r="AL124" s="49">
        <v>0</v>
      </c>
      <c r="AM124" s="50">
        <v>0</v>
      </c>
      <c r="AN124" s="49">
        <v>3</v>
      </c>
      <c r="AO124" s="50">
        <v>60</v>
      </c>
      <c r="AP124" s="49">
        <v>5</v>
      </c>
    </row>
    <row r="125" spans="1:42" ht="15">
      <c r="A125" s="66" t="s">
        <v>344</v>
      </c>
      <c r="B125" s="66" t="s">
        <v>355</v>
      </c>
      <c r="C125" s="67" t="s">
        <v>774</v>
      </c>
      <c r="D125" s="68">
        <v>3</v>
      </c>
      <c r="E125" s="69"/>
      <c r="F125" s="70">
        <v>40</v>
      </c>
      <c r="G125" s="67"/>
      <c r="H125" s="71"/>
      <c r="I125" s="72"/>
      <c r="J125" s="72"/>
      <c r="K125" s="35" t="s">
        <v>65</v>
      </c>
      <c r="L125" s="80">
        <v>125</v>
      </c>
      <c r="M125" s="80"/>
      <c r="N125" s="74"/>
      <c r="O125" s="82" t="s">
        <v>776</v>
      </c>
      <c r="P125" s="82" t="s">
        <v>197</v>
      </c>
      <c r="Q125" s="82" t="s">
        <v>896</v>
      </c>
      <c r="R125" s="82" t="s">
        <v>344</v>
      </c>
      <c r="S125" s="82" t="s">
        <v>1421</v>
      </c>
      <c r="T125" s="84" t="str">
        <f>HYPERLINK("http://www.youtube.com/channel/UCSxRMp0eMJXXZQkROuHKjpw")</f>
        <v>http://www.youtube.com/channel/UCSxRMp0eMJXXZQkROuHKjpw</v>
      </c>
      <c r="U125" s="82"/>
      <c r="V125" s="82" t="s">
        <v>1830</v>
      </c>
      <c r="W125" s="84" t="str">
        <f>HYPERLINK("https://www.youtube.com/watch?v=pRT5aJ3nbHM")</f>
        <v>https://www.youtube.com/watch?v=pRT5aJ3nbHM</v>
      </c>
      <c r="X125" s="82" t="s">
        <v>1857</v>
      </c>
      <c r="Y125" s="82">
        <v>0</v>
      </c>
      <c r="Z125" s="86">
        <v>44852.72185185185</v>
      </c>
      <c r="AA125" s="86">
        <v>44852.72185185185</v>
      </c>
      <c r="AB125" s="82"/>
      <c r="AC125" s="82"/>
      <c r="AD125" s="82"/>
      <c r="AE125" s="82">
        <v>1</v>
      </c>
      <c r="AF125" s="81">
        <v>4</v>
      </c>
      <c r="AG125" s="81">
        <v>4</v>
      </c>
      <c r="AH125" s="49">
        <v>0</v>
      </c>
      <c r="AI125" s="50">
        <v>0</v>
      </c>
      <c r="AJ125" s="49">
        <v>1</v>
      </c>
      <c r="AK125" s="110">
        <v>14.285714285714286</v>
      </c>
      <c r="AL125" s="49">
        <v>0</v>
      </c>
      <c r="AM125" s="50">
        <v>0</v>
      </c>
      <c r="AN125" s="49">
        <v>3</v>
      </c>
      <c r="AO125" s="110">
        <v>42.857142857142854</v>
      </c>
      <c r="AP125" s="49">
        <v>7</v>
      </c>
    </row>
    <row r="126" spans="1:42" ht="15">
      <c r="A126" s="66" t="s">
        <v>345</v>
      </c>
      <c r="B126" s="66" t="s">
        <v>355</v>
      </c>
      <c r="C126" s="67" t="s">
        <v>774</v>
      </c>
      <c r="D126" s="68">
        <v>3</v>
      </c>
      <c r="E126" s="69"/>
      <c r="F126" s="70">
        <v>40</v>
      </c>
      <c r="G126" s="67"/>
      <c r="H126" s="71"/>
      <c r="I126" s="72"/>
      <c r="J126" s="72"/>
      <c r="K126" s="35" t="s">
        <v>65</v>
      </c>
      <c r="L126" s="80">
        <v>126</v>
      </c>
      <c r="M126" s="80"/>
      <c r="N126" s="74"/>
      <c r="O126" s="82" t="s">
        <v>776</v>
      </c>
      <c r="P126" s="82" t="s">
        <v>197</v>
      </c>
      <c r="Q126" s="82" t="s">
        <v>897</v>
      </c>
      <c r="R126" s="82" t="s">
        <v>345</v>
      </c>
      <c r="S126" s="82" t="s">
        <v>1422</v>
      </c>
      <c r="T126" s="84" t="str">
        <f>HYPERLINK("http://www.youtube.com/channel/UC2Scn57r4CIqOhGvYWMQ8YA")</f>
        <v>http://www.youtube.com/channel/UC2Scn57r4CIqOhGvYWMQ8YA</v>
      </c>
      <c r="U126" s="82"/>
      <c r="V126" s="82" t="s">
        <v>1830</v>
      </c>
      <c r="W126" s="84" t="str">
        <f>HYPERLINK("https://www.youtube.com/watch?v=pRT5aJ3nbHM")</f>
        <v>https://www.youtube.com/watch?v=pRT5aJ3nbHM</v>
      </c>
      <c r="X126" s="82" t="s">
        <v>1857</v>
      </c>
      <c r="Y126" s="82">
        <v>0</v>
      </c>
      <c r="Z126" s="86">
        <v>44853.43775462963</v>
      </c>
      <c r="AA126" s="86">
        <v>44853.43775462963</v>
      </c>
      <c r="AB126" s="82"/>
      <c r="AC126" s="82"/>
      <c r="AD126" s="82"/>
      <c r="AE126" s="82">
        <v>1</v>
      </c>
      <c r="AF126" s="81">
        <v>4</v>
      </c>
      <c r="AG126" s="81">
        <v>4</v>
      </c>
      <c r="AH126" s="49">
        <v>0</v>
      </c>
      <c r="AI126" s="50">
        <v>0</v>
      </c>
      <c r="AJ126" s="49">
        <v>0</v>
      </c>
      <c r="AK126" s="50">
        <v>0</v>
      </c>
      <c r="AL126" s="49">
        <v>0</v>
      </c>
      <c r="AM126" s="50">
        <v>0</v>
      </c>
      <c r="AN126" s="49">
        <v>2</v>
      </c>
      <c r="AO126" s="50">
        <v>40</v>
      </c>
      <c r="AP126" s="49">
        <v>5</v>
      </c>
    </row>
    <row r="127" spans="1:42" ht="15">
      <c r="A127" s="66" t="s">
        <v>346</v>
      </c>
      <c r="B127" s="66" t="s">
        <v>355</v>
      </c>
      <c r="C127" s="67" t="s">
        <v>774</v>
      </c>
      <c r="D127" s="68">
        <v>3</v>
      </c>
      <c r="E127" s="69"/>
      <c r="F127" s="70">
        <v>40</v>
      </c>
      <c r="G127" s="67"/>
      <c r="H127" s="71"/>
      <c r="I127" s="72"/>
      <c r="J127" s="72"/>
      <c r="K127" s="35" t="s">
        <v>65</v>
      </c>
      <c r="L127" s="80">
        <v>127</v>
      </c>
      <c r="M127" s="80"/>
      <c r="N127" s="74"/>
      <c r="O127" s="82" t="s">
        <v>776</v>
      </c>
      <c r="P127" s="82" t="s">
        <v>197</v>
      </c>
      <c r="Q127" s="82" t="s">
        <v>898</v>
      </c>
      <c r="R127" s="82" t="s">
        <v>346</v>
      </c>
      <c r="S127" s="82" t="s">
        <v>1423</v>
      </c>
      <c r="T127" s="84" t="str">
        <f>HYPERLINK("http://www.youtube.com/channel/UCLne-2Dwcu1Siyrw0ctni1g")</f>
        <v>http://www.youtube.com/channel/UCLne-2Dwcu1Siyrw0ctni1g</v>
      </c>
      <c r="U127" s="82"/>
      <c r="V127" s="82" t="s">
        <v>1830</v>
      </c>
      <c r="W127" s="84" t="str">
        <f>HYPERLINK("https://www.youtube.com/watch?v=pRT5aJ3nbHM")</f>
        <v>https://www.youtube.com/watch?v=pRT5aJ3nbHM</v>
      </c>
      <c r="X127" s="82" t="s">
        <v>1857</v>
      </c>
      <c r="Y127" s="82">
        <v>0</v>
      </c>
      <c r="Z127" s="86">
        <v>44854.891388888886</v>
      </c>
      <c r="AA127" s="86">
        <v>44854.891388888886</v>
      </c>
      <c r="AB127" s="82"/>
      <c r="AC127" s="82"/>
      <c r="AD127" s="82"/>
      <c r="AE127" s="82">
        <v>1</v>
      </c>
      <c r="AF127" s="81">
        <v>4</v>
      </c>
      <c r="AG127" s="81">
        <v>4</v>
      </c>
      <c r="AH127" s="49">
        <v>0</v>
      </c>
      <c r="AI127" s="50">
        <v>0</v>
      </c>
      <c r="AJ127" s="49">
        <v>0</v>
      </c>
      <c r="AK127" s="50">
        <v>0</v>
      </c>
      <c r="AL127" s="49">
        <v>0</v>
      </c>
      <c r="AM127" s="50">
        <v>0</v>
      </c>
      <c r="AN127" s="49">
        <v>4</v>
      </c>
      <c r="AO127" s="110">
        <v>57.142857142857146</v>
      </c>
      <c r="AP127" s="49">
        <v>7</v>
      </c>
    </row>
    <row r="128" spans="1:42" ht="15">
      <c r="A128" s="66" t="s">
        <v>347</v>
      </c>
      <c r="B128" s="66" t="s">
        <v>355</v>
      </c>
      <c r="C128" s="67" t="s">
        <v>774</v>
      </c>
      <c r="D128" s="68">
        <v>3</v>
      </c>
      <c r="E128" s="69"/>
      <c r="F128" s="70">
        <v>40</v>
      </c>
      <c r="G128" s="67"/>
      <c r="H128" s="71"/>
      <c r="I128" s="72"/>
      <c r="J128" s="72"/>
      <c r="K128" s="35" t="s">
        <v>65</v>
      </c>
      <c r="L128" s="80">
        <v>128</v>
      </c>
      <c r="M128" s="80"/>
      <c r="N128" s="74"/>
      <c r="O128" s="82" t="s">
        <v>776</v>
      </c>
      <c r="P128" s="82" t="s">
        <v>197</v>
      </c>
      <c r="Q128" s="82" t="s">
        <v>899</v>
      </c>
      <c r="R128" s="82" t="s">
        <v>347</v>
      </c>
      <c r="S128" s="82" t="s">
        <v>1424</v>
      </c>
      <c r="T128" s="84" t="str">
        <f>HYPERLINK("http://www.youtube.com/channel/UCnxa_lKgkn-5bd1GdQnVcbw")</f>
        <v>http://www.youtube.com/channel/UCnxa_lKgkn-5bd1GdQnVcbw</v>
      </c>
      <c r="U128" s="82"/>
      <c r="V128" s="82" t="s">
        <v>1830</v>
      </c>
      <c r="W128" s="84" t="str">
        <f>HYPERLINK("https://www.youtube.com/watch?v=pRT5aJ3nbHM")</f>
        <v>https://www.youtube.com/watch?v=pRT5aJ3nbHM</v>
      </c>
      <c r="X128" s="82" t="s">
        <v>1857</v>
      </c>
      <c r="Y128" s="82">
        <v>0</v>
      </c>
      <c r="Z128" s="86">
        <v>44854.92458333333</v>
      </c>
      <c r="AA128" s="86">
        <v>44854.92458333333</v>
      </c>
      <c r="AB128" s="82"/>
      <c r="AC128" s="82"/>
      <c r="AD128" s="82"/>
      <c r="AE128" s="82">
        <v>1</v>
      </c>
      <c r="AF128" s="81">
        <v>4</v>
      </c>
      <c r="AG128" s="81">
        <v>4</v>
      </c>
      <c r="AH128" s="49">
        <v>1</v>
      </c>
      <c r="AI128" s="110">
        <v>5.882352941176471</v>
      </c>
      <c r="AJ128" s="49">
        <v>0</v>
      </c>
      <c r="AK128" s="50">
        <v>0</v>
      </c>
      <c r="AL128" s="49">
        <v>0</v>
      </c>
      <c r="AM128" s="50">
        <v>0</v>
      </c>
      <c r="AN128" s="49">
        <v>8</v>
      </c>
      <c r="AO128" s="110">
        <v>47.05882352941177</v>
      </c>
      <c r="AP128" s="49">
        <v>17</v>
      </c>
    </row>
    <row r="129" spans="1:42" ht="15">
      <c r="A129" s="66" t="s">
        <v>348</v>
      </c>
      <c r="B129" s="66" t="s">
        <v>355</v>
      </c>
      <c r="C129" s="67" t="s">
        <v>774</v>
      </c>
      <c r="D129" s="68">
        <v>3</v>
      </c>
      <c r="E129" s="69"/>
      <c r="F129" s="70">
        <v>40</v>
      </c>
      <c r="G129" s="67"/>
      <c r="H129" s="71"/>
      <c r="I129" s="72"/>
      <c r="J129" s="72"/>
      <c r="K129" s="35" t="s">
        <v>65</v>
      </c>
      <c r="L129" s="80">
        <v>129</v>
      </c>
      <c r="M129" s="80"/>
      <c r="N129" s="74"/>
      <c r="O129" s="82" t="s">
        <v>776</v>
      </c>
      <c r="P129" s="82" t="s">
        <v>197</v>
      </c>
      <c r="Q129" s="82" t="s">
        <v>900</v>
      </c>
      <c r="R129" s="82" t="s">
        <v>348</v>
      </c>
      <c r="S129" s="82" t="s">
        <v>1425</v>
      </c>
      <c r="T129" s="84" t="str">
        <f>HYPERLINK("http://www.youtube.com/channel/UCaADxgyKUnUXwuFN2LVwz-Q")</f>
        <v>http://www.youtube.com/channel/UCaADxgyKUnUXwuFN2LVwz-Q</v>
      </c>
      <c r="U129" s="82"/>
      <c r="V129" s="82" t="s">
        <v>1830</v>
      </c>
      <c r="W129" s="84" t="str">
        <f>HYPERLINK("https://www.youtube.com/watch?v=pRT5aJ3nbHM")</f>
        <v>https://www.youtube.com/watch?v=pRT5aJ3nbHM</v>
      </c>
      <c r="X129" s="82" t="s">
        <v>1857</v>
      </c>
      <c r="Y129" s="82">
        <v>2</v>
      </c>
      <c r="Z129" s="86">
        <v>44854.95712962963</v>
      </c>
      <c r="AA129" s="86">
        <v>44854.95712962963</v>
      </c>
      <c r="AB129" s="82"/>
      <c r="AC129" s="82"/>
      <c r="AD129" s="82"/>
      <c r="AE129" s="82">
        <v>1</v>
      </c>
      <c r="AF129" s="81">
        <v>4</v>
      </c>
      <c r="AG129" s="81">
        <v>4</v>
      </c>
      <c r="AH129" s="49">
        <v>4</v>
      </c>
      <c r="AI129" s="110">
        <v>10.256410256410257</v>
      </c>
      <c r="AJ129" s="49">
        <v>0</v>
      </c>
      <c r="AK129" s="50">
        <v>0</v>
      </c>
      <c r="AL129" s="49">
        <v>0</v>
      </c>
      <c r="AM129" s="50">
        <v>0</v>
      </c>
      <c r="AN129" s="49">
        <v>14</v>
      </c>
      <c r="AO129" s="110">
        <v>35.8974358974359</v>
      </c>
      <c r="AP129" s="49">
        <v>39</v>
      </c>
    </row>
    <row r="130" spans="1:42" ht="15">
      <c r="A130" s="66" t="s">
        <v>349</v>
      </c>
      <c r="B130" s="66" t="s">
        <v>355</v>
      </c>
      <c r="C130" s="67" t="s">
        <v>774</v>
      </c>
      <c r="D130" s="68">
        <v>3</v>
      </c>
      <c r="E130" s="69"/>
      <c r="F130" s="70">
        <v>40</v>
      </c>
      <c r="G130" s="67"/>
      <c r="H130" s="71"/>
      <c r="I130" s="72"/>
      <c r="J130" s="72"/>
      <c r="K130" s="35" t="s">
        <v>65</v>
      </c>
      <c r="L130" s="80">
        <v>130</v>
      </c>
      <c r="M130" s="80"/>
      <c r="N130" s="74"/>
      <c r="O130" s="82" t="s">
        <v>776</v>
      </c>
      <c r="P130" s="82" t="s">
        <v>197</v>
      </c>
      <c r="Q130" s="82" t="s">
        <v>901</v>
      </c>
      <c r="R130" s="82" t="s">
        <v>349</v>
      </c>
      <c r="S130" s="82" t="s">
        <v>1426</v>
      </c>
      <c r="T130" s="84" t="str">
        <f>HYPERLINK("http://www.youtube.com/channel/UC6cp7zrrdqllBO4l0AivscA")</f>
        <v>http://www.youtube.com/channel/UC6cp7zrrdqllBO4l0AivscA</v>
      </c>
      <c r="U130" s="82"/>
      <c r="V130" s="82" t="s">
        <v>1830</v>
      </c>
      <c r="W130" s="84" t="str">
        <f>HYPERLINK("https://www.youtube.com/watch?v=pRT5aJ3nbHM")</f>
        <v>https://www.youtube.com/watch?v=pRT5aJ3nbHM</v>
      </c>
      <c r="X130" s="82" t="s">
        <v>1857</v>
      </c>
      <c r="Y130" s="82">
        <v>0</v>
      </c>
      <c r="Z130" s="86">
        <v>44855.33515046296</v>
      </c>
      <c r="AA130" s="86">
        <v>44855.33515046296</v>
      </c>
      <c r="AB130" s="82"/>
      <c r="AC130" s="82"/>
      <c r="AD130" s="82"/>
      <c r="AE130" s="82">
        <v>1</v>
      </c>
      <c r="AF130" s="81">
        <v>4</v>
      </c>
      <c r="AG130" s="81">
        <v>4</v>
      </c>
      <c r="AH130" s="49">
        <v>0</v>
      </c>
      <c r="AI130" s="50">
        <v>0</v>
      </c>
      <c r="AJ130" s="49">
        <v>1</v>
      </c>
      <c r="AK130" s="110">
        <v>14.285714285714286</v>
      </c>
      <c r="AL130" s="49">
        <v>0</v>
      </c>
      <c r="AM130" s="50">
        <v>0</v>
      </c>
      <c r="AN130" s="49">
        <v>1</v>
      </c>
      <c r="AO130" s="110">
        <v>14.285714285714286</v>
      </c>
      <c r="AP130" s="49">
        <v>7</v>
      </c>
    </row>
    <row r="131" spans="1:42" ht="15">
      <c r="A131" s="66" t="s">
        <v>350</v>
      </c>
      <c r="B131" s="66" t="s">
        <v>355</v>
      </c>
      <c r="C131" s="67" t="s">
        <v>774</v>
      </c>
      <c r="D131" s="68">
        <v>3</v>
      </c>
      <c r="E131" s="69"/>
      <c r="F131" s="70">
        <v>40</v>
      </c>
      <c r="G131" s="67"/>
      <c r="H131" s="71"/>
      <c r="I131" s="72"/>
      <c r="J131" s="72"/>
      <c r="K131" s="35" t="s">
        <v>65</v>
      </c>
      <c r="L131" s="80">
        <v>131</v>
      </c>
      <c r="M131" s="80"/>
      <c r="N131" s="74"/>
      <c r="O131" s="82" t="s">
        <v>776</v>
      </c>
      <c r="P131" s="82" t="s">
        <v>197</v>
      </c>
      <c r="Q131" s="82" t="s">
        <v>902</v>
      </c>
      <c r="R131" s="82" t="s">
        <v>350</v>
      </c>
      <c r="S131" s="82" t="s">
        <v>1427</v>
      </c>
      <c r="T131" s="84" t="str">
        <f>HYPERLINK("http://www.youtube.com/channel/UCVeDDa6DKTBrhfRip6SI3VA")</f>
        <v>http://www.youtube.com/channel/UCVeDDa6DKTBrhfRip6SI3VA</v>
      </c>
      <c r="U131" s="82"/>
      <c r="V131" s="82" t="s">
        <v>1830</v>
      </c>
      <c r="W131" s="84" t="str">
        <f>HYPERLINK("https://www.youtube.com/watch?v=pRT5aJ3nbHM")</f>
        <v>https://www.youtube.com/watch?v=pRT5aJ3nbHM</v>
      </c>
      <c r="X131" s="82" t="s">
        <v>1857</v>
      </c>
      <c r="Y131" s="82">
        <v>1</v>
      </c>
      <c r="Z131" s="86">
        <v>44856.456921296296</v>
      </c>
      <c r="AA131" s="86">
        <v>44856.456921296296</v>
      </c>
      <c r="AB131" s="82"/>
      <c r="AC131" s="82"/>
      <c r="AD131" s="82"/>
      <c r="AE131" s="82">
        <v>1</v>
      </c>
      <c r="AF131" s="81">
        <v>4</v>
      </c>
      <c r="AG131" s="81">
        <v>4</v>
      </c>
      <c r="AH131" s="49">
        <v>2</v>
      </c>
      <c r="AI131" s="110">
        <v>6.896551724137931</v>
      </c>
      <c r="AJ131" s="49">
        <v>1</v>
      </c>
      <c r="AK131" s="110">
        <v>3.4482758620689653</v>
      </c>
      <c r="AL131" s="49">
        <v>0</v>
      </c>
      <c r="AM131" s="50">
        <v>0</v>
      </c>
      <c r="AN131" s="49">
        <v>9</v>
      </c>
      <c r="AO131" s="110">
        <v>31.03448275862069</v>
      </c>
      <c r="AP131" s="49">
        <v>29</v>
      </c>
    </row>
    <row r="132" spans="1:42" ht="15">
      <c r="A132" s="66" t="s">
        <v>351</v>
      </c>
      <c r="B132" s="66" t="s">
        <v>355</v>
      </c>
      <c r="C132" s="67" t="s">
        <v>774</v>
      </c>
      <c r="D132" s="68">
        <v>3</v>
      </c>
      <c r="E132" s="69"/>
      <c r="F132" s="70">
        <v>40</v>
      </c>
      <c r="G132" s="67"/>
      <c r="H132" s="71"/>
      <c r="I132" s="72"/>
      <c r="J132" s="72"/>
      <c r="K132" s="35" t="s">
        <v>65</v>
      </c>
      <c r="L132" s="80">
        <v>132</v>
      </c>
      <c r="M132" s="80"/>
      <c r="N132" s="74"/>
      <c r="O132" s="82" t="s">
        <v>776</v>
      </c>
      <c r="P132" s="82" t="s">
        <v>197</v>
      </c>
      <c r="Q132" s="82" t="s">
        <v>903</v>
      </c>
      <c r="R132" s="82" t="s">
        <v>351</v>
      </c>
      <c r="S132" s="82" t="s">
        <v>1428</v>
      </c>
      <c r="T132" s="84" t="str">
        <f>HYPERLINK("http://www.youtube.com/channel/UCtJOHJjvLN2Nr2uSHoQuuAg")</f>
        <v>http://www.youtube.com/channel/UCtJOHJjvLN2Nr2uSHoQuuAg</v>
      </c>
      <c r="U132" s="82"/>
      <c r="V132" s="82" t="s">
        <v>1830</v>
      </c>
      <c r="W132" s="84" t="str">
        <f>HYPERLINK("https://www.youtube.com/watch?v=pRT5aJ3nbHM")</f>
        <v>https://www.youtube.com/watch?v=pRT5aJ3nbHM</v>
      </c>
      <c r="X132" s="82" t="s">
        <v>1857</v>
      </c>
      <c r="Y132" s="82">
        <v>1</v>
      </c>
      <c r="Z132" s="86">
        <v>44859.71728009259</v>
      </c>
      <c r="AA132" s="86">
        <v>44859.71728009259</v>
      </c>
      <c r="AB132" s="82"/>
      <c r="AC132" s="82"/>
      <c r="AD132" s="82"/>
      <c r="AE132" s="82">
        <v>1</v>
      </c>
      <c r="AF132" s="81">
        <v>4</v>
      </c>
      <c r="AG132" s="81">
        <v>4</v>
      </c>
      <c r="AH132" s="49">
        <v>0</v>
      </c>
      <c r="AI132" s="50">
        <v>0</v>
      </c>
      <c r="AJ132" s="49">
        <v>0</v>
      </c>
      <c r="AK132" s="50">
        <v>0</v>
      </c>
      <c r="AL132" s="49">
        <v>0</v>
      </c>
      <c r="AM132" s="50">
        <v>0</v>
      </c>
      <c r="AN132" s="49">
        <v>1</v>
      </c>
      <c r="AO132" s="50">
        <v>100</v>
      </c>
      <c r="AP132" s="49">
        <v>1</v>
      </c>
    </row>
    <row r="133" spans="1:42" ht="15">
      <c r="A133" s="66" t="s">
        <v>352</v>
      </c>
      <c r="B133" s="66" t="s">
        <v>355</v>
      </c>
      <c r="C133" s="67" t="s">
        <v>774</v>
      </c>
      <c r="D133" s="68">
        <v>3</v>
      </c>
      <c r="E133" s="69"/>
      <c r="F133" s="70">
        <v>40</v>
      </c>
      <c r="G133" s="67"/>
      <c r="H133" s="71"/>
      <c r="I133" s="72"/>
      <c r="J133" s="72"/>
      <c r="K133" s="35" t="s">
        <v>65</v>
      </c>
      <c r="L133" s="80">
        <v>133</v>
      </c>
      <c r="M133" s="80"/>
      <c r="N133" s="74"/>
      <c r="O133" s="82" t="s">
        <v>776</v>
      </c>
      <c r="P133" s="82" t="s">
        <v>197</v>
      </c>
      <c r="Q133" s="82" t="s">
        <v>904</v>
      </c>
      <c r="R133" s="82" t="s">
        <v>352</v>
      </c>
      <c r="S133" s="82" t="s">
        <v>1429</v>
      </c>
      <c r="T133" s="84" t="str">
        <f>HYPERLINK("http://www.youtube.com/channel/UCaXkZLtAuNJpRG3qMNC24Sw")</f>
        <v>http://www.youtube.com/channel/UCaXkZLtAuNJpRG3qMNC24Sw</v>
      </c>
      <c r="U133" s="82"/>
      <c r="V133" s="82" t="s">
        <v>1830</v>
      </c>
      <c r="W133" s="84" t="str">
        <f>HYPERLINK("https://www.youtube.com/watch?v=pRT5aJ3nbHM")</f>
        <v>https://www.youtube.com/watch?v=pRT5aJ3nbHM</v>
      </c>
      <c r="X133" s="82" t="s">
        <v>1857</v>
      </c>
      <c r="Y133" s="82">
        <v>0</v>
      </c>
      <c r="Z133" s="86">
        <v>44860.29927083333</v>
      </c>
      <c r="AA133" s="86">
        <v>44860.29927083333</v>
      </c>
      <c r="AB133" s="82"/>
      <c r="AC133" s="82"/>
      <c r="AD133" s="82"/>
      <c r="AE133" s="82">
        <v>1</v>
      </c>
      <c r="AF133" s="81">
        <v>4</v>
      </c>
      <c r="AG133" s="81">
        <v>4</v>
      </c>
      <c r="AH133" s="49">
        <v>0</v>
      </c>
      <c r="AI133" s="50">
        <v>0</v>
      </c>
      <c r="AJ133" s="49">
        <v>4</v>
      </c>
      <c r="AK133" s="50">
        <v>100</v>
      </c>
      <c r="AL133" s="49">
        <v>0</v>
      </c>
      <c r="AM133" s="50">
        <v>0</v>
      </c>
      <c r="AN133" s="49">
        <v>0</v>
      </c>
      <c r="AO133" s="50">
        <v>0</v>
      </c>
      <c r="AP133" s="49">
        <v>4</v>
      </c>
    </row>
    <row r="134" spans="1:42" ht="15">
      <c r="A134" s="66" t="s">
        <v>353</v>
      </c>
      <c r="B134" s="66" t="s">
        <v>355</v>
      </c>
      <c r="C134" s="67" t="s">
        <v>774</v>
      </c>
      <c r="D134" s="68">
        <v>3</v>
      </c>
      <c r="E134" s="69"/>
      <c r="F134" s="70">
        <v>40</v>
      </c>
      <c r="G134" s="67"/>
      <c r="H134" s="71"/>
      <c r="I134" s="72"/>
      <c r="J134" s="72"/>
      <c r="K134" s="35" t="s">
        <v>65</v>
      </c>
      <c r="L134" s="80">
        <v>134</v>
      </c>
      <c r="M134" s="80"/>
      <c r="N134" s="74"/>
      <c r="O134" s="82" t="s">
        <v>776</v>
      </c>
      <c r="P134" s="82" t="s">
        <v>197</v>
      </c>
      <c r="Q134" s="82" t="s">
        <v>905</v>
      </c>
      <c r="R134" s="82" t="s">
        <v>353</v>
      </c>
      <c r="S134" s="82" t="s">
        <v>1430</v>
      </c>
      <c r="T134" s="84" t="str">
        <f>HYPERLINK("http://www.youtube.com/channel/UCEs5q4l_JeY7j4JZedv-OZQ")</f>
        <v>http://www.youtube.com/channel/UCEs5q4l_JeY7j4JZedv-OZQ</v>
      </c>
      <c r="U134" s="82"/>
      <c r="V134" s="82" t="s">
        <v>1830</v>
      </c>
      <c r="W134" s="84" t="str">
        <f>HYPERLINK("https://www.youtube.com/watch?v=pRT5aJ3nbHM")</f>
        <v>https://www.youtube.com/watch?v=pRT5aJ3nbHM</v>
      </c>
      <c r="X134" s="82" t="s">
        <v>1857</v>
      </c>
      <c r="Y134" s="82">
        <v>1</v>
      </c>
      <c r="Z134" s="86">
        <v>44860.63744212963</v>
      </c>
      <c r="AA134" s="86">
        <v>44860.63744212963</v>
      </c>
      <c r="AB134" s="82"/>
      <c r="AC134" s="82"/>
      <c r="AD134" s="82"/>
      <c r="AE134" s="82">
        <v>1</v>
      </c>
      <c r="AF134" s="81">
        <v>4</v>
      </c>
      <c r="AG134" s="81">
        <v>4</v>
      </c>
      <c r="AH134" s="49">
        <v>2</v>
      </c>
      <c r="AI134" s="50">
        <v>12.5</v>
      </c>
      <c r="AJ134" s="49">
        <v>0</v>
      </c>
      <c r="AK134" s="50">
        <v>0</v>
      </c>
      <c r="AL134" s="49">
        <v>0</v>
      </c>
      <c r="AM134" s="50">
        <v>0</v>
      </c>
      <c r="AN134" s="49">
        <v>6</v>
      </c>
      <c r="AO134" s="50">
        <v>37.5</v>
      </c>
      <c r="AP134" s="49">
        <v>16</v>
      </c>
    </row>
    <row r="135" spans="1:42" ht="15">
      <c r="A135" s="66" t="s">
        <v>354</v>
      </c>
      <c r="B135" s="66" t="s">
        <v>355</v>
      </c>
      <c r="C135" s="67" t="s">
        <v>774</v>
      </c>
      <c r="D135" s="68">
        <v>3</v>
      </c>
      <c r="E135" s="69"/>
      <c r="F135" s="70">
        <v>40</v>
      </c>
      <c r="G135" s="67"/>
      <c r="H135" s="71"/>
      <c r="I135" s="72"/>
      <c r="J135" s="72"/>
      <c r="K135" s="35" t="s">
        <v>65</v>
      </c>
      <c r="L135" s="80">
        <v>135</v>
      </c>
      <c r="M135" s="80"/>
      <c r="N135" s="74"/>
      <c r="O135" s="82" t="s">
        <v>776</v>
      </c>
      <c r="P135" s="82" t="s">
        <v>197</v>
      </c>
      <c r="Q135" s="82" t="s">
        <v>906</v>
      </c>
      <c r="R135" s="82" t="s">
        <v>354</v>
      </c>
      <c r="S135" s="82" t="s">
        <v>1431</v>
      </c>
      <c r="T135" s="84" t="str">
        <f>HYPERLINK("http://www.youtube.com/channel/UCTzjUM-hWvthzBk2XyblLLw")</f>
        <v>http://www.youtube.com/channel/UCTzjUM-hWvthzBk2XyblLLw</v>
      </c>
      <c r="U135" s="82"/>
      <c r="V135" s="82" t="s">
        <v>1830</v>
      </c>
      <c r="W135" s="84" t="str">
        <f>HYPERLINK("https://www.youtube.com/watch?v=pRT5aJ3nbHM")</f>
        <v>https://www.youtube.com/watch?v=pRT5aJ3nbHM</v>
      </c>
      <c r="X135" s="82" t="s">
        <v>1857</v>
      </c>
      <c r="Y135" s="82">
        <v>1</v>
      </c>
      <c r="Z135" s="86">
        <v>44861.557962962965</v>
      </c>
      <c r="AA135" s="86">
        <v>44861.557962962965</v>
      </c>
      <c r="AB135" s="82"/>
      <c r="AC135" s="82"/>
      <c r="AD135" s="82"/>
      <c r="AE135" s="82">
        <v>1</v>
      </c>
      <c r="AF135" s="81">
        <v>4</v>
      </c>
      <c r="AG135" s="81">
        <v>4</v>
      </c>
      <c r="AH135" s="49">
        <v>3</v>
      </c>
      <c r="AI135" s="110">
        <v>1.7543859649122806</v>
      </c>
      <c r="AJ135" s="49">
        <v>1</v>
      </c>
      <c r="AK135" s="110">
        <v>0.5847953216374269</v>
      </c>
      <c r="AL135" s="49">
        <v>0</v>
      </c>
      <c r="AM135" s="50">
        <v>0</v>
      </c>
      <c r="AN135" s="49">
        <v>76</v>
      </c>
      <c r="AO135" s="110">
        <v>44.44444444444444</v>
      </c>
      <c r="AP135" s="49">
        <v>171</v>
      </c>
    </row>
    <row r="136" spans="1:42" ht="15">
      <c r="A136" s="66" t="s">
        <v>355</v>
      </c>
      <c r="B136" s="66" t="s">
        <v>355</v>
      </c>
      <c r="C136" s="67" t="s">
        <v>774</v>
      </c>
      <c r="D136" s="68">
        <v>3</v>
      </c>
      <c r="E136" s="69"/>
      <c r="F136" s="70">
        <v>40</v>
      </c>
      <c r="G136" s="67"/>
      <c r="H136" s="71"/>
      <c r="I136" s="72"/>
      <c r="J136" s="72"/>
      <c r="K136" s="35" t="s">
        <v>65</v>
      </c>
      <c r="L136" s="80">
        <v>136</v>
      </c>
      <c r="M136" s="80"/>
      <c r="N136" s="74"/>
      <c r="O136" s="82" t="s">
        <v>777</v>
      </c>
      <c r="P136" s="82"/>
      <c r="Q136" s="82"/>
      <c r="R136" s="82"/>
      <c r="S136" s="82"/>
      <c r="T136" s="82"/>
      <c r="U136" s="82"/>
      <c r="V136" s="82" t="s">
        <v>1830</v>
      </c>
      <c r="W136" s="84" t="str">
        <f>HYPERLINK("https://www.youtube.com/watch?v=pRT5aJ3nbHM")</f>
        <v>https://www.youtube.com/watch?v=pRT5aJ3nbHM</v>
      </c>
      <c r="X136" s="82"/>
      <c r="Y136" s="82"/>
      <c r="Z136" s="86">
        <v>44831.75030092592</v>
      </c>
      <c r="AA136" s="82"/>
      <c r="AB136" s="82"/>
      <c r="AC136" s="82"/>
      <c r="AD136" s="82"/>
      <c r="AE136" s="82">
        <v>1</v>
      </c>
      <c r="AF136" s="81">
        <v>4</v>
      </c>
      <c r="AG136" s="81">
        <v>4</v>
      </c>
      <c r="AH136" s="49"/>
      <c r="AI136" s="50"/>
      <c r="AJ136" s="49"/>
      <c r="AK136" s="50"/>
      <c r="AL136" s="49"/>
      <c r="AM136" s="50"/>
      <c r="AN136" s="49"/>
      <c r="AO136" s="50"/>
      <c r="AP136" s="49"/>
    </row>
    <row r="137" spans="1:42" ht="15">
      <c r="A137" s="66" t="s">
        <v>356</v>
      </c>
      <c r="B137" s="66" t="s">
        <v>355</v>
      </c>
      <c r="C137" s="67" t="s">
        <v>774</v>
      </c>
      <c r="D137" s="68">
        <v>3</v>
      </c>
      <c r="E137" s="69"/>
      <c r="F137" s="70">
        <v>40</v>
      </c>
      <c r="G137" s="67"/>
      <c r="H137" s="71"/>
      <c r="I137" s="72"/>
      <c r="J137" s="72"/>
      <c r="K137" s="35" t="s">
        <v>65</v>
      </c>
      <c r="L137" s="80">
        <v>137</v>
      </c>
      <c r="M137" s="80"/>
      <c r="N137" s="74"/>
      <c r="O137" s="82" t="s">
        <v>776</v>
      </c>
      <c r="P137" s="82" t="s">
        <v>197</v>
      </c>
      <c r="Q137" s="82" t="s">
        <v>907</v>
      </c>
      <c r="R137" s="82" t="s">
        <v>356</v>
      </c>
      <c r="S137" s="82" t="s">
        <v>1432</v>
      </c>
      <c r="T137" s="84" t="str">
        <f>HYPERLINK("http://www.youtube.com/channel/UCxyxqitAALrWZmTqCApIPhw")</f>
        <v>http://www.youtube.com/channel/UCxyxqitAALrWZmTqCApIPhw</v>
      </c>
      <c r="U137" s="82"/>
      <c r="V137" s="82" t="s">
        <v>1830</v>
      </c>
      <c r="W137" s="84" t="str">
        <f>HYPERLINK("https://www.youtube.com/watch?v=pRT5aJ3nbHM")</f>
        <v>https://www.youtube.com/watch?v=pRT5aJ3nbHM</v>
      </c>
      <c r="X137" s="82" t="s">
        <v>1857</v>
      </c>
      <c r="Y137" s="82">
        <v>0</v>
      </c>
      <c r="Z137" s="86">
        <v>45078.28863425926</v>
      </c>
      <c r="AA137" s="86">
        <v>45078.28863425926</v>
      </c>
      <c r="AB137" s="82"/>
      <c r="AC137" s="82"/>
      <c r="AD137" s="82"/>
      <c r="AE137" s="82">
        <v>1</v>
      </c>
      <c r="AF137" s="81">
        <v>4</v>
      </c>
      <c r="AG137" s="81">
        <v>4</v>
      </c>
      <c r="AH137" s="49">
        <v>0</v>
      </c>
      <c r="AI137" s="50">
        <v>0</v>
      </c>
      <c r="AJ137" s="49">
        <v>0</v>
      </c>
      <c r="AK137" s="50">
        <v>0</v>
      </c>
      <c r="AL137" s="49">
        <v>0</v>
      </c>
      <c r="AM137" s="50">
        <v>0</v>
      </c>
      <c r="AN137" s="49">
        <v>9</v>
      </c>
      <c r="AO137" s="50">
        <v>60</v>
      </c>
      <c r="AP137" s="49">
        <v>15</v>
      </c>
    </row>
    <row r="138" spans="1:42" ht="15">
      <c r="A138" s="66" t="s">
        <v>357</v>
      </c>
      <c r="B138" s="66" t="s">
        <v>636</v>
      </c>
      <c r="C138" s="67" t="s">
        <v>774</v>
      </c>
      <c r="D138" s="68">
        <v>3</v>
      </c>
      <c r="E138" s="69"/>
      <c r="F138" s="70">
        <v>40</v>
      </c>
      <c r="G138" s="67"/>
      <c r="H138" s="71"/>
      <c r="I138" s="72"/>
      <c r="J138" s="72"/>
      <c r="K138" s="35" t="s">
        <v>65</v>
      </c>
      <c r="L138" s="80">
        <v>138</v>
      </c>
      <c r="M138" s="80"/>
      <c r="N138" s="74"/>
      <c r="O138" s="82" t="s">
        <v>776</v>
      </c>
      <c r="P138" s="82" t="s">
        <v>197</v>
      </c>
      <c r="Q138" s="82" t="s">
        <v>908</v>
      </c>
      <c r="R138" s="82" t="s">
        <v>357</v>
      </c>
      <c r="S138" s="82" t="s">
        <v>1433</v>
      </c>
      <c r="T138" s="84" t="str">
        <f>HYPERLINK("http://www.youtube.com/channel/UCgQ78yJHT2hWhoXC0LTkX2Q")</f>
        <v>http://www.youtube.com/channel/UCgQ78yJHT2hWhoXC0LTkX2Q</v>
      </c>
      <c r="U138" s="82"/>
      <c r="V138" s="82" t="s">
        <v>1831</v>
      </c>
      <c r="W138" s="84" t="str">
        <f>HYPERLINK("https://www.youtube.com/watch?v=5QB8QAuirzA")</f>
        <v>https://www.youtube.com/watch?v=5QB8QAuirzA</v>
      </c>
      <c r="X138" s="82" t="s">
        <v>1857</v>
      </c>
      <c r="Y138" s="82">
        <v>1</v>
      </c>
      <c r="Z138" s="86">
        <v>45139.239537037036</v>
      </c>
      <c r="AA138" s="86">
        <v>45139.239537037036</v>
      </c>
      <c r="AB138" s="82"/>
      <c r="AC138" s="82"/>
      <c r="AD138" s="82"/>
      <c r="AE138" s="82">
        <v>1</v>
      </c>
      <c r="AF138" s="81">
        <v>1</v>
      </c>
      <c r="AG138" s="81">
        <v>1</v>
      </c>
      <c r="AH138" s="49">
        <v>0</v>
      </c>
      <c r="AI138" s="50">
        <v>0</v>
      </c>
      <c r="AJ138" s="49">
        <v>0</v>
      </c>
      <c r="AK138" s="50">
        <v>0</v>
      </c>
      <c r="AL138" s="49">
        <v>0</v>
      </c>
      <c r="AM138" s="50">
        <v>0</v>
      </c>
      <c r="AN138" s="49">
        <v>2</v>
      </c>
      <c r="AO138" s="110">
        <v>16.666666666666668</v>
      </c>
      <c r="AP138" s="49">
        <v>12</v>
      </c>
    </row>
    <row r="139" spans="1:42" ht="15">
      <c r="A139" s="66" t="s">
        <v>358</v>
      </c>
      <c r="B139" s="66" t="s">
        <v>636</v>
      </c>
      <c r="C139" s="67" t="s">
        <v>774</v>
      </c>
      <c r="D139" s="68">
        <v>3</v>
      </c>
      <c r="E139" s="69"/>
      <c r="F139" s="70">
        <v>40</v>
      </c>
      <c r="G139" s="67"/>
      <c r="H139" s="71"/>
      <c r="I139" s="72"/>
      <c r="J139" s="72"/>
      <c r="K139" s="35" t="s">
        <v>65</v>
      </c>
      <c r="L139" s="80">
        <v>139</v>
      </c>
      <c r="M139" s="80"/>
      <c r="N139" s="74"/>
      <c r="O139" s="82" t="s">
        <v>776</v>
      </c>
      <c r="P139" s="82" t="s">
        <v>197</v>
      </c>
      <c r="Q139" s="82" t="s">
        <v>909</v>
      </c>
      <c r="R139" s="82" t="s">
        <v>358</v>
      </c>
      <c r="S139" s="82" t="s">
        <v>1434</v>
      </c>
      <c r="T139" s="84" t="str">
        <f>HYPERLINK("http://www.youtube.com/channel/UC6ipN8qRQdpSyusZ9dwJPtQ")</f>
        <v>http://www.youtube.com/channel/UC6ipN8qRQdpSyusZ9dwJPtQ</v>
      </c>
      <c r="U139" s="82"/>
      <c r="V139" s="82" t="s">
        <v>1831</v>
      </c>
      <c r="W139" s="84" t="str">
        <f>HYPERLINK("https://www.youtube.com/watch?v=5QB8QAuirzA")</f>
        <v>https://www.youtube.com/watch?v=5QB8QAuirzA</v>
      </c>
      <c r="X139" s="82" t="s">
        <v>1857</v>
      </c>
      <c r="Y139" s="82">
        <v>0</v>
      </c>
      <c r="Z139" s="86">
        <v>45139.27775462963</v>
      </c>
      <c r="AA139" s="86">
        <v>45139.27775462963</v>
      </c>
      <c r="AB139" s="82"/>
      <c r="AC139" s="82"/>
      <c r="AD139" s="82"/>
      <c r="AE139" s="82">
        <v>1</v>
      </c>
      <c r="AF139" s="81">
        <v>1</v>
      </c>
      <c r="AG139" s="81">
        <v>1</v>
      </c>
      <c r="AH139" s="49">
        <v>0</v>
      </c>
      <c r="AI139" s="50">
        <v>0</v>
      </c>
      <c r="AJ139" s="49">
        <v>0</v>
      </c>
      <c r="AK139" s="50">
        <v>0</v>
      </c>
      <c r="AL139" s="49">
        <v>0</v>
      </c>
      <c r="AM139" s="50">
        <v>0</v>
      </c>
      <c r="AN139" s="49">
        <v>3</v>
      </c>
      <c r="AO139" s="50">
        <v>100</v>
      </c>
      <c r="AP139" s="49">
        <v>3</v>
      </c>
    </row>
    <row r="140" spans="1:42" ht="15">
      <c r="A140" s="66" t="s">
        <v>359</v>
      </c>
      <c r="B140" s="66" t="s">
        <v>636</v>
      </c>
      <c r="C140" s="67" t="s">
        <v>774</v>
      </c>
      <c r="D140" s="68">
        <v>3</v>
      </c>
      <c r="E140" s="69"/>
      <c r="F140" s="70">
        <v>40</v>
      </c>
      <c r="G140" s="67"/>
      <c r="H140" s="71"/>
      <c r="I140" s="72"/>
      <c r="J140" s="72"/>
      <c r="K140" s="35" t="s">
        <v>65</v>
      </c>
      <c r="L140" s="80">
        <v>140</v>
      </c>
      <c r="M140" s="80"/>
      <c r="N140" s="74"/>
      <c r="O140" s="82" t="s">
        <v>776</v>
      </c>
      <c r="P140" s="82" t="s">
        <v>197</v>
      </c>
      <c r="Q140" s="82" t="s">
        <v>910</v>
      </c>
      <c r="R140" s="82" t="s">
        <v>359</v>
      </c>
      <c r="S140" s="82" t="s">
        <v>1435</v>
      </c>
      <c r="T140" s="84" t="str">
        <f>HYPERLINK("http://www.youtube.com/channel/UC79mZsYW610vkTIaj2ymp5Q")</f>
        <v>http://www.youtube.com/channel/UC79mZsYW610vkTIaj2ymp5Q</v>
      </c>
      <c r="U140" s="82"/>
      <c r="V140" s="82" t="s">
        <v>1831</v>
      </c>
      <c r="W140" s="84" t="str">
        <f>HYPERLINK("https://www.youtube.com/watch?v=5QB8QAuirzA")</f>
        <v>https://www.youtube.com/watch?v=5QB8QAuirzA</v>
      </c>
      <c r="X140" s="82" t="s">
        <v>1857</v>
      </c>
      <c r="Y140" s="82">
        <v>0</v>
      </c>
      <c r="Z140" s="86">
        <v>45139.37042824074</v>
      </c>
      <c r="AA140" s="86">
        <v>45139.37042824074</v>
      </c>
      <c r="AB140" s="82"/>
      <c r="AC140" s="82"/>
      <c r="AD140" s="82"/>
      <c r="AE140" s="82">
        <v>1</v>
      </c>
      <c r="AF140" s="81">
        <v>1</v>
      </c>
      <c r="AG140" s="81">
        <v>1</v>
      </c>
      <c r="AH140" s="49">
        <v>0</v>
      </c>
      <c r="AI140" s="50">
        <v>0</v>
      </c>
      <c r="AJ140" s="49">
        <v>4</v>
      </c>
      <c r="AK140" s="50">
        <v>6.25</v>
      </c>
      <c r="AL140" s="49">
        <v>0</v>
      </c>
      <c r="AM140" s="50">
        <v>0</v>
      </c>
      <c r="AN140" s="49">
        <v>19</v>
      </c>
      <c r="AO140" s="50">
        <v>29.6875</v>
      </c>
      <c r="AP140" s="49">
        <v>64</v>
      </c>
    </row>
    <row r="141" spans="1:42" ht="15">
      <c r="A141" s="66" t="s">
        <v>360</v>
      </c>
      <c r="B141" s="66" t="s">
        <v>636</v>
      </c>
      <c r="C141" s="67" t="s">
        <v>774</v>
      </c>
      <c r="D141" s="68">
        <v>3</v>
      </c>
      <c r="E141" s="69"/>
      <c r="F141" s="70">
        <v>40</v>
      </c>
      <c r="G141" s="67"/>
      <c r="H141" s="71"/>
      <c r="I141" s="72"/>
      <c r="J141" s="72"/>
      <c r="K141" s="35" t="s">
        <v>65</v>
      </c>
      <c r="L141" s="80">
        <v>141</v>
      </c>
      <c r="M141" s="80"/>
      <c r="N141" s="74"/>
      <c r="O141" s="82" t="s">
        <v>776</v>
      </c>
      <c r="P141" s="82" t="s">
        <v>197</v>
      </c>
      <c r="Q141" s="82" t="s">
        <v>911</v>
      </c>
      <c r="R141" s="82" t="s">
        <v>360</v>
      </c>
      <c r="S141" s="82" t="s">
        <v>1436</v>
      </c>
      <c r="T141" s="84" t="str">
        <f>HYPERLINK("http://www.youtube.com/channel/UCYIh2GJ_QJCgT3YKcdffX7w")</f>
        <v>http://www.youtube.com/channel/UCYIh2GJ_QJCgT3YKcdffX7w</v>
      </c>
      <c r="U141" s="82"/>
      <c r="V141" s="82" t="s">
        <v>1831</v>
      </c>
      <c r="W141" s="84" t="str">
        <f>HYPERLINK("https://www.youtube.com/watch?v=5QB8QAuirzA")</f>
        <v>https://www.youtube.com/watch?v=5QB8QAuirzA</v>
      </c>
      <c r="X141" s="82" t="s">
        <v>1857</v>
      </c>
      <c r="Y141" s="82">
        <v>0</v>
      </c>
      <c r="Z141" s="86">
        <v>45139.93697916667</v>
      </c>
      <c r="AA141" s="86">
        <v>45139.93697916667</v>
      </c>
      <c r="AB141" s="82"/>
      <c r="AC141" s="82"/>
      <c r="AD141" s="82"/>
      <c r="AE141" s="82">
        <v>1</v>
      </c>
      <c r="AF141" s="81">
        <v>1</v>
      </c>
      <c r="AG141" s="81">
        <v>1</v>
      </c>
      <c r="AH141" s="49">
        <v>3</v>
      </c>
      <c r="AI141" s="50">
        <v>15</v>
      </c>
      <c r="AJ141" s="49">
        <v>1</v>
      </c>
      <c r="AK141" s="50">
        <v>5</v>
      </c>
      <c r="AL141" s="49">
        <v>0</v>
      </c>
      <c r="AM141" s="50">
        <v>0</v>
      </c>
      <c r="AN141" s="49">
        <v>8</v>
      </c>
      <c r="AO141" s="50">
        <v>40</v>
      </c>
      <c r="AP141" s="49">
        <v>20</v>
      </c>
    </row>
    <row r="142" spans="1:42" ht="15">
      <c r="A142" s="66" t="s">
        <v>361</v>
      </c>
      <c r="B142" s="66" t="s">
        <v>636</v>
      </c>
      <c r="C142" s="67" t="s">
        <v>774</v>
      </c>
      <c r="D142" s="68">
        <v>3</v>
      </c>
      <c r="E142" s="69"/>
      <c r="F142" s="70">
        <v>40</v>
      </c>
      <c r="G142" s="67"/>
      <c r="H142" s="71"/>
      <c r="I142" s="72"/>
      <c r="J142" s="72"/>
      <c r="K142" s="35" t="s">
        <v>65</v>
      </c>
      <c r="L142" s="80">
        <v>142</v>
      </c>
      <c r="M142" s="80"/>
      <c r="N142" s="74"/>
      <c r="O142" s="82" t="s">
        <v>776</v>
      </c>
      <c r="P142" s="82" t="s">
        <v>197</v>
      </c>
      <c r="Q142" s="82" t="s">
        <v>912</v>
      </c>
      <c r="R142" s="82" t="s">
        <v>361</v>
      </c>
      <c r="S142" s="82" t="s">
        <v>1437</v>
      </c>
      <c r="T142" s="84" t="str">
        <f>HYPERLINK("http://www.youtube.com/channel/UCChw95lIbQohPpvM80n6AMA")</f>
        <v>http://www.youtube.com/channel/UCChw95lIbQohPpvM80n6AMA</v>
      </c>
      <c r="U142" s="82"/>
      <c r="V142" s="82" t="s">
        <v>1831</v>
      </c>
      <c r="W142" s="84" t="str">
        <f>HYPERLINK("https://www.youtube.com/watch?v=5QB8QAuirzA")</f>
        <v>https://www.youtube.com/watch?v=5QB8QAuirzA</v>
      </c>
      <c r="X142" s="82" t="s">
        <v>1857</v>
      </c>
      <c r="Y142" s="82">
        <v>0</v>
      </c>
      <c r="Z142" s="86">
        <v>45140.28498842593</v>
      </c>
      <c r="AA142" s="86">
        <v>45140.28498842593</v>
      </c>
      <c r="AB142" s="82"/>
      <c r="AC142" s="82"/>
      <c r="AD142" s="82"/>
      <c r="AE142" s="82">
        <v>1</v>
      </c>
      <c r="AF142" s="81">
        <v>1</v>
      </c>
      <c r="AG142" s="81">
        <v>1</v>
      </c>
      <c r="AH142" s="49">
        <v>0</v>
      </c>
      <c r="AI142" s="50">
        <v>0</v>
      </c>
      <c r="AJ142" s="49">
        <v>1</v>
      </c>
      <c r="AK142" s="110">
        <v>4.545454545454546</v>
      </c>
      <c r="AL142" s="49">
        <v>0</v>
      </c>
      <c r="AM142" s="50">
        <v>0</v>
      </c>
      <c r="AN142" s="49">
        <v>7</v>
      </c>
      <c r="AO142" s="110">
        <v>31.818181818181817</v>
      </c>
      <c r="AP142" s="49">
        <v>22</v>
      </c>
    </row>
    <row r="143" spans="1:42" ht="15">
      <c r="A143" s="66" t="s">
        <v>362</v>
      </c>
      <c r="B143" s="66" t="s">
        <v>636</v>
      </c>
      <c r="C143" s="67" t="s">
        <v>774</v>
      </c>
      <c r="D143" s="68">
        <v>3</v>
      </c>
      <c r="E143" s="69"/>
      <c r="F143" s="70">
        <v>40</v>
      </c>
      <c r="G143" s="67"/>
      <c r="H143" s="71"/>
      <c r="I143" s="72"/>
      <c r="J143" s="72"/>
      <c r="K143" s="35" t="s">
        <v>65</v>
      </c>
      <c r="L143" s="80">
        <v>143</v>
      </c>
      <c r="M143" s="80"/>
      <c r="N143" s="74"/>
      <c r="O143" s="82" t="s">
        <v>776</v>
      </c>
      <c r="P143" s="82" t="s">
        <v>197</v>
      </c>
      <c r="Q143" s="82" t="s">
        <v>913</v>
      </c>
      <c r="R143" s="82" t="s">
        <v>362</v>
      </c>
      <c r="S143" s="82" t="s">
        <v>1438</v>
      </c>
      <c r="T143" s="84" t="str">
        <f>HYPERLINK("http://www.youtube.com/channel/UC9lNL6houzT0HR68zZBMgDw")</f>
        <v>http://www.youtube.com/channel/UC9lNL6houzT0HR68zZBMgDw</v>
      </c>
      <c r="U143" s="82"/>
      <c r="V143" s="82" t="s">
        <v>1831</v>
      </c>
      <c r="W143" s="84" t="str">
        <f>HYPERLINK("https://www.youtube.com/watch?v=5QB8QAuirzA")</f>
        <v>https://www.youtube.com/watch?v=5QB8QAuirzA</v>
      </c>
      <c r="X143" s="82" t="s">
        <v>1857</v>
      </c>
      <c r="Y143" s="82">
        <v>0</v>
      </c>
      <c r="Z143" s="86">
        <v>45140.29814814815</v>
      </c>
      <c r="AA143" s="86">
        <v>45140.29814814815</v>
      </c>
      <c r="AB143" s="82"/>
      <c r="AC143" s="82"/>
      <c r="AD143" s="82"/>
      <c r="AE143" s="82">
        <v>1</v>
      </c>
      <c r="AF143" s="81">
        <v>1</v>
      </c>
      <c r="AG143" s="81">
        <v>1</v>
      </c>
      <c r="AH143" s="49">
        <v>2</v>
      </c>
      <c r="AI143" s="110">
        <v>10.526315789473685</v>
      </c>
      <c r="AJ143" s="49">
        <v>0</v>
      </c>
      <c r="AK143" s="50">
        <v>0</v>
      </c>
      <c r="AL143" s="49">
        <v>0</v>
      </c>
      <c r="AM143" s="50">
        <v>0</v>
      </c>
      <c r="AN143" s="49">
        <v>9</v>
      </c>
      <c r="AO143" s="110">
        <v>47.36842105263158</v>
      </c>
      <c r="AP143" s="49">
        <v>19</v>
      </c>
    </row>
    <row r="144" spans="1:42" ht="15">
      <c r="A144" s="66" t="s">
        <v>363</v>
      </c>
      <c r="B144" s="66" t="s">
        <v>636</v>
      </c>
      <c r="C144" s="67" t="s">
        <v>774</v>
      </c>
      <c r="D144" s="68">
        <v>3</v>
      </c>
      <c r="E144" s="69"/>
      <c r="F144" s="70">
        <v>40</v>
      </c>
      <c r="G144" s="67"/>
      <c r="H144" s="71"/>
      <c r="I144" s="72"/>
      <c r="J144" s="72"/>
      <c r="K144" s="35" t="s">
        <v>65</v>
      </c>
      <c r="L144" s="80">
        <v>144</v>
      </c>
      <c r="M144" s="80"/>
      <c r="N144" s="74"/>
      <c r="O144" s="82" t="s">
        <v>776</v>
      </c>
      <c r="P144" s="82" t="s">
        <v>197</v>
      </c>
      <c r="Q144" s="82" t="s">
        <v>914</v>
      </c>
      <c r="R144" s="82" t="s">
        <v>363</v>
      </c>
      <c r="S144" s="82" t="s">
        <v>1439</v>
      </c>
      <c r="T144" s="84" t="str">
        <f>HYPERLINK("http://www.youtube.com/channel/UCEI7trIa4W-AAQgp3SAEFfw")</f>
        <v>http://www.youtube.com/channel/UCEI7trIa4W-AAQgp3SAEFfw</v>
      </c>
      <c r="U144" s="82"/>
      <c r="V144" s="82" t="s">
        <v>1831</v>
      </c>
      <c r="W144" s="84" t="str">
        <f>HYPERLINK("https://www.youtube.com/watch?v=5QB8QAuirzA")</f>
        <v>https://www.youtube.com/watch?v=5QB8QAuirzA</v>
      </c>
      <c r="X144" s="82" t="s">
        <v>1857</v>
      </c>
      <c r="Y144" s="82">
        <v>0</v>
      </c>
      <c r="Z144" s="86">
        <v>45140.58456018518</v>
      </c>
      <c r="AA144" s="86">
        <v>45140.58456018518</v>
      </c>
      <c r="AB144" s="82"/>
      <c r="AC144" s="82"/>
      <c r="AD144" s="82"/>
      <c r="AE144" s="82">
        <v>1</v>
      </c>
      <c r="AF144" s="81">
        <v>1</v>
      </c>
      <c r="AG144" s="81">
        <v>1</v>
      </c>
      <c r="AH144" s="49">
        <v>0</v>
      </c>
      <c r="AI144" s="50">
        <v>0</v>
      </c>
      <c r="AJ144" s="49">
        <v>0</v>
      </c>
      <c r="AK144" s="50">
        <v>0</v>
      </c>
      <c r="AL144" s="49">
        <v>0</v>
      </c>
      <c r="AM144" s="50">
        <v>0</v>
      </c>
      <c r="AN144" s="49">
        <v>2</v>
      </c>
      <c r="AO144" s="110">
        <v>33.333333333333336</v>
      </c>
      <c r="AP144" s="49">
        <v>6</v>
      </c>
    </row>
    <row r="145" spans="1:42" ht="15">
      <c r="A145" s="66" t="s">
        <v>364</v>
      </c>
      <c r="B145" s="66" t="s">
        <v>636</v>
      </c>
      <c r="C145" s="67" t="s">
        <v>774</v>
      </c>
      <c r="D145" s="68">
        <v>3</v>
      </c>
      <c r="E145" s="69"/>
      <c r="F145" s="70">
        <v>40</v>
      </c>
      <c r="G145" s="67"/>
      <c r="H145" s="71"/>
      <c r="I145" s="72"/>
      <c r="J145" s="72"/>
      <c r="K145" s="35" t="s">
        <v>65</v>
      </c>
      <c r="L145" s="80">
        <v>145</v>
      </c>
      <c r="M145" s="80"/>
      <c r="N145" s="74"/>
      <c r="O145" s="82" t="s">
        <v>776</v>
      </c>
      <c r="P145" s="82" t="s">
        <v>197</v>
      </c>
      <c r="Q145" s="82" t="s">
        <v>915</v>
      </c>
      <c r="R145" s="82" t="s">
        <v>364</v>
      </c>
      <c r="S145" s="82" t="s">
        <v>1440</v>
      </c>
      <c r="T145" s="84" t="str">
        <f>HYPERLINK("http://www.youtube.com/channel/UCeRYmOLLLdJz7pz6szgWK2Q")</f>
        <v>http://www.youtube.com/channel/UCeRYmOLLLdJz7pz6szgWK2Q</v>
      </c>
      <c r="U145" s="82"/>
      <c r="V145" s="82" t="s">
        <v>1831</v>
      </c>
      <c r="W145" s="84" t="str">
        <f>HYPERLINK("https://www.youtube.com/watch?v=5QB8QAuirzA")</f>
        <v>https://www.youtube.com/watch?v=5QB8QAuirzA</v>
      </c>
      <c r="X145" s="82" t="s">
        <v>1857</v>
      </c>
      <c r="Y145" s="82">
        <v>0</v>
      </c>
      <c r="Z145" s="86">
        <v>45140.69534722222</v>
      </c>
      <c r="AA145" s="86">
        <v>45140.69534722222</v>
      </c>
      <c r="AB145" s="82"/>
      <c r="AC145" s="82"/>
      <c r="AD145" s="82"/>
      <c r="AE145" s="82">
        <v>1</v>
      </c>
      <c r="AF145" s="81">
        <v>1</v>
      </c>
      <c r="AG145" s="81">
        <v>1</v>
      </c>
      <c r="AH145" s="49">
        <v>0</v>
      </c>
      <c r="AI145" s="50">
        <v>0</v>
      </c>
      <c r="AJ145" s="49">
        <v>0</v>
      </c>
      <c r="AK145" s="50">
        <v>0</v>
      </c>
      <c r="AL145" s="49">
        <v>0</v>
      </c>
      <c r="AM145" s="50">
        <v>0</v>
      </c>
      <c r="AN145" s="49">
        <v>2</v>
      </c>
      <c r="AO145" s="50">
        <v>40</v>
      </c>
      <c r="AP145" s="49">
        <v>5</v>
      </c>
    </row>
    <row r="146" spans="1:42" ht="15">
      <c r="A146" s="66" t="s">
        <v>365</v>
      </c>
      <c r="B146" s="66" t="s">
        <v>636</v>
      </c>
      <c r="C146" s="67" t="s">
        <v>774</v>
      </c>
      <c r="D146" s="68">
        <v>3</v>
      </c>
      <c r="E146" s="69"/>
      <c r="F146" s="70">
        <v>40</v>
      </c>
      <c r="G146" s="67"/>
      <c r="H146" s="71"/>
      <c r="I146" s="72"/>
      <c r="J146" s="72"/>
      <c r="K146" s="35" t="s">
        <v>65</v>
      </c>
      <c r="L146" s="80">
        <v>146</v>
      </c>
      <c r="M146" s="80"/>
      <c r="N146" s="74"/>
      <c r="O146" s="82" t="s">
        <v>776</v>
      </c>
      <c r="P146" s="82" t="s">
        <v>197</v>
      </c>
      <c r="Q146" s="82" t="s">
        <v>916</v>
      </c>
      <c r="R146" s="82" t="s">
        <v>365</v>
      </c>
      <c r="S146" s="82" t="s">
        <v>1441</v>
      </c>
      <c r="T146" s="84" t="str">
        <f>HYPERLINK("http://www.youtube.com/channel/UCGG3bilD8YmeoCOuDGcygmg")</f>
        <v>http://www.youtube.com/channel/UCGG3bilD8YmeoCOuDGcygmg</v>
      </c>
      <c r="U146" s="82"/>
      <c r="V146" s="82" t="s">
        <v>1831</v>
      </c>
      <c r="W146" s="84" t="str">
        <f>HYPERLINK("https://www.youtube.com/watch?v=5QB8QAuirzA")</f>
        <v>https://www.youtube.com/watch?v=5QB8QAuirzA</v>
      </c>
      <c r="X146" s="82" t="s">
        <v>1857</v>
      </c>
      <c r="Y146" s="82">
        <v>0</v>
      </c>
      <c r="Z146" s="86">
        <v>45140.82491898148</v>
      </c>
      <c r="AA146" s="86">
        <v>45140.82491898148</v>
      </c>
      <c r="AB146" s="82"/>
      <c r="AC146" s="82"/>
      <c r="AD146" s="82"/>
      <c r="AE146" s="82">
        <v>1</v>
      </c>
      <c r="AF146" s="81">
        <v>1</v>
      </c>
      <c r="AG146" s="81">
        <v>1</v>
      </c>
      <c r="AH146" s="49">
        <v>2</v>
      </c>
      <c r="AI146" s="50">
        <v>50</v>
      </c>
      <c r="AJ146" s="49">
        <v>0</v>
      </c>
      <c r="AK146" s="50">
        <v>0</v>
      </c>
      <c r="AL146" s="49">
        <v>0</v>
      </c>
      <c r="AM146" s="50">
        <v>0</v>
      </c>
      <c r="AN146" s="49">
        <v>1</v>
      </c>
      <c r="AO146" s="50">
        <v>25</v>
      </c>
      <c r="AP146" s="49">
        <v>4</v>
      </c>
    </row>
    <row r="147" spans="1:42" ht="15">
      <c r="A147" s="66" t="s">
        <v>366</v>
      </c>
      <c r="B147" s="66" t="s">
        <v>636</v>
      </c>
      <c r="C147" s="67" t="s">
        <v>774</v>
      </c>
      <c r="D147" s="68">
        <v>3</v>
      </c>
      <c r="E147" s="69"/>
      <c r="F147" s="70">
        <v>40</v>
      </c>
      <c r="G147" s="67"/>
      <c r="H147" s="71"/>
      <c r="I147" s="72"/>
      <c r="J147" s="72"/>
      <c r="K147" s="35" t="s">
        <v>65</v>
      </c>
      <c r="L147" s="80">
        <v>147</v>
      </c>
      <c r="M147" s="80"/>
      <c r="N147" s="74"/>
      <c r="O147" s="82" t="s">
        <v>776</v>
      </c>
      <c r="P147" s="82" t="s">
        <v>197</v>
      </c>
      <c r="Q147" s="82" t="s">
        <v>917</v>
      </c>
      <c r="R147" s="82" t="s">
        <v>366</v>
      </c>
      <c r="S147" s="82" t="s">
        <v>1442</v>
      </c>
      <c r="T147" s="84" t="str">
        <f>HYPERLINK("http://www.youtube.com/channel/UCMFY2gZFA1amf55W6YnXDqg")</f>
        <v>http://www.youtube.com/channel/UCMFY2gZFA1amf55W6YnXDqg</v>
      </c>
      <c r="U147" s="82"/>
      <c r="V147" s="82" t="s">
        <v>1831</v>
      </c>
      <c r="W147" s="84" t="str">
        <f>HYPERLINK("https://www.youtube.com/watch?v=5QB8QAuirzA")</f>
        <v>https://www.youtube.com/watch?v=5QB8QAuirzA</v>
      </c>
      <c r="X147" s="82" t="s">
        <v>1857</v>
      </c>
      <c r="Y147" s="82">
        <v>0</v>
      </c>
      <c r="Z147" s="86">
        <v>45140.83136574074</v>
      </c>
      <c r="AA147" s="86">
        <v>45140.83136574074</v>
      </c>
      <c r="AB147" s="82"/>
      <c r="AC147" s="82"/>
      <c r="AD147" s="82"/>
      <c r="AE147" s="82">
        <v>1</v>
      </c>
      <c r="AF147" s="81">
        <v>1</v>
      </c>
      <c r="AG147" s="81">
        <v>1</v>
      </c>
      <c r="AH147" s="49">
        <v>0</v>
      </c>
      <c r="AI147" s="50">
        <v>0</v>
      </c>
      <c r="AJ147" s="49">
        <v>0</v>
      </c>
      <c r="AK147" s="50">
        <v>0</v>
      </c>
      <c r="AL147" s="49">
        <v>0</v>
      </c>
      <c r="AM147" s="50">
        <v>0</v>
      </c>
      <c r="AN147" s="49">
        <v>1</v>
      </c>
      <c r="AO147" s="50">
        <v>25</v>
      </c>
      <c r="AP147" s="49">
        <v>4</v>
      </c>
    </row>
    <row r="148" spans="1:42" ht="15">
      <c r="A148" s="66" t="s">
        <v>367</v>
      </c>
      <c r="B148" s="66" t="s">
        <v>636</v>
      </c>
      <c r="C148" s="67" t="s">
        <v>774</v>
      </c>
      <c r="D148" s="68">
        <v>3</v>
      </c>
      <c r="E148" s="69"/>
      <c r="F148" s="70">
        <v>40</v>
      </c>
      <c r="G148" s="67"/>
      <c r="H148" s="71"/>
      <c r="I148" s="72"/>
      <c r="J148" s="72"/>
      <c r="K148" s="35" t="s">
        <v>65</v>
      </c>
      <c r="L148" s="80">
        <v>148</v>
      </c>
      <c r="M148" s="80"/>
      <c r="N148" s="74"/>
      <c r="O148" s="82" t="s">
        <v>776</v>
      </c>
      <c r="P148" s="82" t="s">
        <v>197</v>
      </c>
      <c r="Q148" s="82" t="s">
        <v>918</v>
      </c>
      <c r="R148" s="82" t="s">
        <v>367</v>
      </c>
      <c r="S148" s="82" t="s">
        <v>1443</v>
      </c>
      <c r="T148" s="84" t="str">
        <f>HYPERLINK("http://www.youtube.com/channel/UCjIVoouC_1l376MiYeltfQw")</f>
        <v>http://www.youtube.com/channel/UCjIVoouC_1l376MiYeltfQw</v>
      </c>
      <c r="U148" s="82"/>
      <c r="V148" s="82" t="s">
        <v>1831</v>
      </c>
      <c r="W148" s="84" t="str">
        <f>HYPERLINK("https://www.youtube.com/watch?v=5QB8QAuirzA")</f>
        <v>https://www.youtube.com/watch?v=5QB8QAuirzA</v>
      </c>
      <c r="X148" s="82" t="s">
        <v>1857</v>
      </c>
      <c r="Y148" s="82">
        <v>0</v>
      </c>
      <c r="Z148" s="86">
        <v>45140.88917824074</v>
      </c>
      <c r="AA148" s="86">
        <v>45140.88917824074</v>
      </c>
      <c r="AB148" s="82"/>
      <c r="AC148" s="82"/>
      <c r="AD148" s="82"/>
      <c r="AE148" s="82">
        <v>1</v>
      </c>
      <c r="AF148" s="81">
        <v>1</v>
      </c>
      <c r="AG148" s="81">
        <v>1</v>
      </c>
      <c r="AH148" s="49">
        <v>0</v>
      </c>
      <c r="AI148" s="50">
        <v>0</v>
      </c>
      <c r="AJ148" s="49">
        <v>0</v>
      </c>
      <c r="AK148" s="50">
        <v>0</v>
      </c>
      <c r="AL148" s="49">
        <v>0</v>
      </c>
      <c r="AM148" s="50">
        <v>0</v>
      </c>
      <c r="AN148" s="49">
        <v>4</v>
      </c>
      <c r="AO148" s="50">
        <v>40</v>
      </c>
      <c r="AP148" s="49">
        <v>10</v>
      </c>
    </row>
    <row r="149" spans="1:42" ht="15">
      <c r="A149" s="66" t="s">
        <v>368</v>
      </c>
      <c r="B149" s="66" t="s">
        <v>636</v>
      </c>
      <c r="C149" s="67" t="s">
        <v>774</v>
      </c>
      <c r="D149" s="68">
        <v>3</v>
      </c>
      <c r="E149" s="69"/>
      <c r="F149" s="70">
        <v>40</v>
      </c>
      <c r="G149" s="67"/>
      <c r="H149" s="71"/>
      <c r="I149" s="72"/>
      <c r="J149" s="72"/>
      <c r="K149" s="35" t="s">
        <v>65</v>
      </c>
      <c r="L149" s="80">
        <v>149</v>
      </c>
      <c r="M149" s="80"/>
      <c r="N149" s="74"/>
      <c r="O149" s="82" t="s">
        <v>776</v>
      </c>
      <c r="P149" s="82" t="s">
        <v>197</v>
      </c>
      <c r="Q149" s="82" t="s">
        <v>919</v>
      </c>
      <c r="R149" s="82" t="s">
        <v>368</v>
      </c>
      <c r="S149" s="82" t="s">
        <v>1444</v>
      </c>
      <c r="T149" s="84" t="str">
        <f>HYPERLINK("http://www.youtube.com/channel/UC5BX2YGHHJc_AaIPjab0fPw")</f>
        <v>http://www.youtube.com/channel/UC5BX2YGHHJc_AaIPjab0fPw</v>
      </c>
      <c r="U149" s="82"/>
      <c r="V149" s="82" t="s">
        <v>1831</v>
      </c>
      <c r="W149" s="84" t="str">
        <f>HYPERLINK("https://www.youtube.com/watch?v=5QB8QAuirzA")</f>
        <v>https://www.youtube.com/watch?v=5QB8QAuirzA</v>
      </c>
      <c r="X149" s="82" t="s">
        <v>1857</v>
      </c>
      <c r="Y149" s="82">
        <v>0</v>
      </c>
      <c r="Z149" s="86">
        <v>45141.30432870371</v>
      </c>
      <c r="AA149" s="86">
        <v>45141.30432870371</v>
      </c>
      <c r="AB149" s="82"/>
      <c r="AC149" s="82"/>
      <c r="AD149" s="82"/>
      <c r="AE149" s="82">
        <v>1</v>
      </c>
      <c r="AF149" s="81">
        <v>1</v>
      </c>
      <c r="AG149" s="81">
        <v>1</v>
      </c>
      <c r="AH149" s="49">
        <v>0</v>
      </c>
      <c r="AI149" s="50">
        <v>0</v>
      </c>
      <c r="AJ149" s="49">
        <v>0</v>
      </c>
      <c r="AK149" s="50">
        <v>0</v>
      </c>
      <c r="AL149" s="49">
        <v>0</v>
      </c>
      <c r="AM149" s="50">
        <v>0</v>
      </c>
      <c r="AN149" s="49">
        <v>3</v>
      </c>
      <c r="AO149" s="50">
        <v>50</v>
      </c>
      <c r="AP149" s="49">
        <v>6</v>
      </c>
    </row>
    <row r="150" spans="1:42" ht="15">
      <c r="A150" s="66" t="s">
        <v>369</v>
      </c>
      <c r="B150" s="66" t="s">
        <v>636</v>
      </c>
      <c r="C150" s="67" t="s">
        <v>774</v>
      </c>
      <c r="D150" s="68">
        <v>3</v>
      </c>
      <c r="E150" s="69"/>
      <c r="F150" s="70">
        <v>40</v>
      </c>
      <c r="G150" s="67"/>
      <c r="H150" s="71"/>
      <c r="I150" s="72"/>
      <c r="J150" s="72"/>
      <c r="K150" s="35" t="s">
        <v>65</v>
      </c>
      <c r="L150" s="80">
        <v>150</v>
      </c>
      <c r="M150" s="80"/>
      <c r="N150" s="74"/>
      <c r="O150" s="82" t="s">
        <v>776</v>
      </c>
      <c r="P150" s="82" t="s">
        <v>197</v>
      </c>
      <c r="Q150" s="82" t="s">
        <v>920</v>
      </c>
      <c r="R150" s="82" t="s">
        <v>369</v>
      </c>
      <c r="S150" s="82" t="s">
        <v>1445</v>
      </c>
      <c r="T150" s="84" t="str">
        <f>HYPERLINK("http://www.youtube.com/channel/UCeQP0T3KhY8tHQGrOkwZKyQ")</f>
        <v>http://www.youtube.com/channel/UCeQP0T3KhY8tHQGrOkwZKyQ</v>
      </c>
      <c r="U150" s="82"/>
      <c r="V150" s="82" t="s">
        <v>1831</v>
      </c>
      <c r="W150" s="84" t="str">
        <f>HYPERLINK("https://www.youtube.com/watch?v=5QB8QAuirzA")</f>
        <v>https://www.youtube.com/watch?v=5QB8QAuirzA</v>
      </c>
      <c r="X150" s="82" t="s">
        <v>1857</v>
      </c>
      <c r="Y150" s="82">
        <v>0</v>
      </c>
      <c r="Z150" s="86">
        <v>45141.39349537037</v>
      </c>
      <c r="AA150" s="86">
        <v>45141.39349537037</v>
      </c>
      <c r="AB150" s="82"/>
      <c r="AC150" s="82"/>
      <c r="AD150" s="82"/>
      <c r="AE150" s="82">
        <v>1</v>
      </c>
      <c r="AF150" s="81">
        <v>1</v>
      </c>
      <c r="AG150" s="81">
        <v>1</v>
      </c>
      <c r="AH150" s="49">
        <v>1</v>
      </c>
      <c r="AI150" s="50">
        <v>12.5</v>
      </c>
      <c r="AJ150" s="49">
        <v>0</v>
      </c>
      <c r="AK150" s="50">
        <v>0</v>
      </c>
      <c r="AL150" s="49">
        <v>0</v>
      </c>
      <c r="AM150" s="50">
        <v>0</v>
      </c>
      <c r="AN150" s="49">
        <v>2</v>
      </c>
      <c r="AO150" s="50">
        <v>25</v>
      </c>
      <c r="AP150" s="49">
        <v>8</v>
      </c>
    </row>
    <row r="151" spans="1:42" ht="15">
      <c r="A151" s="66" t="s">
        <v>370</v>
      </c>
      <c r="B151" s="66" t="s">
        <v>636</v>
      </c>
      <c r="C151" s="67" t="s">
        <v>774</v>
      </c>
      <c r="D151" s="68">
        <v>3</v>
      </c>
      <c r="E151" s="69"/>
      <c r="F151" s="70">
        <v>40</v>
      </c>
      <c r="G151" s="67"/>
      <c r="H151" s="71"/>
      <c r="I151" s="72"/>
      <c r="J151" s="72"/>
      <c r="K151" s="35" t="s">
        <v>65</v>
      </c>
      <c r="L151" s="80">
        <v>151</v>
      </c>
      <c r="M151" s="80"/>
      <c r="N151" s="74"/>
      <c r="O151" s="82" t="s">
        <v>776</v>
      </c>
      <c r="P151" s="82" t="s">
        <v>197</v>
      </c>
      <c r="Q151" s="82" t="s">
        <v>921</v>
      </c>
      <c r="R151" s="82" t="s">
        <v>370</v>
      </c>
      <c r="S151" s="82" t="s">
        <v>1446</v>
      </c>
      <c r="T151" s="84" t="str">
        <f>HYPERLINK("http://www.youtube.com/channel/UCXnUMRufxEaVu9Ojq_nbu_w")</f>
        <v>http://www.youtube.com/channel/UCXnUMRufxEaVu9Ojq_nbu_w</v>
      </c>
      <c r="U151" s="82"/>
      <c r="V151" s="82" t="s">
        <v>1831</v>
      </c>
      <c r="W151" s="84" t="str">
        <f>HYPERLINK("https://www.youtube.com/watch?v=5QB8QAuirzA")</f>
        <v>https://www.youtube.com/watch?v=5QB8QAuirzA</v>
      </c>
      <c r="X151" s="82" t="s">
        <v>1857</v>
      </c>
      <c r="Y151" s="82">
        <v>0</v>
      </c>
      <c r="Z151" s="86">
        <v>45141.42664351852</v>
      </c>
      <c r="AA151" s="86">
        <v>45141.42664351852</v>
      </c>
      <c r="AB151" s="82"/>
      <c r="AC151" s="82"/>
      <c r="AD151" s="82"/>
      <c r="AE151" s="82">
        <v>1</v>
      </c>
      <c r="AF151" s="81">
        <v>1</v>
      </c>
      <c r="AG151" s="81">
        <v>1</v>
      </c>
      <c r="AH151" s="49">
        <v>0</v>
      </c>
      <c r="AI151" s="50">
        <v>0</v>
      </c>
      <c r="AJ151" s="49">
        <v>0</v>
      </c>
      <c r="AK151" s="50">
        <v>0</v>
      </c>
      <c r="AL151" s="49">
        <v>0</v>
      </c>
      <c r="AM151" s="50">
        <v>0</v>
      </c>
      <c r="AN151" s="49">
        <v>0</v>
      </c>
      <c r="AO151" s="50">
        <v>0</v>
      </c>
      <c r="AP151" s="49">
        <v>0</v>
      </c>
    </row>
    <row r="152" spans="1:42" ht="15">
      <c r="A152" s="66" t="s">
        <v>371</v>
      </c>
      <c r="B152" s="66" t="s">
        <v>636</v>
      </c>
      <c r="C152" s="67" t="s">
        <v>774</v>
      </c>
      <c r="D152" s="68">
        <v>3</v>
      </c>
      <c r="E152" s="69"/>
      <c r="F152" s="70">
        <v>40</v>
      </c>
      <c r="G152" s="67"/>
      <c r="H152" s="71"/>
      <c r="I152" s="72"/>
      <c r="J152" s="72"/>
      <c r="K152" s="35" t="s">
        <v>65</v>
      </c>
      <c r="L152" s="80">
        <v>152</v>
      </c>
      <c r="M152" s="80"/>
      <c r="N152" s="74"/>
      <c r="O152" s="82" t="s">
        <v>776</v>
      </c>
      <c r="P152" s="82" t="s">
        <v>197</v>
      </c>
      <c r="Q152" s="82" t="s">
        <v>922</v>
      </c>
      <c r="R152" s="82" t="s">
        <v>371</v>
      </c>
      <c r="S152" s="82" t="s">
        <v>1447</v>
      </c>
      <c r="T152" s="84" t="str">
        <f>HYPERLINK("http://www.youtube.com/channel/UCgPZLgMF17m2EMixxpvIauw")</f>
        <v>http://www.youtube.com/channel/UCgPZLgMF17m2EMixxpvIauw</v>
      </c>
      <c r="U152" s="82"/>
      <c r="V152" s="82" t="s">
        <v>1831</v>
      </c>
      <c r="W152" s="84" t="str">
        <f>HYPERLINK("https://www.youtube.com/watch?v=5QB8QAuirzA")</f>
        <v>https://www.youtube.com/watch?v=5QB8QAuirzA</v>
      </c>
      <c r="X152" s="82" t="s">
        <v>1857</v>
      </c>
      <c r="Y152" s="82">
        <v>0</v>
      </c>
      <c r="Z152" s="86">
        <v>45141.46607638889</v>
      </c>
      <c r="AA152" s="86">
        <v>45141.46607638889</v>
      </c>
      <c r="AB152" s="82"/>
      <c r="AC152" s="82"/>
      <c r="AD152" s="82"/>
      <c r="AE152" s="82">
        <v>1</v>
      </c>
      <c r="AF152" s="81">
        <v>1</v>
      </c>
      <c r="AG152" s="81">
        <v>1</v>
      </c>
      <c r="AH152" s="49">
        <v>0</v>
      </c>
      <c r="AI152" s="50">
        <v>0</v>
      </c>
      <c r="AJ152" s="49">
        <v>0</v>
      </c>
      <c r="AK152" s="50">
        <v>0</v>
      </c>
      <c r="AL152" s="49">
        <v>0</v>
      </c>
      <c r="AM152" s="50">
        <v>0</v>
      </c>
      <c r="AN152" s="49">
        <v>3</v>
      </c>
      <c r="AO152" s="110">
        <v>42.857142857142854</v>
      </c>
      <c r="AP152" s="49">
        <v>7</v>
      </c>
    </row>
    <row r="153" spans="1:42" ht="15">
      <c r="A153" s="66" t="s">
        <v>372</v>
      </c>
      <c r="B153" s="66" t="s">
        <v>636</v>
      </c>
      <c r="C153" s="67" t="s">
        <v>774</v>
      </c>
      <c r="D153" s="68">
        <v>3</v>
      </c>
      <c r="E153" s="69"/>
      <c r="F153" s="70">
        <v>40</v>
      </c>
      <c r="G153" s="67"/>
      <c r="H153" s="71"/>
      <c r="I153" s="72"/>
      <c r="J153" s="72"/>
      <c r="K153" s="35" t="s">
        <v>65</v>
      </c>
      <c r="L153" s="80">
        <v>153</v>
      </c>
      <c r="M153" s="80"/>
      <c r="N153" s="74"/>
      <c r="O153" s="82" t="s">
        <v>776</v>
      </c>
      <c r="P153" s="82" t="s">
        <v>197</v>
      </c>
      <c r="Q153" s="82" t="s">
        <v>923</v>
      </c>
      <c r="R153" s="82" t="s">
        <v>372</v>
      </c>
      <c r="S153" s="82" t="s">
        <v>1448</v>
      </c>
      <c r="T153" s="84" t="str">
        <f>HYPERLINK("http://www.youtube.com/channel/UCO_Z2uThY5eDomHQYaKnlLg")</f>
        <v>http://www.youtube.com/channel/UCO_Z2uThY5eDomHQYaKnlLg</v>
      </c>
      <c r="U153" s="82"/>
      <c r="V153" s="82" t="s">
        <v>1831</v>
      </c>
      <c r="W153" s="84" t="str">
        <f>HYPERLINK("https://www.youtube.com/watch?v=5QB8QAuirzA")</f>
        <v>https://www.youtube.com/watch?v=5QB8QAuirzA</v>
      </c>
      <c r="X153" s="82" t="s">
        <v>1857</v>
      </c>
      <c r="Y153" s="82">
        <v>0</v>
      </c>
      <c r="Z153" s="86">
        <v>45141.686423611114</v>
      </c>
      <c r="AA153" s="86">
        <v>45141.68680555555</v>
      </c>
      <c r="AB153" s="82"/>
      <c r="AC153" s="82"/>
      <c r="AD153" s="82"/>
      <c r="AE153" s="82">
        <v>1</v>
      </c>
      <c r="AF153" s="81">
        <v>1</v>
      </c>
      <c r="AG153" s="81">
        <v>1</v>
      </c>
      <c r="AH153" s="49">
        <v>4</v>
      </c>
      <c r="AI153" s="110">
        <v>13.793103448275861</v>
      </c>
      <c r="AJ153" s="49">
        <v>0</v>
      </c>
      <c r="AK153" s="50">
        <v>0</v>
      </c>
      <c r="AL153" s="49">
        <v>0</v>
      </c>
      <c r="AM153" s="50">
        <v>0</v>
      </c>
      <c r="AN153" s="49">
        <v>9</v>
      </c>
      <c r="AO153" s="110">
        <v>31.03448275862069</v>
      </c>
      <c r="AP153" s="49">
        <v>29</v>
      </c>
    </row>
    <row r="154" spans="1:42" ht="15">
      <c r="A154" s="66" t="s">
        <v>373</v>
      </c>
      <c r="B154" s="66" t="s">
        <v>636</v>
      </c>
      <c r="C154" s="67" t="s">
        <v>774</v>
      </c>
      <c r="D154" s="68">
        <v>3</v>
      </c>
      <c r="E154" s="69"/>
      <c r="F154" s="70">
        <v>40</v>
      </c>
      <c r="G154" s="67"/>
      <c r="H154" s="71"/>
      <c r="I154" s="72"/>
      <c r="J154" s="72"/>
      <c r="K154" s="35" t="s">
        <v>65</v>
      </c>
      <c r="L154" s="80">
        <v>154</v>
      </c>
      <c r="M154" s="80"/>
      <c r="N154" s="74"/>
      <c r="O154" s="82" t="s">
        <v>776</v>
      </c>
      <c r="P154" s="82" t="s">
        <v>197</v>
      </c>
      <c r="Q154" s="82" t="s">
        <v>924</v>
      </c>
      <c r="R154" s="82" t="s">
        <v>373</v>
      </c>
      <c r="S154" s="82" t="s">
        <v>1449</v>
      </c>
      <c r="T154" s="84" t="str">
        <f>HYPERLINK("http://www.youtube.com/channel/UCqPL7Y2nnJ4MrcdGQkYnwyg")</f>
        <v>http://www.youtube.com/channel/UCqPL7Y2nnJ4MrcdGQkYnwyg</v>
      </c>
      <c r="U154" s="82"/>
      <c r="V154" s="82" t="s">
        <v>1831</v>
      </c>
      <c r="W154" s="84" t="str">
        <f>HYPERLINK("https://www.youtube.com/watch?v=5QB8QAuirzA")</f>
        <v>https://www.youtube.com/watch?v=5QB8QAuirzA</v>
      </c>
      <c r="X154" s="82" t="s">
        <v>1857</v>
      </c>
      <c r="Y154" s="82">
        <v>0</v>
      </c>
      <c r="Z154" s="86">
        <v>45141.74594907407</v>
      </c>
      <c r="AA154" s="86">
        <v>45141.74594907407</v>
      </c>
      <c r="AB154" s="82"/>
      <c r="AC154" s="82"/>
      <c r="AD154" s="82"/>
      <c r="AE154" s="82">
        <v>1</v>
      </c>
      <c r="AF154" s="81">
        <v>1</v>
      </c>
      <c r="AG154" s="81">
        <v>1</v>
      </c>
      <c r="AH154" s="49">
        <v>0</v>
      </c>
      <c r="AI154" s="50">
        <v>0</v>
      </c>
      <c r="AJ154" s="49">
        <v>0</v>
      </c>
      <c r="AK154" s="50">
        <v>0</v>
      </c>
      <c r="AL154" s="49">
        <v>0</v>
      </c>
      <c r="AM154" s="50">
        <v>0</v>
      </c>
      <c r="AN154" s="49">
        <v>0</v>
      </c>
      <c r="AO154" s="50">
        <v>0</v>
      </c>
      <c r="AP154" s="49">
        <v>2</v>
      </c>
    </row>
    <row r="155" spans="1:42" ht="15">
      <c r="A155" s="66" t="s">
        <v>374</v>
      </c>
      <c r="B155" s="66" t="s">
        <v>636</v>
      </c>
      <c r="C155" s="67" t="s">
        <v>774</v>
      </c>
      <c r="D155" s="68">
        <v>3</v>
      </c>
      <c r="E155" s="69"/>
      <c r="F155" s="70">
        <v>40</v>
      </c>
      <c r="G155" s="67"/>
      <c r="H155" s="71"/>
      <c r="I155" s="72"/>
      <c r="J155" s="72"/>
      <c r="K155" s="35" t="s">
        <v>65</v>
      </c>
      <c r="L155" s="80">
        <v>155</v>
      </c>
      <c r="M155" s="80"/>
      <c r="N155" s="74"/>
      <c r="O155" s="82" t="s">
        <v>776</v>
      </c>
      <c r="P155" s="82" t="s">
        <v>197</v>
      </c>
      <c r="Q155" s="82" t="s">
        <v>925</v>
      </c>
      <c r="R155" s="82" t="s">
        <v>374</v>
      </c>
      <c r="S155" s="82" t="s">
        <v>1450</v>
      </c>
      <c r="T155" s="84" t="str">
        <f>HYPERLINK("http://www.youtube.com/channel/UC7vGnWM9TnJrokLW83MDbxw")</f>
        <v>http://www.youtube.com/channel/UC7vGnWM9TnJrokLW83MDbxw</v>
      </c>
      <c r="U155" s="82"/>
      <c r="V155" s="82" t="s">
        <v>1831</v>
      </c>
      <c r="W155" s="84" t="str">
        <f>HYPERLINK("https://www.youtube.com/watch?v=5QB8QAuirzA")</f>
        <v>https://www.youtube.com/watch?v=5QB8QAuirzA</v>
      </c>
      <c r="X155" s="82" t="s">
        <v>1857</v>
      </c>
      <c r="Y155" s="82">
        <v>0</v>
      </c>
      <c r="Z155" s="86">
        <v>45142.01181712963</v>
      </c>
      <c r="AA155" s="86">
        <v>45142.01181712963</v>
      </c>
      <c r="AB155" s="82"/>
      <c r="AC155" s="82"/>
      <c r="AD155" s="82"/>
      <c r="AE155" s="82">
        <v>1</v>
      </c>
      <c r="AF155" s="81">
        <v>1</v>
      </c>
      <c r="AG155" s="81">
        <v>1</v>
      </c>
      <c r="AH155" s="49">
        <v>0</v>
      </c>
      <c r="AI155" s="50">
        <v>0</v>
      </c>
      <c r="AJ155" s="49">
        <v>0</v>
      </c>
      <c r="AK155" s="50">
        <v>0</v>
      </c>
      <c r="AL155" s="49">
        <v>0</v>
      </c>
      <c r="AM155" s="50">
        <v>0</v>
      </c>
      <c r="AN155" s="49">
        <v>4</v>
      </c>
      <c r="AO155" s="110">
        <v>57.142857142857146</v>
      </c>
      <c r="AP155" s="49">
        <v>7</v>
      </c>
    </row>
    <row r="156" spans="1:42" ht="15">
      <c r="A156" s="66" t="s">
        <v>375</v>
      </c>
      <c r="B156" s="66" t="s">
        <v>636</v>
      </c>
      <c r="C156" s="67" t="s">
        <v>774</v>
      </c>
      <c r="D156" s="68">
        <v>3</v>
      </c>
      <c r="E156" s="69"/>
      <c r="F156" s="70">
        <v>40</v>
      </c>
      <c r="G156" s="67"/>
      <c r="H156" s="71"/>
      <c r="I156" s="72"/>
      <c r="J156" s="72"/>
      <c r="K156" s="35" t="s">
        <v>65</v>
      </c>
      <c r="L156" s="80">
        <v>156</v>
      </c>
      <c r="M156" s="80"/>
      <c r="N156" s="74"/>
      <c r="O156" s="82" t="s">
        <v>776</v>
      </c>
      <c r="P156" s="82" t="s">
        <v>197</v>
      </c>
      <c r="Q156" s="82" t="s">
        <v>926</v>
      </c>
      <c r="R156" s="82" t="s">
        <v>375</v>
      </c>
      <c r="S156" s="82" t="s">
        <v>1451</v>
      </c>
      <c r="T156" s="84" t="str">
        <f>HYPERLINK("http://www.youtube.com/channel/UCQusr7dSvxEQ-eJWGoHfWzw")</f>
        <v>http://www.youtube.com/channel/UCQusr7dSvxEQ-eJWGoHfWzw</v>
      </c>
      <c r="U156" s="82"/>
      <c r="V156" s="82" t="s">
        <v>1831</v>
      </c>
      <c r="W156" s="84" t="str">
        <f>HYPERLINK("https://www.youtube.com/watch?v=5QB8QAuirzA")</f>
        <v>https://www.youtube.com/watch?v=5QB8QAuirzA</v>
      </c>
      <c r="X156" s="82" t="s">
        <v>1857</v>
      </c>
      <c r="Y156" s="82">
        <v>0</v>
      </c>
      <c r="Z156" s="86">
        <v>45142.04891203704</v>
      </c>
      <c r="AA156" s="86">
        <v>45142.04891203704</v>
      </c>
      <c r="AB156" s="82"/>
      <c r="AC156" s="82"/>
      <c r="AD156" s="82"/>
      <c r="AE156" s="82">
        <v>1</v>
      </c>
      <c r="AF156" s="81">
        <v>1</v>
      </c>
      <c r="AG156" s="81">
        <v>1</v>
      </c>
      <c r="AH156" s="49">
        <v>0</v>
      </c>
      <c r="AI156" s="50">
        <v>0</v>
      </c>
      <c r="AJ156" s="49">
        <v>1</v>
      </c>
      <c r="AK156" s="110">
        <v>14.285714285714286</v>
      </c>
      <c r="AL156" s="49">
        <v>0</v>
      </c>
      <c r="AM156" s="50">
        <v>0</v>
      </c>
      <c r="AN156" s="49">
        <v>1</v>
      </c>
      <c r="AO156" s="110">
        <v>14.285714285714286</v>
      </c>
      <c r="AP156" s="49">
        <v>7</v>
      </c>
    </row>
    <row r="157" spans="1:42" ht="15">
      <c r="A157" s="66" t="s">
        <v>376</v>
      </c>
      <c r="B157" s="66" t="s">
        <v>636</v>
      </c>
      <c r="C157" s="67" t="s">
        <v>774</v>
      </c>
      <c r="D157" s="68">
        <v>3</v>
      </c>
      <c r="E157" s="69"/>
      <c r="F157" s="70">
        <v>40</v>
      </c>
      <c r="G157" s="67"/>
      <c r="H157" s="71"/>
      <c r="I157" s="72"/>
      <c r="J157" s="72"/>
      <c r="K157" s="35" t="s">
        <v>65</v>
      </c>
      <c r="L157" s="80">
        <v>157</v>
      </c>
      <c r="M157" s="80"/>
      <c r="N157" s="74"/>
      <c r="O157" s="82" t="s">
        <v>776</v>
      </c>
      <c r="P157" s="82" t="s">
        <v>197</v>
      </c>
      <c r="Q157" s="82" t="s">
        <v>927</v>
      </c>
      <c r="R157" s="82" t="s">
        <v>376</v>
      </c>
      <c r="S157" s="82" t="s">
        <v>1452</v>
      </c>
      <c r="T157" s="84" t="str">
        <f>HYPERLINK("http://www.youtube.com/channel/UCqctMP95IF6BnFrmTi59zbg")</f>
        <v>http://www.youtube.com/channel/UCqctMP95IF6BnFrmTi59zbg</v>
      </c>
      <c r="U157" s="82"/>
      <c r="V157" s="82" t="s">
        <v>1831</v>
      </c>
      <c r="W157" s="84" t="str">
        <f>HYPERLINK("https://www.youtube.com/watch?v=5QB8QAuirzA")</f>
        <v>https://www.youtube.com/watch?v=5QB8QAuirzA</v>
      </c>
      <c r="X157" s="82" t="s">
        <v>1857</v>
      </c>
      <c r="Y157" s="82">
        <v>0</v>
      </c>
      <c r="Z157" s="86">
        <v>45142.11775462963</v>
      </c>
      <c r="AA157" s="86">
        <v>45142.11775462963</v>
      </c>
      <c r="AB157" s="82"/>
      <c r="AC157" s="82"/>
      <c r="AD157" s="82"/>
      <c r="AE157" s="82">
        <v>1</v>
      </c>
      <c r="AF157" s="81">
        <v>1</v>
      </c>
      <c r="AG157" s="81">
        <v>1</v>
      </c>
      <c r="AH157" s="49">
        <v>0</v>
      </c>
      <c r="AI157" s="50">
        <v>0</v>
      </c>
      <c r="AJ157" s="49">
        <v>0</v>
      </c>
      <c r="AK157" s="50">
        <v>0</v>
      </c>
      <c r="AL157" s="49">
        <v>0</v>
      </c>
      <c r="AM157" s="50">
        <v>0</v>
      </c>
      <c r="AN157" s="49">
        <v>10</v>
      </c>
      <c r="AO157" s="110">
        <v>47.61904761904762</v>
      </c>
      <c r="AP157" s="49">
        <v>21</v>
      </c>
    </row>
    <row r="158" spans="1:42" ht="15">
      <c r="A158" s="66" t="s">
        <v>377</v>
      </c>
      <c r="B158" s="66" t="s">
        <v>636</v>
      </c>
      <c r="C158" s="67" t="s">
        <v>774</v>
      </c>
      <c r="D158" s="68">
        <v>3</v>
      </c>
      <c r="E158" s="69"/>
      <c r="F158" s="70">
        <v>40</v>
      </c>
      <c r="G158" s="67"/>
      <c r="H158" s="71"/>
      <c r="I158" s="72"/>
      <c r="J158" s="72"/>
      <c r="K158" s="35" t="s">
        <v>65</v>
      </c>
      <c r="L158" s="80">
        <v>158</v>
      </c>
      <c r="M158" s="80"/>
      <c r="N158" s="74"/>
      <c r="O158" s="82" t="s">
        <v>776</v>
      </c>
      <c r="P158" s="82" t="s">
        <v>197</v>
      </c>
      <c r="Q158" s="82" t="s">
        <v>928</v>
      </c>
      <c r="R158" s="82" t="s">
        <v>377</v>
      </c>
      <c r="S158" s="82" t="s">
        <v>1453</v>
      </c>
      <c r="T158" s="84" t="str">
        <f>HYPERLINK("http://www.youtube.com/channel/UC3IhQUhOyaUuWDCKyxUwx_g")</f>
        <v>http://www.youtube.com/channel/UC3IhQUhOyaUuWDCKyxUwx_g</v>
      </c>
      <c r="U158" s="82"/>
      <c r="V158" s="82" t="s">
        <v>1831</v>
      </c>
      <c r="W158" s="84" t="str">
        <f>HYPERLINK("https://www.youtube.com/watch?v=5QB8QAuirzA")</f>
        <v>https://www.youtube.com/watch?v=5QB8QAuirzA</v>
      </c>
      <c r="X158" s="82" t="s">
        <v>1857</v>
      </c>
      <c r="Y158" s="82">
        <v>1</v>
      </c>
      <c r="Z158" s="86">
        <v>45142.20792824074</v>
      </c>
      <c r="AA158" s="86">
        <v>45142.20792824074</v>
      </c>
      <c r="AB158" s="82"/>
      <c r="AC158" s="82"/>
      <c r="AD158" s="82"/>
      <c r="AE158" s="82">
        <v>1</v>
      </c>
      <c r="AF158" s="81">
        <v>1</v>
      </c>
      <c r="AG158" s="81">
        <v>1</v>
      </c>
      <c r="AH158" s="49">
        <v>0</v>
      </c>
      <c r="AI158" s="50">
        <v>0</v>
      </c>
      <c r="AJ158" s="49">
        <v>1</v>
      </c>
      <c r="AK158" s="50">
        <v>100</v>
      </c>
      <c r="AL158" s="49">
        <v>0</v>
      </c>
      <c r="AM158" s="50">
        <v>0</v>
      </c>
      <c r="AN158" s="49">
        <v>0</v>
      </c>
      <c r="AO158" s="50">
        <v>0</v>
      </c>
      <c r="AP158" s="49">
        <v>1</v>
      </c>
    </row>
    <row r="159" spans="1:42" ht="15">
      <c r="A159" s="66" t="s">
        <v>378</v>
      </c>
      <c r="B159" s="66" t="s">
        <v>636</v>
      </c>
      <c r="C159" s="67" t="s">
        <v>774</v>
      </c>
      <c r="D159" s="68">
        <v>3</v>
      </c>
      <c r="E159" s="69"/>
      <c r="F159" s="70">
        <v>40</v>
      </c>
      <c r="G159" s="67"/>
      <c r="H159" s="71"/>
      <c r="I159" s="72"/>
      <c r="J159" s="72"/>
      <c r="K159" s="35" t="s">
        <v>65</v>
      </c>
      <c r="L159" s="80">
        <v>159</v>
      </c>
      <c r="M159" s="80"/>
      <c r="N159" s="74"/>
      <c r="O159" s="82" t="s">
        <v>776</v>
      </c>
      <c r="P159" s="82" t="s">
        <v>197</v>
      </c>
      <c r="Q159" s="82" t="s">
        <v>929</v>
      </c>
      <c r="R159" s="82" t="s">
        <v>378</v>
      </c>
      <c r="S159" s="82" t="s">
        <v>1454</v>
      </c>
      <c r="T159" s="84" t="str">
        <f>HYPERLINK("http://www.youtube.com/channel/UCGAiQI34dRDqRHWzT563gQQ")</f>
        <v>http://www.youtube.com/channel/UCGAiQI34dRDqRHWzT563gQQ</v>
      </c>
      <c r="U159" s="82"/>
      <c r="V159" s="82" t="s">
        <v>1831</v>
      </c>
      <c r="W159" s="84" t="str">
        <f>HYPERLINK("https://www.youtube.com/watch?v=5QB8QAuirzA")</f>
        <v>https://www.youtube.com/watch?v=5QB8QAuirzA</v>
      </c>
      <c r="X159" s="82" t="s">
        <v>1857</v>
      </c>
      <c r="Y159" s="82">
        <v>0</v>
      </c>
      <c r="Z159" s="86">
        <v>45142.248703703706</v>
      </c>
      <c r="AA159" s="86">
        <v>45142.248703703706</v>
      </c>
      <c r="AB159" s="82"/>
      <c r="AC159" s="82"/>
      <c r="AD159" s="82"/>
      <c r="AE159" s="82">
        <v>1</v>
      </c>
      <c r="AF159" s="81">
        <v>1</v>
      </c>
      <c r="AG159" s="81">
        <v>1</v>
      </c>
      <c r="AH159" s="49">
        <v>0</v>
      </c>
      <c r="AI159" s="50">
        <v>0</v>
      </c>
      <c r="AJ159" s="49">
        <v>0</v>
      </c>
      <c r="AK159" s="50">
        <v>0</v>
      </c>
      <c r="AL159" s="49">
        <v>0</v>
      </c>
      <c r="AM159" s="50">
        <v>0</v>
      </c>
      <c r="AN159" s="49">
        <v>8</v>
      </c>
      <c r="AO159" s="50">
        <v>100</v>
      </c>
      <c r="AP159" s="49">
        <v>8</v>
      </c>
    </row>
    <row r="160" spans="1:42" ht="15">
      <c r="A160" s="66" t="s">
        <v>379</v>
      </c>
      <c r="B160" s="66" t="s">
        <v>636</v>
      </c>
      <c r="C160" s="67" t="s">
        <v>774</v>
      </c>
      <c r="D160" s="68">
        <v>3</v>
      </c>
      <c r="E160" s="69"/>
      <c r="F160" s="70">
        <v>40</v>
      </c>
      <c r="G160" s="67"/>
      <c r="H160" s="71"/>
      <c r="I160" s="72"/>
      <c r="J160" s="72"/>
      <c r="K160" s="35" t="s">
        <v>65</v>
      </c>
      <c r="L160" s="80">
        <v>160</v>
      </c>
      <c r="M160" s="80"/>
      <c r="N160" s="74"/>
      <c r="O160" s="82" t="s">
        <v>776</v>
      </c>
      <c r="P160" s="82" t="s">
        <v>197</v>
      </c>
      <c r="Q160" s="82" t="s">
        <v>930</v>
      </c>
      <c r="R160" s="82" t="s">
        <v>379</v>
      </c>
      <c r="S160" s="82" t="s">
        <v>1455</v>
      </c>
      <c r="T160" s="84" t="str">
        <f>HYPERLINK("http://www.youtube.com/channel/UCd84Cl8Z8dxhXKRX9ceOhKQ")</f>
        <v>http://www.youtube.com/channel/UCd84Cl8Z8dxhXKRX9ceOhKQ</v>
      </c>
      <c r="U160" s="82"/>
      <c r="V160" s="82" t="s">
        <v>1831</v>
      </c>
      <c r="W160" s="84" t="str">
        <f>HYPERLINK("https://www.youtube.com/watch?v=5QB8QAuirzA")</f>
        <v>https://www.youtube.com/watch?v=5QB8QAuirzA</v>
      </c>
      <c r="X160" s="82" t="s">
        <v>1857</v>
      </c>
      <c r="Y160" s="82">
        <v>1</v>
      </c>
      <c r="Z160" s="86">
        <v>45142.26511574074</v>
      </c>
      <c r="AA160" s="86">
        <v>45142.26511574074</v>
      </c>
      <c r="AB160" s="82"/>
      <c r="AC160" s="82"/>
      <c r="AD160" s="82"/>
      <c r="AE160" s="82">
        <v>1</v>
      </c>
      <c r="AF160" s="81">
        <v>1</v>
      </c>
      <c r="AG160" s="81">
        <v>1</v>
      </c>
      <c r="AH160" s="49">
        <v>0</v>
      </c>
      <c r="AI160" s="50">
        <v>0</v>
      </c>
      <c r="AJ160" s="49">
        <v>1</v>
      </c>
      <c r="AK160" s="110">
        <v>2.3255813953488373</v>
      </c>
      <c r="AL160" s="49">
        <v>0</v>
      </c>
      <c r="AM160" s="50">
        <v>0</v>
      </c>
      <c r="AN160" s="49">
        <v>16</v>
      </c>
      <c r="AO160" s="110">
        <v>37.2093023255814</v>
      </c>
      <c r="AP160" s="49">
        <v>43</v>
      </c>
    </row>
    <row r="161" spans="1:42" ht="15">
      <c r="A161" s="66" t="s">
        <v>380</v>
      </c>
      <c r="B161" s="66" t="s">
        <v>636</v>
      </c>
      <c r="C161" s="67" t="s">
        <v>774</v>
      </c>
      <c r="D161" s="68">
        <v>3</v>
      </c>
      <c r="E161" s="69"/>
      <c r="F161" s="70">
        <v>40</v>
      </c>
      <c r="G161" s="67"/>
      <c r="H161" s="71"/>
      <c r="I161" s="72"/>
      <c r="J161" s="72"/>
      <c r="K161" s="35" t="s">
        <v>65</v>
      </c>
      <c r="L161" s="80">
        <v>161</v>
      </c>
      <c r="M161" s="80"/>
      <c r="N161" s="74"/>
      <c r="O161" s="82" t="s">
        <v>776</v>
      </c>
      <c r="P161" s="82" t="s">
        <v>197</v>
      </c>
      <c r="Q161" s="82" t="s">
        <v>931</v>
      </c>
      <c r="R161" s="82" t="s">
        <v>380</v>
      </c>
      <c r="S161" s="82" t="s">
        <v>1456</v>
      </c>
      <c r="T161" s="84" t="str">
        <f>HYPERLINK("http://www.youtube.com/channel/UCrANgyLqYRfPbry0DiDoTxg")</f>
        <v>http://www.youtube.com/channel/UCrANgyLqYRfPbry0DiDoTxg</v>
      </c>
      <c r="U161" s="82"/>
      <c r="V161" s="82" t="s">
        <v>1831</v>
      </c>
      <c r="W161" s="84" t="str">
        <f>HYPERLINK("https://www.youtube.com/watch?v=5QB8QAuirzA")</f>
        <v>https://www.youtube.com/watch?v=5QB8QAuirzA</v>
      </c>
      <c r="X161" s="82" t="s">
        <v>1857</v>
      </c>
      <c r="Y161" s="82">
        <v>0</v>
      </c>
      <c r="Z161" s="86">
        <v>45142.45240740741</v>
      </c>
      <c r="AA161" s="86">
        <v>45142.45240740741</v>
      </c>
      <c r="AB161" s="82"/>
      <c r="AC161" s="82"/>
      <c r="AD161" s="82"/>
      <c r="AE161" s="82">
        <v>1</v>
      </c>
      <c r="AF161" s="81">
        <v>1</v>
      </c>
      <c r="AG161" s="81">
        <v>1</v>
      </c>
      <c r="AH161" s="49">
        <v>1</v>
      </c>
      <c r="AI161" s="110">
        <v>4.3478260869565215</v>
      </c>
      <c r="AJ161" s="49">
        <v>1</v>
      </c>
      <c r="AK161" s="110">
        <v>4.3478260869565215</v>
      </c>
      <c r="AL161" s="49">
        <v>0</v>
      </c>
      <c r="AM161" s="50">
        <v>0</v>
      </c>
      <c r="AN161" s="49">
        <v>4</v>
      </c>
      <c r="AO161" s="110">
        <v>17.391304347826086</v>
      </c>
      <c r="AP161" s="49">
        <v>23</v>
      </c>
    </row>
    <row r="162" spans="1:42" ht="15">
      <c r="A162" s="66" t="s">
        <v>381</v>
      </c>
      <c r="B162" s="66" t="s">
        <v>636</v>
      </c>
      <c r="C162" s="67" t="s">
        <v>774</v>
      </c>
      <c r="D162" s="68">
        <v>3</v>
      </c>
      <c r="E162" s="69"/>
      <c r="F162" s="70">
        <v>40</v>
      </c>
      <c r="G162" s="67"/>
      <c r="H162" s="71"/>
      <c r="I162" s="72"/>
      <c r="J162" s="72"/>
      <c r="K162" s="35" t="s">
        <v>65</v>
      </c>
      <c r="L162" s="80">
        <v>162</v>
      </c>
      <c r="M162" s="80"/>
      <c r="N162" s="74"/>
      <c r="O162" s="82" t="s">
        <v>776</v>
      </c>
      <c r="P162" s="82" t="s">
        <v>197</v>
      </c>
      <c r="Q162" s="82" t="s">
        <v>932</v>
      </c>
      <c r="R162" s="82" t="s">
        <v>381</v>
      </c>
      <c r="S162" s="82" t="s">
        <v>1457</v>
      </c>
      <c r="T162" s="84" t="str">
        <f>HYPERLINK("http://www.youtube.com/channel/UCNBo-bOgof5vo_OkK-LHaIg")</f>
        <v>http://www.youtube.com/channel/UCNBo-bOgof5vo_OkK-LHaIg</v>
      </c>
      <c r="U162" s="82"/>
      <c r="V162" s="82" t="s">
        <v>1831</v>
      </c>
      <c r="W162" s="84" t="str">
        <f>HYPERLINK("https://www.youtube.com/watch?v=5QB8QAuirzA")</f>
        <v>https://www.youtube.com/watch?v=5QB8QAuirzA</v>
      </c>
      <c r="X162" s="82" t="s">
        <v>1857</v>
      </c>
      <c r="Y162" s="82">
        <v>0</v>
      </c>
      <c r="Z162" s="86">
        <v>45142.61512731481</v>
      </c>
      <c r="AA162" s="86">
        <v>45142.61512731481</v>
      </c>
      <c r="AB162" s="82"/>
      <c r="AC162" s="82"/>
      <c r="AD162" s="82"/>
      <c r="AE162" s="82">
        <v>1</v>
      </c>
      <c r="AF162" s="81">
        <v>1</v>
      </c>
      <c r="AG162" s="81">
        <v>1</v>
      </c>
      <c r="AH162" s="49">
        <v>0</v>
      </c>
      <c r="AI162" s="50">
        <v>0</v>
      </c>
      <c r="AJ162" s="49">
        <v>1</v>
      </c>
      <c r="AK162" s="110">
        <v>7.142857142857143</v>
      </c>
      <c r="AL162" s="49">
        <v>0</v>
      </c>
      <c r="AM162" s="50">
        <v>0</v>
      </c>
      <c r="AN162" s="49">
        <v>4</v>
      </c>
      <c r="AO162" s="110">
        <v>28.571428571428573</v>
      </c>
      <c r="AP162" s="49">
        <v>14</v>
      </c>
    </row>
    <row r="163" spans="1:42" ht="15">
      <c r="A163" s="66" t="s">
        <v>382</v>
      </c>
      <c r="B163" s="66" t="s">
        <v>636</v>
      </c>
      <c r="C163" s="67" t="s">
        <v>774</v>
      </c>
      <c r="D163" s="68">
        <v>3</v>
      </c>
      <c r="E163" s="69"/>
      <c r="F163" s="70">
        <v>40</v>
      </c>
      <c r="G163" s="67"/>
      <c r="H163" s="71"/>
      <c r="I163" s="72"/>
      <c r="J163" s="72"/>
      <c r="K163" s="35" t="s">
        <v>65</v>
      </c>
      <c r="L163" s="80">
        <v>163</v>
      </c>
      <c r="M163" s="80"/>
      <c r="N163" s="74"/>
      <c r="O163" s="82" t="s">
        <v>776</v>
      </c>
      <c r="P163" s="82" t="s">
        <v>197</v>
      </c>
      <c r="Q163" s="82" t="s">
        <v>933</v>
      </c>
      <c r="R163" s="82" t="s">
        <v>382</v>
      </c>
      <c r="S163" s="82" t="s">
        <v>1458</v>
      </c>
      <c r="T163" s="84" t="str">
        <f>HYPERLINK("http://www.youtube.com/channel/UCX-Url-9n7mDN88jekr09fA")</f>
        <v>http://www.youtube.com/channel/UCX-Url-9n7mDN88jekr09fA</v>
      </c>
      <c r="U163" s="82"/>
      <c r="V163" s="82" t="s">
        <v>1831</v>
      </c>
      <c r="W163" s="84" t="str">
        <f>HYPERLINK("https://www.youtube.com/watch?v=5QB8QAuirzA")</f>
        <v>https://www.youtube.com/watch?v=5QB8QAuirzA</v>
      </c>
      <c r="X163" s="82" t="s">
        <v>1857</v>
      </c>
      <c r="Y163" s="82">
        <v>0</v>
      </c>
      <c r="Z163" s="86">
        <v>45143.08677083333</v>
      </c>
      <c r="AA163" s="86">
        <v>45143.08677083333</v>
      </c>
      <c r="AB163" s="82"/>
      <c r="AC163" s="82"/>
      <c r="AD163" s="82"/>
      <c r="AE163" s="82">
        <v>1</v>
      </c>
      <c r="AF163" s="81">
        <v>1</v>
      </c>
      <c r="AG163" s="81">
        <v>1</v>
      </c>
      <c r="AH163" s="49">
        <v>0</v>
      </c>
      <c r="AI163" s="50">
        <v>0</v>
      </c>
      <c r="AJ163" s="49">
        <v>0</v>
      </c>
      <c r="AK163" s="50">
        <v>0</v>
      </c>
      <c r="AL163" s="49">
        <v>0</v>
      </c>
      <c r="AM163" s="50">
        <v>0</v>
      </c>
      <c r="AN163" s="49">
        <v>4</v>
      </c>
      <c r="AO163" s="50">
        <v>50</v>
      </c>
      <c r="AP163" s="49">
        <v>8</v>
      </c>
    </row>
    <row r="164" spans="1:42" ht="15">
      <c r="A164" s="66" t="s">
        <v>383</v>
      </c>
      <c r="B164" s="66" t="s">
        <v>636</v>
      </c>
      <c r="C164" s="67" t="s">
        <v>774</v>
      </c>
      <c r="D164" s="68">
        <v>3</v>
      </c>
      <c r="E164" s="69"/>
      <c r="F164" s="70">
        <v>40</v>
      </c>
      <c r="G164" s="67"/>
      <c r="H164" s="71"/>
      <c r="I164" s="72"/>
      <c r="J164" s="72"/>
      <c r="K164" s="35" t="s">
        <v>65</v>
      </c>
      <c r="L164" s="80">
        <v>164</v>
      </c>
      <c r="M164" s="80"/>
      <c r="N164" s="74"/>
      <c r="O164" s="82" t="s">
        <v>776</v>
      </c>
      <c r="P164" s="82" t="s">
        <v>197</v>
      </c>
      <c r="Q164" s="82" t="s">
        <v>934</v>
      </c>
      <c r="R164" s="82" t="s">
        <v>383</v>
      </c>
      <c r="S164" s="82" t="s">
        <v>1459</v>
      </c>
      <c r="T164" s="84" t="str">
        <f>HYPERLINK("http://www.youtube.com/channel/UCh0Zo4MPNjxmXXbb814456Q")</f>
        <v>http://www.youtube.com/channel/UCh0Zo4MPNjxmXXbb814456Q</v>
      </c>
      <c r="U164" s="82"/>
      <c r="V164" s="82" t="s">
        <v>1831</v>
      </c>
      <c r="W164" s="84" t="str">
        <f>HYPERLINK("https://www.youtube.com/watch?v=5QB8QAuirzA")</f>
        <v>https://www.youtube.com/watch?v=5QB8QAuirzA</v>
      </c>
      <c r="X164" s="82" t="s">
        <v>1857</v>
      </c>
      <c r="Y164" s="82">
        <v>0</v>
      </c>
      <c r="Z164" s="86">
        <v>45143.12421296296</v>
      </c>
      <c r="AA164" s="86">
        <v>45143.12421296296</v>
      </c>
      <c r="AB164" s="82"/>
      <c r="AC164" s="82"/>
      <c r="AD164" s="82"/>
      <c r="AE164" s="82">
        <v>1</v>
      </c>
      <c r="AF164" s="81">
        <v>1</v>
      </c>
      <c r="AG164" s="81">
        <v>1</v>
      </c>
      <c r="AH164" s="49">
        <v>0</v>
      </c>
      <c r="AI164" s="50">
        <v>0</v>
      </c>
      <c r="AJ164" s="49">
        <v>1</v>
      </c>
      <c r="AK164" s="50">
        <v>6.25</v>
      </c>
      <c r="AL164" s="49">
        <v>0</v>
      </c>
      <c r="AM164" s="50">
        <v>0</v>
      </c>
      <c r="AN164" s="49">
        <v>7</v>
      </c>
      <c r="AO164" s="50">
        <v>43.75</v>
      </c>
      <c r="AP164" s="49">
        <v>16</v>
      </c>
    </row>
    <row r="165" spans="1:42" ht="15">
      <c r="A165" s="66" t="s">
        <v>384</v>
      </c>
      <c r="B165" s="66" t="s">
        <v>636</v>
      </c>
      <c r="C165" s="67" t="s">
        <v>774</v>
      </c>
      <c r="D165" s="68">
        <v>3</v>
      </c>
      <c r="E165" s="69"/>
      <c r="F165" s="70">
        <v>40</v>
      </c>
      <c r="G165" s="67"/>
      <c r="H165" s="71"/>
      <c r="I165" s="72"/>
      <c r="J165" s="72"/>
      <c r="K165" s="35" t="s">
        <v>65</v>
      </c>
      <c r="L165" s="80">
        <v>165</v>
      </c>
      <c r="M165" s="80"/>
      <c r="N165" s="74"/>
      <c r="O165" s="82" t="s">
        <v>776</v>
      </c>
      <c r="P165" s="82" t="s">
        <v>197</v>
      </c>
      <c r="Q165" s="82" t="s">
        <v>935</v>
      </c>
      <c r="R165" s="82" t="s">
        <v>384</v>
      </c>
      <c r="S165" s="82" t="s">
        <v>1460</v>
      </c>
      <c r="T165" s="84" t="str">
        <f>HYPERLINK("http://www.youtube.com/channel/UCgQHGo1Zo4xg1mgIVgGGsvQ")</f>
        <v>http://www.youtube.com/channel/UCgQHGo1Zo4xg1mgIVgGGsvQ</v>
      </c>
      <c r="U165" s="82"/>
      <c r="V165" s="82" t="s">
        <v>1831</v>
      </c>
      <c r="W165" s="84" t="str">
        <f>HYPERLINK("https://www.youtube.com/watch?v=5QB8QAuirzA")</f>
        <v>https://www.youtube.com/watch?v=5QB8QAuirzA</v>
      </c>
      <c r="X165" s="82" t="s">
        <v>1857</v>
      </c>
      <c r="Y165" s="82">
        <v>0</v>
      </c>
      <c r="Z165" s="86">
        <v>45143.13238425926</v>
      </c>
      <c r="AA165" s="86">
        <v>45143.13238425926</v>
      </c>
      <c r="AB165" s="82"/>
      <c r="AC165" s="82"/>
      <c r="AD165" s="82"/>
      <c r="AE165" s="82">
        <v>1</v>
      </c>
      <c r="AF165" s="81">
        <v>1</v>
      </c>
      <c r="AG165" s="81">
        <v>1</v>
      </c>
      <c r="AH165" s="49">
        <v>0</v>
      </c>
      <c r="AI165" s="50">
        <v>0</v>
      </c>
      <c r="AJ165" s="49">
        <v>1</v>
      </c>
      <c r="AK165" s="110">
        <v>4.761904761904762</v>
      </c>
      <c r="AL165" s="49">
        <v>0</v>
      </c>
      <c r="AM165" s="50">
        <v>0</v>
      </c>
      <c r="AN165" s="49">
        <v>8</v>
      </c>
      <c r="AO165" s="110">
        <v>38.095238095238095</v>
      </c>
      <c r="AP165" s="49">
        <v>21</v>
      </c>
    </row>
    <row r="166" spans="1:42" ht="15">
      <c r="A166" s="66" t="s">
        <v>385</v>
      </c>
      <c r="B166" s="66" t="s">
        <v>636</v>
      </c>
      <c r="C166" s="67" t="s">
        <v>774</v>
      </c>
      <c r="D166" s="68">
        <v>3</v>
      </c>
      <c r="E166" s="69"/>
      <c r="F166" s="70">
        <v>40</v>
      </c>
      <c r="G166" s="67"/>
      <c r="H166" s="71"/>
      <c r="I166" s="72"/>
      <c r="J166" s="72"/>
      <c r="K166" s="35" t="s">
        <v>65</v>
      </c>
      <c r="L166" s="80">
        <v>166</v>
      </c>
      <c r="M166" s="80"/>
      <c r="N166" s="74"/>
      <c r="O166" s="82" t="s">
        <v>776</v>
      </c>
      <c r="P166" s="82" t="s">
        <v>197</v>
      </c>
      <c r="Q166" s="82" t="s">
        <v>936</v>
      </c>
      <c r="R166" s="82" t="s">
        <v>385</v>
      </c>
      <c r="S166" s="82" t="s">
        <v>1461</v>
      </c>
      <c r="T166" s="84" t="str">
        <f>HYPERLINK("http://www.youtube.com/channel/UCnpwxRBx5BKt4muZnjrwMog")</f>
        <v>http://www.youtube.com/channel/UCnpwxRBx5BKt4muZnjrwMog</v>
      </c>
      <c r="U166" s="82"/>
      <c r="V166" s="82" t="s">
        <v>1831</v>
      </c>
      <c r="W166" s="84" t="str">
        <f>HYPERLINK("https://www.youtube.com/watch?v=5QB8QAuirzA")</f>
        <v>https://www.youtube.com/watch?v=5QB8QAuirzA</v>
      </c>
      <c r="X166" s="82" t="s">
        <v>1857</v>
      </c>
      <c r="Y166" s="82">
        <v>0</v>
      </c>
      <c r="Z166" s="86">
        <v>45143.333125</v>
      </c>
      <c r="AA166" s="86">
        <v>45143.333125</v>
      </c>
      <c r="AB166" s="82"/>
      <c r="AC166" s="82"/>
      <c r="AD166" s="82"/>
      <c r="AE166" s="82">
        <v>1</v>
      </c>
      <c r="AF166" s="81">
        <v>1</v>
      </c>
      <c r="AG166" s="81">
        <v>1</v>
      </c>
      <c r="AH166" s="49">
        <v>0</v>
      </c>
      <c r="AI166" s="50">
        <v>0</v>
      </c>
      <c r="AJ166" s="49">
        <v>1</v>
      </c>
      <c r="AK166" s="50">
        <v>100</v>
      </c>
      <c r="AL166" s="49">
        <v>0</v>
      </c>
      <c r="AM166" s="50">
        <v>0</v>
      </c>
      <c r="AN166" s="49">
        <v>0</v>
      </c>
      <c r="AO166" s="50">
        <v>0</v>
      </c>
      <c r="AP166" s="49">
        <v>1</v>
      </c>
    </row>
    <row r="167" spans="1:42" ht="15">
      <c r="A167" s="66" t="s">
        <v>386</v>
      </c>
      <c r="B167" s="66" t="s">
        <v>636</v>
      </c>
      <c r="C167" s="67" t="s">
        <v>774</v>
      </c>
      <c r="D167" s="68">
        <v>3</v>
      </c>
      <c r="E167" s="69"/>
      <c r="F167" s="70">
        <v>40</v>
      </c>
      <c r="G167" s="67"/>
      <c r="H167" s="71"/>
      <c r="I167" s="72"/>
      <c r="J167" s="72"/>
      <c r="K167" s="35" t="s">
        <v>65</v>
      </c>
      <c r="L167" s="80">
        <v>167</v>
      </c>
      <c r="M167" s="80"/>
      <c r="N167" s="74"/>
      <c r="O167" s="82" t="s">
        <v>776</v>
      </c>
      <c r="P167" s="82" t="s">
        <v>197</v>
      </c>
      <c r="Q167" s="82" t="s">
        <v>937</v>
      </c>
      <c r="R167" s="82" t="s">
        <v>386</v>
      </c>
      <c r="S167" s="82" t="s">
        <v>1462</v>
      </c>
      <c r="T167" s="84" t="str">
        <f>HYPERLINK("http://www.youtube.com/channel/UCtLK8wzFh8TDysoKsS4S03w")</f>
        <v>http://www.youtube.com/channel/UCtLK8wzFh8TDysoKsS4S03w</v>
      </c>
      <c r="U167" s="82"/>
      <c r="V167" s="82" t="s">
        <v>1831</v>
      </c>
      <c r="W167" s="84" t="str">
        <f>HYPERLINK("https://www.youtube.com/watch?v=5QB8QAuirzA")</f>
        <v>https://www.youtube.com/watch?v=5QB8QAuirzA</v>
      </c>
      <c r="X167" s="82" t="s">
        <v>1857</v>
      </c>
      <c r="Y167" s="82">
        <v>1</v>
      </c>
      <c r="Z167" s="86">
        <v>45143.6772337963</v>
      </c>
      <c r="AA167" s="86">
        <v>45143.6772337963</v>
      </c>
      <c r="AB167" s="82"/>
      <c r="AC167" s="82"/>
      <c r="AD167" s="82"/>
      <c r="AE167" s="82">
        <v>1</v>
      </c>
      <c r="AF167" s="81">
        <v>1</v>
      </c>
      <c r="AG167" s="81">
        <v>1</v>
      </c>
      <c r="AH167" s="49">
        <v>0</v>
      </c>
      <c r="AI167" s="50">
        <v>0</v>
      </c>
      <c r="AJ167" s="49">
        <v>1</v>
      </c>
      <c r="AK167" s="110">
        <v>8.333333333333334</v>
      </c>
      <c r="AL167" s="49">
        <v>0</v>
      </c>
      <c r="AM167" s="50">
        <v>0</v>
      </c>
      <c r="AN167" s="49">
        <v>5</v>
      </c>
      <c r="AO167" s="110">
        <v>41.666666666666664</v>
      </c>
      <c r="AP167" s="49">
        <v>12</v>
      </c>
    </row>
    <row r="168" spans="1:42" ht="15">
      <c r="A168" s="66" t="s">
        <v>387</v>
      </c>
      <c r="B168" s="66" t="s">
        <v>636</v>
      </c>
      <c r="C168" s="67" t="s">
        <v>774</v>
      </c>
      <c r="D168" s="68">
        <v>3</v>
      </c>
      <c r="E168" s="69"/>
      <c r="F168" s="70">
        <v>40</v>
      </c>
      <c r="G168" s="67"/>
      <c r="H168" s="71"/>
      <c r="I168" s="72"/>
      <c r="J168" s="72"/>
      <c r="K168" s="35" t="s">
        <v>65</v>
      </c>
      <c r="L168" s="80">
        <v>168</v>
      </c>
      <c r="M168" s="80"/>
      <c r="N168" s="74"/>
      <c r="O168" s="82" t="s">
        <v>776</v>
      </c>
      <c r="P168" s="82" t="s">
        <v>197</v>
      </c>
      <c r="Q168" s="82" t="s">
        <v>938</v>
      </c>
      <c r="R168" s="82" t="s">
        <v>387</v>
      </c>
      <c r="S168" s="82" t="s">
        <v>1463</v>
      </c>
      <c r="T168" s="84" t="str">
        <f>HYPERLINK("http://www.youtube.com/channel/UC0DPaLHRkOHusocxi3t375Q")</f>
        <v>http://www.youtube.com/channel/UC0DPaLHRkOHusocxi3t375Q</v>
      </c>
      <c r="U168" s="82"/>
      <c r="V168" s="82" t="s">
        <v>1831</v>
      </c>
      <c r="W168" s="84" t="str">
        <f>HYPERLINK("https://www.youtube.com/watch?v=5QB8QAuirzA")</f>
        <v>https://www.youtube.com/watch?v=5QB8QAuirzA</v>
      </c>
      <c r="X168" s="82" t="s">
        <v>1857</v>
      </c>
      <c r="Y168" s="82">
        <v>0</v>
      </c>
      <c r="Z168" s="86">
        <v>45143.94342592593</v>
      </c>
      <c r="AA168" s="86">
        <v>45143.94342592593</v>
      </c>
      <c r="AB168" s="82"/>
      <c r="AC168" s="82"/>
      <c r="AD168" s="82"/>
      <c r="AE168" s="82">
        <v>1</v>
      </c>
      <c r="AF168" s="81">
        <v>1</v>
      </c>
      <c r="AG168" s="81">
        <v>1</v>
      </c>
      <c r="AH168" s="49">
        <v>4</v>
      </c>
      <c r="AI168" s="110">
        <v>11.11111111111111</v>
      </c>
      <c r="AJ168" s="49">
        <v>0</v>
      </c>
      <c r="AK168" s="50">
        <v>0</v>
      </c>
      <c r="AL168" s="49">
        <v>0</v>
      </c>
      <c r="AM168" s="50">
        <v>0</v>
      </c>
      <c r="AN168" s="49">
        <v>13</v>
      </c>
      <c r="AO168" s="110">
        <v>36.111111111111114</v>
      </c>
      <c r="AP168" s="49">
        <v>36</v>
      </c>
    </row>
    <row r="169" spans="1:42" ht="15">
      <c r="A169" s="66" t="s">
        <v>388</v>
      </c>
      <c r="B169" s="66" t="s">
        <v>636</v>
      </c>
      <c r="C169" s="67" t="s">
        <v>774</v>
      </c>
      <c r="D169" s="68">
        <v>3</v>
      </c>
      <c r="E169" s="69"/>
      <c r="F169" s="70">
        <v>40</v>
      </c>
      <c r="G169" s="67"/>
      <c r="H169" s="71"/>
      <c r="I169" s="72"/>
      <c r="J169" s="72"/>
      <c r="K169" s="35" t="s">
        <v>65</v>
      </c>
      <c r="L169" s="80">
        <v>169</v>
      </c>
      <c r="M169" s="80"/>
      <c r="N169" s="74"/>
      <c r="O169" s="82" t="s">
        <v>776</v>
      </c>
      <c r="P169" s="82" t="s">
        <v>197</v>
      </c>
      <c r="Q169" s="82" t="s">
        <v>939</v>
      </c>
      <c r="R169" s="82" t="s">
        <v>388</v>
      </c>
      <c r="S169" s="82" t="s">
        <v>1464</v>
      </c>
      <c r="T169" s="84" t="str">
        <f>HYPERLINK("http://www.youtube.com/channel/UCTMSnyHi9he_g_foWYlBS8w")</f>
        <v>http://www.youtube.com/channel/UCTMSnyHi9he_g_foWYlBS8w</v>
      </c>
      <c r="U169" s="82"/>
      <c r="V169" s="82" t="s">
        <v>1831</v>
      </c>
      <c r="W169" s="84" t="str">
        <f>HYPERLINK("https://www.youtube.com/watch?v=5QB8QAuirzA")</f>
        <v>https://www.youtube.com/watch?v=5QB8QAuirzA</v>
      </c>
      <c r="X169" s="82" t="s">
        <v>1857</v>
      </c>
      <c r="Y169" s="82">
        <v>0</v>
      </c>
      <c r="Z169" s="86">
        <v>45143.995775462965</v>
      </c>
      <c r="AA169" s="86">
        <v>45143.995775462965</v>
      </c>
      <c r="AB169" s="82"/>
      <c r="AC169" s="82"/>
      <c r="AD169" s="82"/>
      <c r="AE169" s="82">
        <v>1</v>
      </c>
      <c r="AF169" s="81">
        <v>1</v>
      </c>
      <c r="AG169" s="81">
        <v>1</v>
      </c>
      <c r="AH169" s="49">
        <v>0</v>
      </c>
      <c r="AI169" s="50">
        <v>0</v>
      </c>
      <c r="AJ169" s="49">
        <v>0</v>
      </c>
      <c r="AK169" s="50">
        <v>0</v>
      </c>
      <c r="AL169" s="49">
        <v>0</v>
      </c>
      <c r="AM169" s="50">
        <v>0</v>
      </c>
      <c r="AN169" s="49">
        <v>2</v>
      </c>
      <c r="AO169" s="110">
        <v>66.66666666666667</v>
      </c>
      <c r="AP169" s="49">
        <v>3</v>
      </c>
    </row>
    <row r="170" spans="1:42" ht="15">
      <c r="A170" s="66" t="s">
        <v>389</v>
      </c>
      <c r="B170" s="66" t="s">
        <v>636</v>
      </c>
      <c r="C170" s="67" t="s">
        <v>774</v>
      </c>
      <c r="D170" s="68">
        <v>3</v>
      </c>
      <c r="E170" s="69"/>
      <c r="F170" s="70">
        <v>40</v>
      </c>
      <c r="G170" s="67"/>
      <c r="H170" s="71"/>
      <c r="I170" s="72"/>
      <c r="J170" s="72"/>
      <c r="K170" s="35" t="s">
        <v>65</v>
      </c>
      <c r="L170" s="80">
        <v>170</v>
      </c>
      <c r="M170" s="80"/>
      <c r="N170" s="74"/>
      <c r="O170" s="82" t="s">
        <v>776</v>
      </c>
      <c r="P170" s="82" t="s">
        <v>197</v>
      </c>
      <c r="Q170" s="82" t="s">
        <v>940</v>
      </c>
      <c r="R170" s="82" t="s">
        <v>389</v>
      </c>
      <c r="S170" s="82" t="s">
        <v>1465</v>
      </c>
      <c r="T170" s="84" t="str">
        <f>HYPERLINK("http://www.youtube.com/channel/UCE42BHkjzuguGo9Gf6qd4dQ")</f>
        <v>http://www.youtube.com/channel/UCE42BHkjzuguGo9Gf6qd4dQ</v>
      </c>
      <c r="U170" s="82"/>
      <c r="V170" s="82" t="s">
        <v>1831</v>
      </c>
      <c r="W170" s="84" t="str">
        <f>HYPERLINK("https://www.youtube.com/watch?v=5QB8QAuirzA")</f>
        <v>https://www.youtube.com/watch?v=5QB8QAuirzA</v>
      </c>
      <c r="X170" s="82" t="s">
        <v>1857</v>
      </c>
      <c r="Y170" s="82">
        <v>0</v>
      </c>
      <c r="Z170" s="86">
        <v>45144.018738425926</v>
      </c>
      <c r="AA170" s="86">
        <v>45144.018738425926</v>
      </c>
      <c r="AB170" s="82"/>
      <c r="AC170" s="82"/>
      <c r="AD170" s="82"/>
      <c r="AE170" s="82">
        <v>1</v>
      </c>
      <c r="AF170" s="81">
        <v>1</v>
      </c>
      <c r="AG170" s="81">
        <v>1</v>
      </c>
      <c r="AH170" s="49">
        <v>0</v>
      </c>
      <c r="AI170" s="50">
        <v>0</v>
      </c>
      <c r="AJ170" s="49">
        <v>0</v>
      </c>
      <c r="AK170" s="50">
        <v>0</v>
      </c>
      <c r="AL170" s="49">
        <v>0</v>
      </c>
      <c r="AM170" s="50">
        <v>0</v>
      </c>
      <c r="AN170" s="49">
        <v>3</v>
      </c>
      <c r="AO170" s="50">
        <v>60</v>
      </c>
      <c r="AP170" s="49">
        <v>5</v>
      </c>
    </row>
    <row r="171" spans="1:42" ht="15">
      <c r="A171" s="66" t="s">
        <v>390</v>
      </c>
      <c r="B171" s="66" t="s">
        <v>636</v>
      </c>
      <c r="C171" s="67" t="s">
        <v>774</v>
      </c>
      <c r="D171" s="68">
        <v>3</v>
      </c>
      <c r="E171" s="69"/>
      <c r="F171" s="70">
        <v>40</v>
      </c>
      <c r="G171" s="67"/>
      <c r="H171" s="71"/>
      <c r="I171" s="72"/>
      <c r="J171" s="72"/>
      <c r="K171" s="35" t="s">
        <v>65</v>
      </c>
      <c r="L171" s="80">
        <v>171</v>
      </c>
      <c r="M171" s="80"/>
      <c r="N171" s="74"/>
      <c r="O171" s="82" t="s">
        <v>776</v>
      </c>
      <c r="P171" s="82" t="s">
        <v>197</v>
      </c>
      <c r="Q171" s="82" t="s">
        <v>941</v>
      </c>
      <c r="R171" s="82" t="s">
        <v>390</v>
      </c>
      <c r="S171" s="82" t="s">
        <v>1466</v>
      </c>
      <c r="T171" s="84" t="str">
        <f>HYPERLINK("http://www.youtube.com/channel/UCWTPa1I8h2QS-msuwCf_QQg")</f>
        <v>http://www.youtube.com/channel/UCWTPa1I8h2QS-msuwCf_QQg</v>
      </c>
      <c r="U171" s="82"/>
      <c r="V171" s="82" t="s">
        <v>1831</v>
      </c>
      <c r="W171" s="84" t="str">
        <f>HYPERLINK("https://www.youtube.com/watch?v=5QB8QAuirzA")</f>
        <v>https://www.youtube.com/watch?v=5QB8QAuirzA</v>
      </c>
      <c r="X171" s="82" t="s">
        <v>1857</v>
      </c>
      <c r="Y171" s="82">
        <v>0</v>
      </c>
      <c r="Z171" s="86">
        <v>45144.09087962963</v>
      </c>
      <c r="AA171" s="86">
        <v>45144.09112268518</v>
      </c>
      <c r="AB171" s="82"/>
      <c r="AC171" s="82"/>
      <c r="AD171" s="82"/>
      <c r="AE171" s="82">
        <v>1</v>
      </c>
      <c r="AF171" s="81">
        <v>1</v>
      </c>
      <c r="AG171" s="81">
        <v>1</v>
      </c>
      <c r="AH171" s="49">
        <v>2</v>
      </c>
      <c r="AI171" s="50">
        <v>5</v>
      </c>
      <c r="AJ171" s="49">
        <v>3</v>
      </c>
      <c r="AK171" s="50">
        <v>7.5</v>
      </c>
      <c r="AL171" s="49">
        <v>0</v>
      </c>
      <c r="AM171" s="50">
        <v>0</v>
      </c>
      <c r="AN171" s="49">
        <v>14</v>
      </c>
      <c r="AO171" s="50">
        <v>35</v>
      </c>
      <c r="AP171" s="49">
        <v>40</v>
      </c>
    </row>
    <row r="172" spans="1:42" ht="15">
      <c r="A172" s="66" t="s">
        <v>391</v>
      </c>
      <c r="B172" s="66" t="s">
        <v>636</v>
      </c>
      <c r="C172" s="67" t="s">
        <v>774</v>
      </c>
      <c r="D172" s="68">
        <v>3</v>
      </c>
      <c r="E172" s="69"/>
      <c r="F172" s="70">
        <v>40</v>
      </c>
      <c r="G172" s="67"/>
      <c r="H172" s="71"/>
      <c r="I172" s="72"/>
      <c r="J172" s="72"/>
      <c r="K172" s="35" t="s">
        <v>65</v>
      </c>
      <c r="L172" s="80">
        <v>172</v>
      </c>
      <c r="M172" s="80"/>
      <c r="N172" s="74"/>
      <c r="O172" s="82" t="s">
        <v>776</v>
      </c>
      <c r="P172" s="82" t="s">
        <v>197</v>
      </c>
      <c r="Q172" s="82" t="s">
        <v>942</v>
      </c>
      <c r="R172" s="82" t="s">
        <v>391</v>
      </c>
      <c r="S172" s="82" t="s">
        <v>1467</v>
      </c>
      <c r="T172" s="84" t="str">
        <f>HYPERLINK("http://www.youtube.com/channel/UC486OHc2Kgjmv9Y1LhK54Cg")</f>
        <v>http://www.youtube.com/channel/UC486OHc2Kgjmv9Y1LhK54Cg</v>
      </c>
      <c r="U172" s="82"/>
      <c r="V172" s="82" t="s">
        <v>1831</v>
      </c>
      <c r="W172" s="84" t="str">
        <f>HYPERLINK("https://www.youtube.com/watch?v=5QB8QAuirzA")</f>
        <v>https://www.youtube.com/watch?v=5QB8QAuirzA</v>
      </c>
      <c r="X172" s="82" t="s">
        <v>1857</v>
      </c>
      <c r="Y172" s="82">
        <v>1</v>
      </c>
      <c r="Z172" s="86">
        <v>45144.17938657408</v>
      </c>
      <c r="AA172" s="86">
        <v>45144.17938657408</v>
      </c>
      <c r="AB172" s="82"/>
      <c r="AC172" s="82"/>
      <c r="AD172" s="82"/>
      <c r="AE172" s="82">
        <v>1</v>
      </c>
      <c r="AF172" s="81">
        <v>1</v>
      </c>
      <c r="AG172" s="81">
        <v>1</v>
      </c>
      <c r="AH172" s="49">
        <v>0</v>
      </c>
      <c r="AI172" s="50">
        <v>0</v>
      </c>
      <c r="AJ172" s="49">
        <v>0</v>
      </c>
      <c r="AK172" s="50">
        <v>0</v>
      </c>
      <c r="AL172" s="49">
        <v>0</v>
      </c>
      <c r="AM172" s="50">
        <v>0</v>
      </c>
      <c r="AN172" s="49">
        <v>3</v>
      </c>
      <c r="AO172" s="50">
        <v>20</v>
      </c>
      <c r="AP172" s="49">
        <v>15</v>
      </c>
    </row>
    <row r="173" spans="1:42" ht="15">
      <c r="A173" s="66" t="s">
        <v>392</v>
      </c>
      <c r="B173" s="66" t="s">
        <v>636</v>
      </c>
      <c r="C173" s="67" t="s">
        <v>774</v>
      </c>
      <c r="D173" s="68">
        <v>3</v>
      </c>
      <c r="E173" s="69"/>
      <c r="F173" s="70">
        <v>40</v>
      </c>
      <c r="G173" s="67"/>
      <c r="H173" s="71"/>
      <c r="I173" s="72"/>
      <c r="J173" s="72"/>
      <c r="K173" s="35" t="s">
        <v>65</v>
      </c>
      <c r="L173" s="80">
        <v>173</v>
      </c>
      <c r="M173" s="80"/>
      <c r="N173" s="74"/>
      <c r="O173" s="82" t="s">
        <v>776</v>
      </c>
      <c r="P173" s="82" t="s">
        <v>197</v>
      </c>
      <c r="Q173" s="82" t="s">
        <v>943</v>
      </c>
      <c r="R173" s="82" t="s">
        <v>392</v>
      </c>
      <c r="S173" s="82" t="s">
        <v>1468</v>
      </c>
      <c r="T173" s="84" t="str">
        <f>HYPERLINK("http://www.youtube.com/channel/UCUhhGZUr-PvgZfbJ7hMaTgg")</f>
        <v>http://www.youtube.com/channel/UCUhhGZUr-PvgZfbJ7hMaTgg</v>
      </c>
      <c r="U173" s="82"/>
      <c r="V173" s="82" t="s">
        <v>1831</v>
      </c>
      <c r="W173" s="84" t="str">
        <f>HYPERLINK("https://www.youtube.com/watch?v=5QB8QAuirzA")</f>
        <v>https://www.youtube.com/watch?v=5QB8QAuirzA</v>
      </c>
      <c r="X173" s="82" t="s">
        <v>1857</v>
      </c>
      <c r="Y173" s="82">
        <v>1</v>
      </c>
      <c r="Z173" s="86">
        <v>45144.21057870371</v>
      </c>
      <c r="AA173" s="86">
        <v>45144.21057870371</v>
      </c>
      <c r="AB173" s="82"/>
      <c r="AC173" s="82"/>
      <c r="AD173" s="82"/>
      <c r="AE173" s="82">
        <v>1</v>
      </c>
      <c r="AF173" s="81">
        <v>1</v>
      </c>
      <c r="AG173" s="81">
        <v>1</v>
      </c>
      <c r="AH173" s="49">
        <v>0</v>
      </c>
      <c r="AI173" s="50">
        <v>0</v>
      </c>
      <c r="AJ173" s="49">
        <v>0</v>
      </c>
      <c r="AK173" s="50">
        <v>0</v>
      </c>
      <c r="AL173" s="49">
        <v>0</v>
      </c>
      <c r="AM173" s="50">
        <v>0</v>
      </c>
      <c r="AN173" s="49">
        <v>1</v>
      </c>
      <c r="AO173" s="50">
        <v>100</v>
      </c>
      <c r="AP173" s="49">
        <v>1</v>
      </c>
    </row>
    <row r="174" spans="1:42" ht="15">
      <c r="A174" s="66" t="s">
        <v>393</v>
      </c>
      <c r="B174" s="66" t="s">
        <v>636</v>
      </c>
      <c r="C174" s="67" t="s">
        <v>774</v>
      </c>
      <c r="D174" s="68">
        <v>3</v>
      </c>
      <c r="E174" s="69"/>
      <c r="F174" s="70">
        <v>40</v>
      </c>
      <c r="G174" s="67"/>
      <c r="H174" s="71"/>
      <c r="I174" s="72"/>
      <c r="J174" s="72"/>
      <c r="K174" s="35" t="s">
        <v>65</v>
      </c>
      <c r="L174" s="80">
        <v>174</v>
      </c>
      <c r="M174" s="80"/>
      <c r="N174" s="74"/>
      <c r="O174" s="82" t="s">
        <v>776</v>
      </c>
      <c r="P174" s="82" t="s">
        <v>197</v>
      </c>
      <c r="Q174" s="82" t="s">
        <v>944</v>
      </c>
      <c r="R174" s="82" t="s">
        <v>393</v>
      </c>
      <c r="S174" s="82" t="s">
        <v>1469</v>
      </c>
      <c r="T174" s="84" t="str">
        <f>HYPERLINK("http://www.youtube.com/channel/UCTi0cWN21BiZ0jYnZcoY8CA")</f>
        <v>http://www.youtube.com/channel/UCTi0cWN21BiZ0jYnZcoY8CA</v>
      </c>
      <c r="U174" s="82"/>
      <c r="V174" s="82" t="s">
        <v>1831</v>
      </c>
      <c r="W174" s="84" t="str">
        <f>HYPERLINK("https://www.youtube.com/watch?v=5QB8QAuirzA")</f>
        <v>https://www.youtube.com/watch?v=5QB8QAuirzA</v>
      </c>
      <c r="X174" s="82" t="s">
        <v>1857</v>
      </c>
      <c r="Y174" s="82">
        <v>0</v>
      </c>
      <c r="Z174" s="86">
        <v>45144.36011574074</v>
      </c>
      <c r="AA174" s="86">
        <v>45144.36011574074</v>
      </c>
      <c r="AB174" s="82"/>
      <c r="AC174" s="82"/>
      <c r="AD174" s="82"/>
      <c r="AE174" s="82">
        <v>1</v>
      </c>
      <c r="AF174" s="81">
        <v>1</v>
      </c>
      <c r="AG174" s="81">
        <v>1</v>
      </c>
      <c r="AH174" s="49">
        <v>0</v>
      </c>
      <c r="AI174" s="50">
        <v>0</v>
      </c>
      <c r="AJ174" s="49">
        <v>0</v>
      </c>
      <c r="AK174" s="50">
        <v>0</v>
      </c>
      <c r="AL174" s="49">
        <v>0</v>
      </c>
      <c r="AM174" s="50">
        <v>0</v>
      </c>
      <c r="AN174" s="49">
        <v>1</v>
      </c>
      <c r="AO174" s="50">
        <v>20</v>
      </c>
      <c r="AP174" s="49">
        <v>5</v>
      </c>
    </row>
    <row r="175" spans="1:42" ht="15">
      <c r="A175" s="66" t="s">
        <v>394</v>
      </c>
      <c r="B175" s="66" t="s">
        <v>636</v>
      </c>
      <c r="C175" s="67" t="s">
        <v>774</v>
      </c>
      <c r="D175" s="68">
        <v>3</v>
      </c>
      <c r="E175" s="69"/>
      <c r="F175" s="70">
        <v>40</v>
      </c>
      <c r="G175" s="67"/>
      <c r="H175" s="71"/>
      <c r="I175" s="72"/>
      <c r="J175" s="72"/>
      <c r="K175" s="35" t="s">
        <v>65</v>
      </c>
      <c r="L175" s="80">
        <v>175</v>
      </c>
      <c r="M175" s="80"/>
      <c r="N175" s="74"/>
      <c r="O175" s="82" t="s">
        <v>776</v>
      </c>
      <c r="P175" s="82" t="s">
        <v>197</v>
      </c>
      <c r="Q175" s="82" t="s">
        <v>945</v>
      </c>
      <c r="R175" s="82" t="s">
        <v>394</v>
      </c>
      <c r="S175" s="82" t="s">
        <v>1470</v>
      </c>
      <c r="T175" s="84" t="str">
        <f>HYPERLINK("http://www.youtube.com/channel/UCBrz7-Cy4J_XYdeQ7vZwAsA")</f>
        <v>http://www.youtube.com/channel/UCBrz7-Cy4J_XYdeQ7vZwAsA</v>
      </c>
      <c r="U175" s="82"/>
      <c r="V175" s="82" t="s">
        <v>1831</v>
      </c>
      <c r="W175" s="84" t="str">
        <f>HYPERLINK("https://www.youtube.com/watch?v=5QB8QAuirzA")</f>
        <v>https://www.youtube.com/watch?v=5QB8QAuirzA</v>
      </c>
      <c r="X175" s="82" t="s">
        <v>1857</v>
      </c>
      <c r="Y175" s="82">
        <v>0</v>
      </c>
      <c r="Z175" s="86">
        <v>45144.69878472222</v>
      </c>
      <c r="AA175" s="86">
        <v>45144.69878472222</v>
      </c>
      <c r="AB175" s="82"/>
      <c r="AC175" s="82"/>
      <c r="AD175" s="82"/>
      <c r="AE175" s="82">
        <v>1</v>
      </c>
      <c r="AF175" s="81">
        <v>1</v>
      </c>
      <c r="AG175" s="81">
        <v>1</v>
      </c>
      <c r="AH175" s="49">
        <v>0</v>
      </c>
      <c r="AI175" s="50">
        <v>0</v>
      </c>
      <c r="AJ175" s="49">
        <v>1</v>
      </c>
      <c r="AK175" s="50">
        <v>20</v>
      </c>
      <c r="AL175" s="49">
        <v>0</v>
      </c>
      <c r="AM175" s="50">
        <v>0</v>
      </c>
      <c r="AN175" s="49">
        <v>3</v>
      </c>
      <c r="AO175" s="50">
        <v>60</v>
      </c>
      <c r="AP175" s="49">
        <v>5</v>
      </c>
    </row>
    <row r="176" spans="1:42" ht="15">
      <c r="A176" s="66" t="s">
        <v>395</v>
      </c>
      <c r="B176" s="66" t="s">
        <v>636</v>
      </c>
      <c r="C176" s="67" t="s">
        <v>774</v>
      </c>
      <c r="D176" s="68">
        <v>3</v>
      </c>
      <c r="E176" s="69"/>
      <c r="F176" s="70">
        <v>40</v>
      </c>
      <c r="G176" s="67"/>
      <c r="H176" s="71"/>
      <c r="I176" s="72"/>
      <c r="J176" s="72"/>
      <c r="K176" s="35" t="s">
        <v>65</v>
      </c>
      <c r="L176" s="80">
        <v>176</v>
      </c>
      <c r="M176" s="80"/>
      <c r="N176" s="74"/>
      <c r="O176" s="82" t="s">
        <v>776</v>
      </c>
      <c r="P176" s="82" t="s">
        <v>197</v>
      </c>
      <c r="Q176" s="82" t="s">
        <v>946</v>
      </c>
      <c r="R176" s="82" t="s">
        <v>395</v>
      </c>
      <c r="S176" s="82" t="s">
        <v>1471</v>
      </c>
      <c r="T176" s="84" t="str">
        <f>HYPERLINK("http://www.youtube.com/channel/UCHP36EnSwECF9CJFHHgSSiA")</f>
        <v>http://www.youtube.com/channel/UCHP36EnSwECF9CJFHHgSSiA</v>
      </c>
      <c r="U176" s="82"/>
      <c r="V176" s="82" t="s">
        <v>1831</v>
      </c>
      <c r="W176" s="84" t="str">
        <f>HYPERLINK("https://www.youtube.com/watch?v=5QB8QAuirzA")</f>
        <v>https://www.youtube.com/watch?v=5QB8QAuirzA</v>
      </c>
      <c r="X176" s="82" t="s">
        <v>1857</v>
      </c>
      <c r="Y176" s="82">
        <v>0</v>
      </c>
      <c r="Z176" s="86">
        <v>45144.770902777775</v>
      </c>
      <c r="AA176" s="86">
        <v>45144.770902777775</v>
      </c>
      <c r="AB176" s="82"/>
      <c r="AC176" s="82"/>
      <c r="AD176" s="82"/>
      <c r="AE176" s="82">
        <v>1</v>
      </c>
      <c r="AF176" s="81">
        <v>1</v>
      </c>
      <c r="AG176" s="81">
        <v>1</v>
      </c>
      <c r="AH176" s="49">
        <v>0</v>
      </c>
      <c r="AI176" s="50">
        <v>0</v>
      </c>
      <c r="AJ176" s="49">
        <v>0</v>
      </c>
      <c r="AK176" s="50">
        <v>0</v>
      </c>
      <c r="AL176" s="49">
        <v>0</v>
      </c>
      <c r="AM176" s="50">
        <v>0</v>
      </c>
      <c r="AN176" s="49">
        <v>1</v>
      </c>
      <c r="AO176" s="50">
        <v>100</v>
      </c>
      <c r="AP176" s="49">
        <v>1</v>
      </c>
    </row>
    <row r="177" spans="1:42" ht="15">
      <c r="A177" s="66" t="s">
        <v>396</v>
      </c>
      <c r="B177" s="66" t="s">
        <v>636</v>
      </c>
      <c r="C177" s="67" t="s">
        <v>774</v>
      </c>
      <c r="D177" s="68">
        <v>3</v>
      </c>
      <c r="E177" s="69"/>
      <c r="F177" s="70">
        <v>40</v>
      </c>
      <c r="G177" s="67"/>
      <c r="H177" s="71"/>
      <c r="I177" s="72"/>
      <c r="J177" s="72"/>
      <c r="K177" s="35" t="s">
        <v>65</v>
      </c>
      <c r="L177" s="80">
        <v>177</v>
      </c>
      <c r="M177" s="80"/>
      <c r="N177" s="74"/>
      <c r="O177" s="82" t="s">
        <v>776</v>
      </c>
      <c r="P177" s="82" t="s">
        <v>197</v>
      </c>
      <c r="Q177" s="82" t="s">
        <v>947</v>
      </c>
      <c r="R177" s="82" t="s">
        <v>396</v>
      </c>
      <c r="S177" s="82" t="s">
        <v>1472</v>
      </c>
      <c r="T177" s="84" t="str">
        <f>HYPERLINK("http://www.youtube.com/channel/UCU1shm6JrEDvuq2yKfuehPw")</f>
        <v>http://www.youtube.com/channel/UCU1shm6JrEDvuq2yKfuehPw</v>
      </c>
      <c r="U177" s="82"/>
      <c r="V177" s="82" t="s">
        <v>1831</v>
      </c>
      <c r="W177" s="84" t="str">
        <f>HYPERLINK("https://www.youtube.com/watch?v=5QB8QAuirzA")</f>
        <v>https://www.youtube.com/watch?v=5QB8QAuirzA</v>
      </c>
      <c r="X177" s="82" t="s">
        <v>1857</v>
      </c>
      <c r="Y177" s="82">
        <v>0</v>
      </c>
      <c r="Z177" s="86">
        <v>45144.80553240741</v>
      </c>
      <c r="AA177" s="86">
        <v>45144.80553240741</v>
      </c>
      <c r="AB177" s="82"/>
      <c r="AC177" s="82"/>
      <c r="AD177" s="82"/>
      <c r="AE177" s="82">
        <v>1</v>
      </c>
      <c r="AF177" s="81">
        <v>1</v>
      </c>
      <c r="AG177" s="81">
        <v>1</v>
      </c>
      <c r="AH177" s="49">
        <v>0</v>
      </c>
      <c r="AI177" s="50">
        <v>0</v>
      </c>
      <c r="AJ177" s="49">
        <v>1</v>
      </c>
      <c r="AK177" s="50">
        <v>20</v>
      </c>
      <c r="AL177" s="49">
        <v>0</v>
      </c>
      <c r="AM177" s="50">
        <v>0</v>
      </c>
      <c r="AN177" s="49">
        <v>1</v>
      </c>
      <c r="AO177" s="50">
        <v>20</v>
      </c>
      <c r="AP177" s="49">
        <v>5</v>
      </c>
    </row>
    <row r="178" spans="1:42" ht="15">
      <c r="A178" s="66" t="s">
        <v>397</v>
      </c>
      <c r="B178" s="66" t="s">
        <v>636</v>
      </c>
      <c r="C178" s="67" t="s">
        <v>774</v>
      </c>
      <c r="D178" s="68">
        <v>3</v>
      </c>
      <c r="E178" s="69"/>
      <c r="F178" s="70">
        <v>40</v>
      </c>
      <c r="G178" s="67"/>
      <c r="H178" s="71"/>
      <c r="I178" s="72"/>
      <c r="J178" s="72"/>
      <c r="K178" s="35" t="s">
        <v>65</v>
      </c>
      <c r="L178" s="80">
        <v>178</v>
      </c>
      <c r="M178" s="80"/>
      <c r="N178" s="74"/>
      <c r="O178" s="82" t="s">
        <v>776</v>
      </c>
      <c r="P178" s="82" t="s">
        <v>197</v>
      </c>
      <c r="Q178" s="82" t="s">
        <v>948</v>
      </c>
      <c r="R178" s="82" t="s">
        <v>397</v>
      </c>
      <c r="S178" s="82" t="s">
        <v>1473</v>
      </c>
      <c r="T178" s="84" t="str">
        <f>HYPERLINK("http://www.youtube.com/channel/UCyALyIYVo7UmyjIspPi3u3Q")</f>
        <v>http://www.youtube.com/channel/UCyALyIYVo7UmyjIspPi3u3Q</v>
      </c>
      <c r="U178" s="82"/>
      <c r="V178" s="82" t="s">
        <v>1831</v>
      </c>
      <c r="W178" s="84" t="str">
        <f>HYPERLINK("https://www.youtube.com/watch?v=5QB8QAuirzA")</f>
        <v>https://www.youtube.com/watch?v=5QB8QAuirzA</v>
      </c>
      <c r="X178" s="82" t="s">
        <v>1857</v>
      </c>
      <c r="Y178" s="82">
        <v>0</v>
      </c>
      <c r="Z178" s="86">
        <v>45144.95594907407</v>
      </c>
      <c r="AA178" s="86">
        <v>45144.95594907407</v>
      </c>
      <c r="AB178" s="82"/>
      <c r="AC178" s="82"/>
      <c r="AD178" s="82"/>
      <c r="AE178" s="82">
        <v>1</v>
      </c>
      <c r="AF178" s="81">
        <v>1</v>
      </c>
      <c r="AG178" s="81">
        <v>1</v>
      </c>
      <c r="AH178" s="49">
        <v>0</v>
      </c>
      <c r="AI178" s="50">
        <v>0</v>
      </c>
      <c r="AJ178" s="49">
        <v>1</v>
      </c>
      <c r="AK178" s="110">
        <v>11.11111111111111</v>
      </c>
      <c r="AL178" s="49">
        <v>0</v>
      </c>
      <c r="AM178" s="50">
        <v>0</v>
      </c>
      <c r="AN178" s="49">
        <v>3</v>
      </c>
      <c r="AO178" s="110">
        <v>33.333333333333336</v>
      </c>
      <c r="AP178" s="49">
        <v>9</v>
      </c>
    </row>
    <row r="179" spans="1:42" ht="15">
      <c r="A179" s="66" t="s">
        <v>398</v>
      </c>
      <c r="B179" s="66" t="s">
        <v>636</v>
      </c>
      <c r="C179" s="67" t="s">
        <v>774</v>
      </c>
      <c r="D179" s="68">
        <v>3</v>
      </c>
      <c r="E179" s="69"/>
      <c r="F179" s="70">
        <v>40</v>
      </c>
      <c r="G179" s="67"/>
      <c r="H179" s="71"/>
      <c r="I179" s="72"/>
      <c r="J179" s="72"/>
      <c r="K179" s="35" t="s">
        <v>65</v>
      </c>
      <c r="L179" s="80">
        <v>179</v>
      </c>
      <c r="M179" s="80"/>
      <c r="N179" s="74"/>
      <c r="O179" s="82" t="s">
        <v>776</v>
      </c>
      <c r="P179" s="82" t="s">
        <v>197</v>
      </c>
      <c r="Q179" s="82" t="s">
        <v>949</v>
      </c>
      <c r="R179" s="82" t="s">
        <v>398</v>
      </c>
      <c r="S179" s="82" t="s">
        <v>1474</v>
      </c>
      <c r="T179" s="84" t="str">
        <f>HYPERLINK("http://www.youtube.com/channel/UCWuhZOgUIJVM-uxdAzyK_nw")</f>
        <v>http://www.youtube.com/channel/UCWuhZOgUIJVM-uxdAzyK_nw</v>
      </c>
      <c r="U179" s="82"/>
      <c r="V179" s="82" t="s">
        <v>1831</v>
      </c>
      <c r="W179" s="84" t="str">
        <f>HYPERLINK("https://www.youtube.com/watch?v=5QB8QAuirzA")</f>
        <v>https://www.youtube.com/watch?v=5QB8QAuirzA</v>
      </c>
      <c r="X179" s="82" t="s">
        <v>1857</v>
      </c>
      <c r="Y179" s="82">
        <v>0</v>
      </c>
      <c r="Z179" s="86">
        <v>45145.075833333336</v>
      </c>
      <c r="AA179" s="86">
        <v>45145.075833333336</v>
      </c>
      <c r="AB179" s="82"/>
      <c r="AC179" s="82"/>
      <c r="AD179" s="82"/>
      <c r="AE179" s="82">
        <v>1</v>
      </c>
      <c r="AF179" s="81">
        <v>1</v>
      </c>
      <c r="AG179" s="81">
        <v>1</v>
      </c>
      <c r="AH179" s="49">
        <v>0</v>
      </c>
      <c r="AI179" s="50">
        <v>0</v>
      </c>
      <c r="AJ179" s="49">
        <v>1</v>
      </c>
      <c r="AK179" s="50">
        <v>10</v>
      </c>
      <c r="AL179" s="49">
        <v>0</v>
      </c>
      <c r="AM179" s="50">
        <v>0</v>
      </c>
      <c r="AN179" s="49">
        <v>3</v>
      </c>
      <c r="AO179" s="50">
        <v>30</v>
      </c>
      <c r="AP179" s="49">
        <v>10</v>
      </c>
    </row>
    <row r="180" spans="1:42" ht="15">
      <c r="A180" s="66" t="s">
        <v>399</v>
      </c>
      <c r="B180" s="66" t="s">
        <v>636</v>
      </c>
      <c r="C180" s="67" t="s">
        <v>774</v>
      </c>
      <c r="D180" s="68">
        <v>3</v>
      </c>
      <c r="E180" s="69"/>
      <c r="F180" s="70">
        <v>40</v>
      </c>
      <c r="G180" s="67"/>
      <c r="H180" s="71"/>
      <c r="I180" s="72"/>
      <c r="J180" s="72"/>
      <c r="K180" s="35" t="s">
        <v>65</v>
      </c>
      <c r="L180" s="80">
        <v>180</v>
      </c>
      <c r="M180" s="80"/>
      <c r="N180" s="74"/>
      <c r="O180" s="82" t="s">
        <v>776</v>
      </c>
      <c r="P180" s="82" t="s">
        <v>197</v>
      </c>
      <c r="Q180" s="82" t="s">
        <v>950</v>
      </c>
      <c r="R180" s="82" t="s">
        <v>399</v>
      </c>
      <c r="S180" s="82" t="s">
        <v>1475</v>
      </c>
      <c r="T180" s="84" t="str">
        <f>HYPERLINK("http://www.youtube.com/channel/UCUiE6wxkLRK00sgNWg6Jkcw")</f>
        <v>http://www.youtube.com/channel/UCUiE6wxkLRK00sgNWg6Jkcw</v>
      </c>
      <c r="U180" s="82"/>
      <c r="V180" s="82" t="s">
        <v>1831</v>
      </c>
      <c r="W180" s="84" t="str">
        <f>HYPERLINK("https://www.youtube.com/watch?v=5QB8QAuirzA")</f>
        <v>https://www.youtube.com/watch?v=5QB8QAuirzA</v>
      </c>
      <c r="X180" s="82" t="s">
        <v>1857</v>
      </c>
      <c r="Y180" s="82">
        <v>0</v>
      </c>
      <c r="Z180" s="86">
        <v>45145.07587962963</v>
      </c>
      <c r="AA180" s="86">
        <v>45145.07587962963</v>
      </c>
      <c r="AB180" s="82"/>
      <c r="AC180" s="82"/>
      <c r="AD180" s="82"/>
      <c r="AE180" s="82">
        <v>1</v>
      </c>
      <c r="AF180" s="81">
        <v>1</v>
      </c>
      <c r="AG180" s="81">
        <v>1</v>
      </c>
      <c r="AH180" s="49">
        <v>2</v>
      </c>
      <c r="AI180" s="110">
        <v>14.285714285714286</v>
      </c>
      <c r="AJ180" s="49">
        <v>1</v>
      </c>
      <c r="AK180" s="110">
        <v>7.142857142857143</v>
      </c>
      <c r="AL180" s="49">
        <v>0</v>
      </c>
      <c r="AM180" s="50">
        <v>0</v>
      </c>
      <c r="AN180" s="49">
        <v>4</v>
      </c>
      <c r="AO180" s="110">
        <v>28.571428571428573</v>
      </c>
      <c r="AP180" s="49">
        <v>14</v>
      </c>
    </row>
    <row r="181" spans="1:42" ht="15">
      <c r="A181" s="66" t="s">
        <v>400</v>
      </c>
      <c r="B181" s="66" t="s">
        <v>636</v>
      </c>
      <c r="C181" s="67" t="s">
        <v>774</v>
      </c>
      <c r="D181" s="68">
        <v>3</v>
      </c>
      <c r="E181" s="69"/>
      <c r="F181" s="70">
        <v>40</v>
      </c>
      <c r="G181" s="67"/>
      <c r="H181" s="71"/>
      <c r="I181" s="72"/>
      <c r="J181" s="72"/>
      <c r="K181" s="35" t="s">
        <v>65</v>
      </c>
      <c r="L181" s="80">
        <v>181</v>
      </c>
      <c r="M181" s="80"/>
      <c r="N181" s="74"/>
      <c r="O181" s="82" t="s">
        <v>776</v>
      </c>
      <c r="P181" s="82" t="s">
        <v>197</v>
      </c>
      <c r="Q181" s="82" t="s">
        <v>951</v>
      </c>
      <c r="R181" s="82" t="s">
        <v>400</v>
      </c>
      <c r="S181" s="82" t="s">
        <v>1476</v>
      </c>
      <c r="T181" s="84" t="str">
        <f>HYPERLINK("http://www.youtube.com/channel/UCUH9XHHkBCoPb9bo9b7Sw3A")</f>
        <v>http://www.youtube.com/channel/UCUH9XHHkBCoPb9bo9b7Sw3A</v>
      </c>
      <c r="U181" s="82"/>
      <c r="V181" s="82" t="s">
        <v>1831</v>
      </c>
      <c r="W181" s="84" t="str">
        <f>HYPERLINK("https://www.youtube.com/watch?v=5QB8QAuirzA")</f>
        <v>https://www.youtube.com/watch?v=5QB8QAuirzA</v>
      </c>
      <c r="X181" s="82" t="s">
        <v>1857</v>
      </c>
      <c r="Y181" s="82">
        <v>0</v>
      </c>
      <c r="Z181" s="86">
        <v>45145.386782407404</v>
      </c>
      <c r="AA181" s="86">
        <v>45145.386782407404</v>
      </c>
      <c r="AB181" s="82"/>
      <c r="AC181" s="82"/>
      <c r="AD181" s="82"/>
      <c r="AE181" s="82">
        <v>1</v>
      </c>
      <c r="AF181" s="81">
        <v>1</v>
      </c>
      <c r="AG181" s="81">
        <v>1</v>
      </c>
      <c r="AH181" s="49">
        <v>0</v>
      </c>
      <c r="AI181" s="50">
        <v>0</v>
      </c>
      <c r="AJ181" s="49">
        <v>1</v>
      </c>
      <c r="AK181" s="50">
        <v>10</v>
      </c>
      <c r="AL181" s="49">
        <v>0</v>
      </c>
      <c r="AM181" s="50">
        <v>0</v>
      </c>
      <c r="AN181" s="49">
        <v>4</v>
      </c>
      <c r="AO181" s="50">
        <v>40</v>
      </c>
      <c r="AP181" s="49">
        <v>10</v>
      </c>
    </row>
    <row r="182" spans="1:42" ht="15">
      <c r="A182" s="66" t="s">
        <v>401</v>
      </c>
      <c r="B182" s="66" t="s">
        <v>636</v>
      </c>
      <c r="C182" s="67" t="s">
        <v>774</v>
      </c>
      <c r="D182" s="68">
        <v>3</v>
      </c>
      <c r="E182" s="69"/>
      <c r="F182" s="70">
        <v>40</v>
      </c>
      <c r="G182" s="67"/>
      <c r="H182" s="71"/>
      <c r="I182" s="72"/>
      <c r="J182" s="72"/>
      <c r="K182" s="35" t="s">
        <v>65</v>
      </c>
      <c r="L182" s="80">
        <v>182</v>
      </c>
      <c r="M182" s="80"/>
      <c r="N182" s="74"/>
      <c r="O182" s="82" t="s">
        <v>776</v>
      </c>
      <c r="P182" s="82" t="s">
        <v>197</v>
      </c>
      <c r="Q182" s="82" t="s">
        <v>952</v>
      </c>
      <c r="R182" s="82" t="s">
        <v>401</v>
      </c>
      <c r="S182" s="82" t="s">
        <v>1477</v>
      </c>
      <c r="T182" s="84" t="str">
        <f>HYPERLINK("http://www.youtube.com/channel/UCOE57eOfeMOOfqwjquRvzkQ")</f>
        <v>http://www.youtube.com/channel/UCOE57eOfeMOOfqwjquRvzkQ</v>
      </c>
      <c r="U182" s="82"/>
      <c r="V182" s="82" t="s">
        <v>1831</v>
      </c>
      <c r="W182" s="84" t="str">
        <f>HYPERLINK("https://www.youtube.com/watch?v=5QB8QAuirzA")</f>
        <v>https://www.youtube.com/watch?v=5QB8QAuirzA</v>
      </c>
      <c r="X182" s="82" t="s">
        <v>1857</v>
      </c>
      <c r="Y182" s="82">
        <v>0</v>
      </c>
      <c r="Z182" s="86">
        <v>45145.41740740741</v>
      </c>
      <c r="AA182" s="86">
        <v>45145.41740740741</v>
      </c>
      <c r="AB182" s="82"/>
      <c r="AC182" s="82"/>
      <c r="AD182" s="82"/>
      <c r="AE182" s="82">
        <v>1</v>
      </c>
      <c r="AF182" s="81">
        <v>1</v>
      </c>
      <c r="AG182" s="81">
        <v>1</v>
      </c>
      <c r="AH182" s="49">
        <v>1</v>
      </c>
      <c r="AI182" s="110">
        <v>7.6923076923076925</v>
      </c>
      <c r="AJ182" s="49">
        <v>1</v>
      </c>
      <c r="AK182" s="110">
        <v>7.6923076923076925</v>
      </c>
      <c r="AL182" s="49">
        <v>0</v>
      </c>
      <c r="AM182" s="50">
        <v>0</v>
      </c>
      <c r="AN182" s="49">
        <v>3</v>
      </c>
      <c r="AO182" s="110">
        <v>23.076923076923077</v>
      </c>
      <c r="AP182" s="49">
        <v>13</v>
      </c>
    </row>
    <row r="183" spans="1:42" ht="15">
      <c r="A183" s="66" t="s">
        <v>402</v>
      </c>
      <c r="B183" s="66" t="s">
        <v>636</v>
      </c>
      <c r="C183" s="67" t="s">
        <v>774</v>
      </c>
      <c r="D183" s="68">
        <v>3</v>
      </c>
      <c r="E183" s="69"/>
      <c r="F183" s="70">
        <v>40</v>
      </c>
      <c r="G183" s="67"/>
      <c r="H183" s="71"/>
      <c r="I183" s="72"/>
      <c r="J183" s="72"/>
      <c r="K183" s="35" t="s">
        <v>65</v>
      </c>
      <c r="L183" s="80">
        <v>183</v>
      </c>
      <c r="M183" s="80"/>
      <c r="N183" s="74"/>
      <c r="O183" s="82" t="s">
        <v>776</v>
      </c>
      <c r="P183" s="82" t="s">
        <v>197</v>
      </c>
      <c r="Q183" s="82" t="s">
        <v>953</v>
      </c>
      <c r="R183" s="82" t="s">
        <v>402</v>
      </c>
      <c r="S183" s="82" t="s">
        <v>1478</v>
      </c>
      <c r="T183" s="84" t="str">
        <f>HYPERLINK("http://www.youtube.com/channel/UCPoUpe3fNIBPJCRcyvoSPSg")</f>
        <v>http://www.youtube.com/channel/UCPoUpe3fNIBPJCRcyvoSPSg</v>
      </c>
      <c r="U183" s="82"/>
      <c r="V183" s="82" t="s">
        <v>1831</v>
      </c>
      <c r="W183" s="84" t="str">
        <f>HYPERLINK("https://www.youtube.com/watch?v=5QB8QAuirzA")</f>
        <v>https://www.youtube.com/watch?v=5QB8QAuirzA</v>
      </c>
      <c r="X183" s="82" t="s">
        <v>1857</v>
      </c>
      <c r="Y183" s="82">
        <v>0</v>
      </c>
      <c r="Z183" s="86">
        <v>45145.89738425926</v>
      </c>
      <c r="AA183" s="86">
        <v>45145.89738425926</v>
      </c>
      <c r="AB183" s="82"/>
      <c r="AC183" s="82"/>
      <c r="AD183" s="82"/>
      <c r="AE183" s="82">
        <v>1</v>
      </c>
      <c r="AF183" s="81">
        <v>1</v>
      </c>
      <c r="AG183" s="81">
        <v>1</v>
      </c>
      <c r="AH183" s="49">
        <v>0</v>
      </c>
      <c r="AI183" s="50">
        <v>0</v>
      </c>
      <c r="AJ183" s="49">
        <v>0</v>
      </c>
      <c r="AK183" s="50">
        <v>0</v>
      </c>
      <c r="AL183" s="49">
        <v>0</v>
      </c>
      <c r="AM183" s="50">
        <v>0</v>
      </c>
      <c r="AN183" s="49">
        <v>1</v>
      </c>
      <c r="AO183" s="50">
        <v>100</v>
      </c>
      <c r="AP183" s="49">
        <v>1</v>
      </c>
    </row>
    <row r="184" spans="1:42" ht="15">
      <c r="A184" s="66" t="s">
        <v>403</v>
      </c>
      <c r="B184" s="66" t="s">
        <v>636</v>
      </c>
      <c r="C184" s="67" t="s">
        <v>774</v>
      </c>
      <c r="D184" s="68">
        <v>3</v>
      </c>
      <c r="E184" s="69"/>
      <c r="F184" s="70">
        <v>40</v>
      </c>
      <c r="G184" s="67"/>
      <c r="H184" s="71"/>
      <c r="I184" s="72"/>
      <c r="J184" s="72"/>
      <c r="K184" s="35" t="s">
        <v>65</v>
      </c>
      <c r="L184" s="80">
        <v>184</v>
      </c>
      <c r="M184" s="80"/>
      <c r="N184" s="74"/>
      <c r="O184" s="82" t="s">
        <v>776</v>
      </c>
      <c r="P184" s="82" t="s">
        <v>197</v>
      </c>
      <c r="Q184" s="82" t="s">
        <v>954</v>
      </c>
      <c r="R184" s="82" t="s">
        <v>403</v>
      </c>
      <c r="S184" s="82" t="s">
        <v>1479</v>
      </c>
      <c r="T184" s="84" t="str">
        <f>HYPERLINK("http://www.youtube.com/channel/UChTy6Fa2ucd7PJkS_PU91pw")</f>
        <v>http://www.youtube.com/channel/UChTy6Fa2ucd7PJkS_PU91pw</v>
      </c>
      <c r="U184" s="82"/>
      <c r="V184" s="82" t="s">
        <v>1831</v>
      </c>
      <c r="W184" s="84" t="str">
        <f>HYPERLINK("https://www.youtube.com/watch?v=5QB8QAuirzA")</f>
        <v>https://www.youtube.com/watch?v=5QB8QAuirzA</v>
      </c>
      <c r="X184" s="82" t="s">
        <v>1857</v>
      </c>
      <c r="Y184" s="82">
        <v>0</v>
      </c>
      <c r="Z184" s="86">
        <v>45145.91818287037</v>
      </c>
      <c r="AA184" s="86">
        <v>45145.91818287037</v>
      </c>
      <c r="AB184" s="82"/>
      <c r="AC184" s="82"/>
      <c r="AD184" s="82"/>
      <c r="AE184" s="82">
        <v>1</v>
      </c>
      <c r="AF184" s="81">
        <v>1</v>
      </c>
      <c r="AG184" s="81">
        <v>1</v>
      </c>
      <c r="AH184" s="49">
        <v>0</v>
      </c>
      <c r="AI184" s="50">
        <v>0</v>
      </c>
      <c r="AJ184" s="49">
        <v>0</v>
      </c>
      <c r="AK184" s="50">
        <v>0</v>
      </c>
      <c r="AL184" s="49">
        <v>0</v>
      </c>
      <c r="AM184" s="50">
        <v>0</v>
      </c>
      <c r="AN184" s="49">
        <v>0</v>
      </c>
      <c r="AO184" s="50">
        <v>0</v>
      </c>
      <c r="AP184" s="49">
        <v>2</v>
      </c>
    </row>
    <row r="185" spans="1:42" ht="15">
      <c r="A185" s="66" t="s">
        <v>404</v>
      </c>
      <c r="B185" s="66" t="s">
        <v>636</v>
      </c>
      <c r="C185" s="67" t="s">
        <v>774</v>
      </c>
      <c r="D185" s="68">
        <v>3</v>
      </c>
      <c r="E185" s="69"/>
      <c r="F185" s="70">
        <v>40</v>
      </c>
      <c r="G185" s="67"/>
      <c r="H185" s="71"/>
      <c r="I185" s="72"/>
      <c r="J185" s="72"/>
      <c r="K185" s="35" t="s">
        <v>65</v>
      </c>
      <c r="L185" s="80">
        <v>185</v>
      </c>
      <c r="M185" s="80"/>
      <c r="N185" s="74"/>
      <c r="O185" s="82" t="s">
        <v>776</v>
      </c>
      <c r="P185" s="82" t="s">
        <v>197</v>
      </c>
      <c r="Q185" s="82" t="s">
        <v>955</v>
      </c>
      <c r="R185" s="82" t="s">
        <v>404</v>
      </c>
      <c r="S185" s="82" t="s">
        <v>1480</v>
      </c>
      <c r="T185" s="84" t="str">
        <f>HYPERLINK("http://www.youtube.com/channel/UCY1gtLRu8FLXAOpOyWfGv7A")</f>
        <v>http://www.youtube.com/channel/UCY1gtLRu8FLXAOpOyWfGv7A</v>
      </c>
      <c r="U185" s="82"/>
      <c r="V185" s="82" t="s">
        <v>1831</v>
      </c>
      <c r="W185" s="84" t="str">
        <f>HYPERLINK("https://www.youtube.com/watch?v=5QB8QAuirzA")</f>
        <v>https://www.youtube.com/watch?v=5QB8QAuirzA</v>
      </c>
      <c r="X185" s="82" t="s">
        <v>1857</v>
      </c>
      <c r="Y185" s="82">
        <v>0</v>
      </c>
      <c r="Z185" s="86">
        <v>45145.95496527778</v>
      </c>
      <c r="AA185" s="86">
        <v>45145.95516203704</v>
      </c>
      <c r="AB185" s="82"/>
      <c r="AC185" s="82"/>
      <c r="AD185" s="82"/>
      <c r="AE185" s="82">
        <v>1</v>
      </c>
      <c r="AF185" s="81">
        <v>1</v>
      </c>
      <c r="AG185" s="81">
        <v>1</v>
      </c>
      <c r="AH185" s="49">
        <v>0</v>
      </c>
      <c r="AI185" s="50">
        <v>0</v>
      </c>
      <c r="AJ185" s="49">
        <v>1</v>
      </c>
      <c r="AK185" s="50">
        <v>6.25</v>
      </c>
      <c r="AL185" s="49">
        <v>0</v>
      </c>
      <c r="AM185" s="50">
        <v>0</v>
      </c>
      <c r="AN185" s="49">
        <v>7</v>
      </c>
      <c r="AO185" s="50">
        <v>43.75</v>
      </c>
      <c r="AP185" s="49">
        <v>16</v>
      </c>
    </row>
    <row r="186" spans="1:42" ht="15">
      <c r="A186" s="66" t="s">
        <v>405</v>
      </c>
      <c r="B186" s="66" t="s">
        <v>636</v>
      </c>
      <c r="C186" s="67" t="s">
        <v>774</v>
      </c>
      <c r="D186" s="68">
        <v>3</v>
      </c>
      <c r="E186" s="69"/>
      <c r="F186" s="70">
        <v>40</v>
      </c>
      <c r="G186" s="67"/>
      <c r="H186" s="71"/>
      <c r="I186" s="72"/>
      <c r="J186" s="72"/>
      <c r="K186" s="35" t="s">
        <v>65</v>
      </c>
      <c r="L186" s="80">
        <v>186</v>
      </c>
      <c r="M186" s="80"/>
      <c r="N186" s="74"/>
      <c r="O186" s="82" t="s">
        <v>776</v>
      </c>
      <c r="P186" s="82" t="s">
        <v>197</v>
      </c>
      <c r="Q186" s="82" t="s">
        <v>956</v>
      </c>
      <c r="R186" s="82" t="s">
        <v>405</v>
      </c>
      <c r="S186" s="82" t="s">
        <v>1481</v>
      </c>
      <c r="T186" s="84" t="str">
        <f>HYPERLINK("http://www.youtube.com/channel/UCWniJty321S9IogviKluAWA")</f>
        <v>http://www.youtube.com/channel/UCWniJty321S9IogviKluAWA</v>
      </c>
      <c r="U186" s="82"/>
      <c r="V186" s="82" t="s">
        <v>1831</v>
      </c>
      <c r="W186" s="84" t="str">
        <f>HYPERLINK("https://www.youtube.com/watch?v=5QB8QAuirzA")</f>
        <v>https://www.youtube.com/watch?v=5QB8QAuirzA</v>
      </c>
      <c r="X186" s="82" t="s">
        <v>1857</v>
      </c>
      <c r="Y186" s="82">
        <v>0</v>
      </c>
      <c r="Z186" s="86">
        <v>45146.0021412037</v>
      </c>
      <c r="AA186" s="86">
        <v>45146.0021412037</v>
      </c>
      <c r="AB186" s="82"/>
      <c r="AC186" s="82"/>
      <c r="AD186" s="82"/>
      <c r="AE186" s="82">
        <v>1</v>
      </c>
      <c r="AF186" s="81">
        <v>1</v>
      </c>
      <c r="AG186" s="81">
        <v>1</v>
      </c>
      <c r="AH186" s="49">
        <v>1</v>
      </c>
      <c r="AI186" s="110">
        <v>6.666666666666667</v>
      </c>
      <c r="AJ186" s="49">
        <v>1</v>
      </c>
      <c r="AK186" s="110">
        <v>6.666666666666667</v>
      </c>
      <c r="AL186" s="49">
        <v>0</v>
      </c>
      <c r="AM186" s="50">
        <v>0</v>
      </c>
      <c r="AN186" s="49">
        <v>5</v>
      </c>
      <c r="AO186" s="110">
        <v>33.333333333333336</v>
      </c>
      <c r="AP186" s="49">
        <v>15</v>
      </c>
    </row>
    <row r="187" spans="1:42" ht="15">
      <c r="A187" s="66" t="s">
        <v>406</v>
      </c>
      <c r="B187" s="66" t="s">
        <v>636</v>
      </c>
      <c r="C187" s="67" t="s">
        <v>774</v>
      </c>
      <c r="D187" s="68">
        <v>3</v>
      </c>
      <c r="E187" s="69"/>
      <c r="F187" s="70">
        <v>40</v>
      </c>
      <c r="G187" s="67"/>
      <c r="H187" s="71"/>
      <c r="I187" s="72"/>
      <c r="J187" s="72"/>
      <c r="K187" s="35" t="s">
        <v>65</v>
      </c>
      <c r="L187" s="80">
        <v>187</v>
      </c>
      <c r="M187" s="80"/>
      <c r="N187" s="74"/>
      <c r="O187" s="82" t="s">
        <v>776</v>
      </c>
      <c r="P187" s="82" t="s">
        <v>197</v>
      </c>
      <c r="Q187" s="82" t="s">
        <v>957</v>
      </c>
      <c r="R187" s="82" t="s">
        <v>406</v>
      </c>
      <c r="S187" s="82" t="s">
        <v>1482</v>
      </c>
      <c r="T187" s="84" t="str">
        <f>HYPERLINK("http://www.youtube.com/channel/UCeJ_Z2C8nVtM7LEC46GOEXw")</f>
        <v>http://www.youtube.com/channel/UCeJ_Z2C8nVtM7LEC46GOEXw</v>
      </c>
      <c r="U187" s="82"/>
      <c r="V187" s="82" t="s">
        <v>1831</v>
      </c>
      <c r="W187" s="84" t="str">
        <f>HYPERLINK("https://www.youtube.com/watch?v=5QB8QAuirzA")</f>
        <v>https://www.youtube.com/watch?v=5QB8QAuirzA</v>
      </c>
      <c r="X187" s="82" t="s">
        <v>1857</v>
      </c>
      <c r="Y187" s="82">
        <v>0</v>
      </c>
      <c r="Z187" s="86">
        <v>45146.53141203704</v>
      </c>
      <c r="AA187" s="86">
        <v>45146.53141203704</v>
      </c>
      <c r="AB187" s="82"/>
      <c r="AC187" s="82"/>
      <c r="AD187" s="82"/>
      <c r="AE187" s="82">
        <v>1</v>
      </c>
      <c r="AF187" s="81">
        <v>1</v>
      </c>
      <c r="AG187" s="81">
        <v>1</v>
      </c>
      <c r="AH187" s="49">
        <v>0</v>
      </c>
      <c r="AI187" s="50">
        <v>0</v>
      </c>
      <c r="AJ187" s="49">
        <v>0</v>
      </c>
      <c r="AK187" s="50">
        <v>0</v>
      </c>
      <c r="AL187" s="49">
        <v>0</v>
      </c>
      <c r="AM187" s="50">
        <v>0</v>
      </c>
      <c r="AN187" s="49">
        <v>1</v>
      </c>
      <c r="AO187" s="110">
        <v>16.666666666666668</v>
      </c>
      <c r="AP187" s="49">
        <v>6</v>
      </c>
    </row>
    <row r="188" spans="1:42" ht="15">
      <c r="A188" s="66" t="s">
        <v>407</v>
      </c>
      <c r="B188" s="66" t="s">
        <v>636</v>
      </c>
      <c r="C188" s="67" t="s">
        <v>774</v>
      </c>
      <c r="D188" s="68">
        <v>3</v>
      </c>
      <c r="E188" s="69"/>
      <c r="F188" s="70">
        <v>40</v>
      </c>
      <c r="G188" s="67"/>
      <c r="H188" s="71"/>
      <c r="I188" s="72"/>
      <c r="J188" s="72"/>
      <c r="K188" s="35" t="s">
        <v>65</v>
      </c>
      <c r="L188" s="80">
        <v>188</v>
      </c>
      <c r="M188" s="80"/>
      <c r="N188" s="74"/>
      <c r="O188" s="82" t="s">
        <v>776</v>
      </c>
      <c r="P188" s="82" t="s">
        <v>197</v>
      </c>
      <c r="Q188" s="82" t="s">
        <v>958</v>
      </c>
      <c r="R188" s="82" t="s">
        <v>407</v>
      </c>
      <c r="S188" s="82" t="s">
        <v>1483</v>
      </c>
      <c r="T188" s="84" t="str">
        <f>HYPERLINK("http://www.youtube.com/channel/UCYRjKcjwFNck0alXc6_rJAQ")</f>
        <v>http://www.youtube.com/channel/UCYRjKcjwFNck0alXc6_rJAQ</v>
      </c>
      <c r="U188" s="82"/>
      <c r="V188" s="82" t="s">
        <v>1831</v>
      </c>
      <c r="W188" s="84" t="str">
        <f>HYPERLINK("https://www.youtube.com/watch?v=5QB8QAuirzA")</f>
        <v>https://www.youtube.com/watch?v=5QB8QAuirzA</v>
      </c>
      <c r="X188" s="82" t="s">
        <v>1857</v>
      </c>
      <c r="Y188" s="82">
        <v>0</v>
      </c>
      <c r="Z188" s="86">
        <v>45146.570243055554</v>
      </c>
      <c r="AA188" s="86">
        <v>45146.570243055554</v>
      </c>
      <c r="AB188" s="82"/>
      <c r="AC188" s="82"/>
      <c r="AD188" s="82"/>
      <c r="AE188" s="82">
        <v>1</v>
      </c>
      <c r="AF188" s="81">
        <v>1</v>
      </c>
      <c r="AG188" s="81">
        <v>1</v>
      </c>
      <c r="AH188" s="49">
        <v>0</v>
      </c>
      <c r="AI188" s="50">
        <v>0</v>
      </c>
      <c r="AJ188" s="49">
        <v>0</v>
      </c>
      <c r="AK188" s="50">
        <v>0</v>
      </c>
      <c r="AL188" s="49">
        <v>0</v>
      </c>
      <c r="AM188" s="50">
        <v>0</v>
      </c>
      <c r="AN188" s="49">
        <v>7</v>
      </c>
      <c r="AO188" s="50">
        <v>70</v>
      </c>
      <c r="AP188" s="49">
        <v>10</v>
      </c>
    </row>
    <row r="189" spans="1:42" ht="15">
      <c r="A189" s="66" t="s">
        <v>408</v>
      </c>
      <c r="B189" s="66" t="s">
        <v>636</v>
      </c>
      <c r="C189" s="67" t="s">
        <v>774</v>
      </c>
      <c r="D189" s="68">
        <v>3</v>
      </c>
      <c r="E189" s="69"/>
      <c r="F189" s="70">
        <v>40</v>
      </c>
      <c r="G189" s="67"/>
      <c r="H189" s="71"/>
      <c r="I189" s="72"/>
      <c r="J189" s="72"/>
      <c r="K189" s="35" t="s">
        <v>65</v>
      </c>
      <c r="L189" s="80">
        <v>189</v>
      </c>
      <c r="M189" s="80"/>
      <c r="N189" s="74"/>
      <c r="O189" s="82" t="s">
        <v>776</v>
      </c>
      <c r="P189" s="82" t="s">
        <v>197</v>
      </c>
      <c r="Q189" s="82" t="s">
        <v>959</v>
      </c>
      <c r="R189" s="82" t="s">
        <v>408</v>
      </c>
      <c r="S189" s="82" t="s">
        <v>1484</v>
      </c>
      <c r="T189" s="84" t="str">
        <f>HYPERLINK("http://www.youtube.com/channel/UCZe61xRluV2bNs9axww2Uaw")</f>
        <v>http://www.youtube.com/channel/UCZe61xRluV2bNs9axww2Uaw</v>
      </c>
      <c r="U189" s="82"/>
      <c r="V189" s="82" t="s">
        <v>1831</v>
      </c>
      <c r="W189" s="84" t="str">
        <f>HYPERLINK("https://www.youtube.com/watch?v=5QB8QAuirzA")</f>
        <v>https://www.youtube.com/watch?v=5QB8QAuirzA</v>
      </c>
      <c r="X189" s="82" t="s">
        <v>1857</v>
      </c>
      <c r="Y189" s="82">
        <v>0</v>
      </c>
      <c r="Z189" s="86">
        <v>45146.63229166667</v>
      </c>
      <c r="AA189" s="86">
        <v>45146.63229166667</v>
      </c>
      <c r="AB189" s="82"/>
      <c r="AC189" s="82"/>
      <c r="AD189" s="82"/>
      <c r="AE189" s="82">
        <v>1</v>
      </c>
      <c r="AF189" s="81">
        <v>1</v>
      </c>
      <c r="AG189" s="81">
        <v>1</v>
      </c>
      <c r="AH189" s="49">
        <v>1</v>
      </c>
      <c r="AI189" s="110">
        <v>14.285714285714286</v>
      </c>
      <c r="AJ189" s="49">
        <v>0</v>
      </c>
      <c r="AK189" s="50">
        <v>0</v>
      </c>
      <c r="AL189" s="49">
        <v>0</v>
      </c>
      <c r="AM189" s="50">
        <v>0</v>
      </c>
      <c r="AN189" s="49">
        <v>5</v>
      </c>
      <c r="AO189" s="110">
        <v>71.42857142857143</v>
      </c>
      <c r="AP189" s="49">
        <v>7</v>
      </c>
    </row>
    <row r="190" spans="1:42" ht="15">
      <c r="A190" s="66" t="s">
        <v>409</v>
      </c>
      <c r="B190" s="66" t="s">
        <v>636</v>
      </c>
      <c r="C190" s="67" t="s">
        <v>774</v>
      </c>
      <c r="D190" s="68">
        <v>3</v>
      </c>
      <c r="E190" s="69"/>
      <c r="F190" s="70">
        <v>40</v>
      </c>
      <c r="G190" s="67"/>
      <c r="H190" s="71"/>
      <c r="I190" s="72"/>
      <c r="J190" s="72"/>
      <c r="K190" s="35" t="s">
        <v>65</v>
      </c>
      <c r="L190" s="80">
        <v>190</v>
      </c>
      <c r="M190" s="80"/>
      <c r="N190" s="74"/>
      <c r="O190" s="82" t="s">
        <v>776</v>
      </c>
      <c r="P190" s="82" t="s">
        <v>197</v>
      </c>
      <c r="Q190" s="82" t="s">
        <v>960</v>
      </c>
      <c r="R190" s="82" t="s">
        <v>409</v>
      </c>
      <c r="S190" s="82" t="s">
        <v>1485</v>
      </c>
      <c r="T190" s="84" t="str">
        <f>HYPERLINK("http://www.youtube.com/channel/UCZicpsqeD5GAD4LEA8GqkBA")</f>
        <v>http://www.youtube.com/channel/UCZicpsqeD5GAD4LEA8GqkBA</v>
      </c>
      <c r="U190" s="82"/>
      <c r="V190" s="82" t="s">
        <v>1831</v>
      </c>
      <c r="W190" s="84" t="str">
        <f>HYPERLINK("https://www.youtube.com/watch?v=5QB8QAuirzA")</f>
        <v>https://www.youtube.com/watch?v=5QB8QAuirzA</v>
      </c>
      <c r="X190" s="82" t="s">
        <v>1857</v>
      </c>
      <c r="Y190" s="82">
        <v>0</v>
      </c>
      <c r="Z190" s="86">
        <v>45146.83634259259</v>
      </c>
      <c r="AA190" s="86">
        <v>45146.83634259259</v>
      </c>
      <c r="AB190" s="82"/>
      <c r="AC190" s="82"/>
      <c r="AD190" s="82"/>
      <c r="AE190" s="82">
        <v>1</v>
      </c>
      <c r="AF190" s="81">
        <v>1</v>
      </c>
      <c r="AG190" s="81">
        <v>1</v>
      </c>
      <c r="AH190" s="49">
        <v>2</v>
      </c>
      <c r="AI190" s="110">
        <v>3.7037037037037037</v>
      </c>
      <c r="AJ190" s="49">
        <v>4</v>
      </c>
      <c r="AK190" s="110">
        <v>7.407407407407407</v>
      </c>
      <c r="AL190" s="49">
        <v>0</v>
      </c>
      <c r="AM190" s="50">
        <v>0</v>
      </c>
      <c r="AN190" s="49">
        <v>18</v>
      </c>
      <c r="AO190" s="110">
        <v>33.333333333333336</v>
      </c>
      <c r="AP190" s="49">
        <v>54</v>
      </c>
    </row>
    <row r="191" spans="1:42" ht="15">
      <c r="A191" s="66" t="s">
        <v>410</v>
      </c>
      <c r="B191" s="66" t="s">
        <v>636</v>
      </c>
      <c r="C191" s="67" t="s">
        <v>774</v>
      </c>
      <c r="D191" s="68">
        <v>3</v>
      </c>
      <c r="E191" s="69"/>
      <c r="F191" s="70">
        <v>40</v>
      </c>
      <c r="G191" s="67"/>
      <c r="H191" s="71"/>
      <c r="I191" s="72"/>
      <c r="J191" s="72"/>
      <c r="K191" s="35" t="s">
        <v>65</v>
      </c>
      <c r="L191" s="80">
        <v>191</v>
      </c>
      <c r="M191" s="80"/>
      <c r="N191" s="74"/>
      <c r="O191" s="82" t="s">
        <v>776</v>
      </c>
      <c r="P191" s="82" t="s">
        <v>197</v>
      </c>
      <c r="Q191" s="82" t="s">
        <v>961</v>
      </c>
      <c r="R191" s="82" t="s">
        <v>410</v>
      </c>
      <c r="S191" s="82" t="s">
        <v>1486</v>
      </c>
      <c r="T191" s="84" t="str">
        <f>HYPERLINK("http://www.youtube.com/channel/UCECg3dUl5Vqyg9pJZqEL80w")</f>
        <v>http://www.youtube.com/channel/UCECg3dUl5Vqyg9pJZqEL80w</v>
      </c>
      <c r="U191" s="82"/>
      <c r="V191" s="82" t="s">
        <v>1831</v>
      </c>
      <c r="W191" s="84" t="str">
        <f>HYPERLINK("https://www.youtube.com/watch?v=5QB8QAuirzA")</f>
        <v>https://www.youtube.com/watch?v=5QB8QAuirzA</v>
      </c>
      <c r="X191" s="82" t="s">
        <v>1857</v>
      </c>
      <c r="Y191" s="82">
        <v>0</v>
      </c>
      <c r="Z191" s="86">
        <v>45147.25944444445</v>
      </c>
      <c r="AA191" s="86">
        <v>45147.25944444445</v>
      </c>
      <c r="AB191" s="82"/>
      <c r="AC191" s="82"/>
      <c r="AD191" s="82"/>
      <c r="AE191" s="82">
        <v>1</v>
      </c>
      <c r="AF191" s="81">
        <v>1</v>
      </c>
      <c r="AG191" s="81">
        <v>1</v>
      </c>
      <c r="AH191" s="49">
        <v>0</v>
      </c>
      <c r="AI191" s="50">
        <v>0</v>
      </c>
      <c r="AJ191" s="49">
        <v>0</v>
      </c>
      <c r="AK191" s="50">
        <v>0</v>
      </c>
      <c r="AL191" s="49">
        <v>0</v>
      </c>
      <c r="AM191" s="50">
        <v>0</v>
      </c>
      <c r="AN191" s="49">
        <v>2</v>
      </c>
      <c r="AO191" s="50">
        <v>50</v>
      </c>
      <c r="AP191" s="49">
        <v>4</v>
      </c>
    </row>
    <row r="192" spans="1:42" ht="15">
      <c r="A192" s="66" t="s">
        <v>411</v>
      </c>
      <c r="B192" s="66" t="s">
        <v>636</v>
      </c>
      <c r="C192" s="67" t="s">
        <v>774</v>
      </c>
      <c r="D192" s="68">
        <v>3</v>
      </c>
      <c r="E192" s="69"/>
      <c r="F192" s="70">
        <v>40</v>
      </c>
      <c r="G192" s="67"/>
      <c r="H192" s="71"/>
      <c r="I192" s="72"/>
      <c r="J192" s="72"/>
      <c r="K192" s="35" t="s">
        <v>65</v>
      </c>
      <c r="L192" s="80">
        <v>192</v>
      </c>
      <c r="M192" s="80"/>
      <c r="N192" s="74"/>
      <c r="O192" s="82" t="s">
        <v>776</v>
      </c>
      <c r="P192" s="82" t="s">
        <v>197</v>
      </c>
      <c r="Q192" s="82" t="s">
        <v>962</v>
      </c>
      <c r="R192" s="82" t="s">
        <v>411</v>
      </c>
      <c r="S192" s="82" t="s">
        <v>1487</v>
      </c>
      <c r="T192" s="84" t="str">
        <f>HYPERLINK("http://www.youtube.com/channel/UCh6j_i-jA_QAK6LetczoBCw")</f>
        <v>http://www.youtube.com/channel/UCh6j_i-jA_QAK6LetczoBCw</v>
      </c>
      <c r="U192" s="82"/>
      <c r="V192" s="82" t="s">
        <v>1831</v>
      </c>
      <c r="W192" s="84" t="str">
        <f>HYPERLINK("https://www.youtube.com/watch?v=5QB8QAuirzA")</f>
        <v>https://www.youtube.com/watch?v=5QB8QAuirzA</v>
      </c>
      <c r="X192" s="82" t="s">
        <v>1857</v>
      </c>
      <c r="Y192" s="82">
        <v>0</v>
      </c>
      <c r="Z192" s="86">
        <v>45147.3334375</v>
      </c>
      <c r="AA192" s="86">
        <v>45147.3334375</v>
      </c>
      <c r="AB192" s="82"/>
      <c r="AC192" s="82"/>
      <c r="AD192" s="82"/>
      <c r="AE192" s="82">
        <v>1</v>
      </c>
      <c r="AF192" s="81">
        <v>1</v>
      </c>
      <c r="AG192" s="81">
        <v>1</v>
      </c>
      <c r="AH192" s="49">
        <v>3</v>
      </c>
      <c r="AI192" s="50">
        <v>12</v>
      </c>
      <c r="AJ192" s="49">
        <v>0</v>
      </c>
      <c r="AK192" s="50">
        <v>0</v>
      </c>
      <c r="AL192" s="49">
        <v>0</v>
      </c>
      <c r="AM192" s="50">
        <v>0</v>
      </c>
      <c r="AN192" s="49">
        <v>9</v>
      </c>
      <c r="AO192" s="50">
        <v>36</v>
      </c>
      <c r="AP192" s="49">
        <v>25</v>
      </c>
    </row>
    <row r="193" spans="1:42" ht="15">
      <c r="A193" s="66" t="s">
        <v>412</v>
      </c>
      <c r="B193" s="66" t="s">
        <v>636</v>
      </c>
      <c r="C193" s="67" t="s">
        <v>774</v>
      </c>
      <c r="D193" s="68">
        <v>3</v>
      </c>
      <c r="E193" s="69"/>
      <c r="F193" s="70">
        <v>40</v>
      </c>
      <c r="G193" s="67"/>
      <c r="H193" s="71"/>
      <c r="I193" s="72"/>
      <c r="J193" s="72"/>
      <c r="K193" s="35" t="s">
        <v>65</v>
      </c>
      <c r="L193" s="80">
        <v>193</v>
      </c>
      <c r="M193" s="80"/>
      <c r="N193" s="74"/>
      <c r="O193" s="82" t="s">
        <v>776</v>
      </c>
      <c r="P193" s="82" t="s">
        <v>197</v>
      </c>
      <c r="Q193" s="82" t="s">
        <v>963</v>
      </c>
      <c r="R193" s="82" t="s">
        <v>412</v>
      </c>
      <c r="S193" s="82" t="s">
        <v>1488</v>
      </c>
      <c r="T193" s="84" t="str">
        <f>HYPERLINK("http://www.youtube.com/channel/UC24YSqxrKE3mENq9qC6uRKQ")</f>
        <v>http://www.youtube.com/channel/UC24YSqxrKE3mENq9qC6uRKQ</v>
      </c>
      <c r="U193" s="82"/>
      <c r="V193" s="82" t="s">
        <v>1831</v>
      </c>
      <c r="W193" s="84" t="str">
        <f>HYPERLINK("https://www.youtube.com/watch?v=5QB8QAuirzA")</f>
        <v>https://www.youtube.com/watch?v=5QB8QAuirzA</v>
      </c>
      <c r="X193" s="82" t="s">
        <v>1857</v>
      </c>
      <c r="Y193" s="82">
        <v>0</v>
      </c>
      <c r="Z193" s="86">
        <v>45147.51762731482</v>
      </c>
      <c r="AA193" s="86">
        <v>45147.51762731482</v>
      </c>
      <c r="AB193" s="82"/>
      <c r="AC193" s="82"/>
      <c r="AD193" s="82"/>
      <c r="AE193" s="82">
        <v>1</v>
      </c>
      <c r="AF193" s="81">
        <v>1</v>
      </c>
      <c r="AG193" s="81">
        <v>1</v>
      </c>
      <c r="AH193" s="49">
        <v>0</v>
      </c>
      <c r="AI193" s="50">
        <v>0</v>
      </c>
      <c r="AJ193" s="49">
        <v>0</v>
      </c>
      <c r="AK193" s="50">
        <v>0</v>
      </c>
      <c r="AL193" s="49">
        <v>0</v>
      </c>
      <c r="AM193" s="50">
        <v>0</v>
      </c>
      <c r="AN193" s="49">
        <v>3</v>
      </c>
      <c r="AO193" s="50">
        <v>100</v>
      </c>
      <c r="AP193" s="49">
        <v>3</v>
      </c>
    </row>
    <row r="194" spans="1:42" ht="15">
      <c r="A194" s="66" t="s">
        <v>413</v>
      </c>
      <c r="B194" s="66" t="s">
        <v>636</v>
      </c>
      <c r="C194" s="67" t="s">
        <v>774</v>
      </c>
      <c r="D194" s="68">
        <v>3</v>
      </c>
      <c r="E194" s="69"/>
      <c r="F194" s="70">
        <v>40</v>
      </c>
      <c r="G194" s="67"/>
      <c r="H194" s="71"/>
      <c r="I194" s="72"/>
      <c r="J194" s="72"/>
      <c r="K194" s="35" t="s">
        <v>65</v>
      </c>
      <c r="L194" s="80">
        <v>194</v>
      </c>
      <c r="M194" s="80"/>
      <c r="N194" s="74"/>
      <c r="O194" s="82" t="s">
        <v>776</v>
      </c>
      <c r="P194" s="82" t="s">
        <v>197</v>
      </c>
      <c r="Q194" s="82" t="s">
        <v>964</v>
      </c>
      <c r="R194" s="82" t="s">
        <v>413</v>
      </c>
      <c r="S194" s="82" t="s">
        <v>1489</v>
      </c>
      <c r="T194" s="84" t="str">
        <f>HYPERLINK("http://www.youtube.com/channel/UCx06jHpdMU5F-nHyqkEJCQw")</f>
        <v>http://www.youtube.com/channel/UCx06jHpdMU5F-nHyqkEJCQw</v>
      </c>
      <c r="U194" s="82"/>
      <c r="V194" s="82" t="s">
        <v>1831</v>
      </c>
      <c r="W194" s="84" t="str">
        <f>HYPERLINK("https://www.youtube.com/watch?v=5QB8QAuirzA")</f>
        <v>https://www.youtube.com/watch?v=5QB8QAuirzA</v>
      </c>
      <c r="X194" s="82" t="s">
        <v>1857</v>
      </c>
      <c r="Y194" s="82">
        <v>0</v>
      </c>
      <c r="Z194" s="86">
        <v>45147.9796412037</v>
      </c>
      <c r="AA194" s="86">
        <v>45147.9796412037</v>
      </c>
      <c r="AB194" s="82"/>
      <c r="AC194" s="82"/>
      <c r="AD194" s="82"/>
      <c r="AE194" s="82">
        <v>1</v>
      </c>
      <c r="AF194" s="81">
        <v>1</v>
      </c>
      <c r="AG194" s="81">
        <v>1</v>
      </c>
      <c r="AH194" s="49">
        <v>0</v>
      </c>
      <c r="AI194" s="50">
        <v>0</v>
      </c>
      <c r="AJ194" s="49">
        <v>0</v>
      </c>
      <c r="AK194" s="50">
        <v>0</v>
      </c>
      <c r="AL194" s="49">
        <v>0</v>
      </c>
      <c r="AM194" s="50">
        <v>0</v>
      </c>
      <c r="AN194" s="49">
        <v>1</v>
      </c>
      <c r="AO194" s="110">
        <v>33.333333333333336</v>
      </c>
      <c r="AP194" s="49">
        <v>3</v>
      </c>
    </row>
    <row r="195" spans="1:42" ht="15">
      <c r="A195" s="66" t="s">
        <v>414</v>
      </c>
      <c r="B195" s="66" t="s">
        <v>636</v>
      </c>
      <c r="C195" s="67" t="s">
        <v>774</v>
      </c>
      <c r="D195" s="68">
        <v>3</v>
      </c>
      <c r="E195" s="69"/>
      <c r="F195" s="70">
        <v>40</v>
      </c>
      <c r="G195" s="67"/>
      <c r="H195" s="71"/>
      <c r="I195" s="72"/>
      <c r="J195" s="72"/>
      <c r="K195" s="35" t="s">
        <v>65</v>
      </c>
      <c r="L195" s="80">
        <v>195</v>
      </c>
      <c r="M195" s="80"/>
      <c r="N195" s="74"/>
      <c r="O195" s="82" t="s">
        <v>776</v>
      </c>
      <c r="P195" s="82" t="s">
        <v>197</v>
      </c>
      <c r="Q195" s="82" t="s">
        <v>965</v>
      </c>
      <c r="R195" s="82" t="s">
        <v>414</v>
      </c>
      <c r="S195" s="82" t="s">
        <v>1490</v>
      </c>
      <c r="T195" s="84" t="str">
        <f>HYPERLINK("http://www.youtube.com/channel/UCqD3A52h1h0jSb3rANFqv1w")</f>
        <v>http://www.youtube.com/channel/UCqD3A52h1h0jSb3rANFqv1w</v>
      </c>
      <c r="U195" s="82"/>
      <c r="V195" s="82" t="s">
        <v>1831</v>
      </c>
      <c r="W195" s="84" t="str">
        <f>HYPERLINK("https://www.youtube.com/watch?v=5QB8QAuirzA")</f>
        <v>https://www.youtube.com/watch?v=5QB8QAuirzA</v>
      </c>
      <c r="X195" s="82" t="s">
        <v>1857</v>
      </c>
      <c r="Y195" s="82">
        <v>0</v>
      </c>
      <c r="Z195" s="86">
        <v>45148.165821759256</v>
      </c>
      <c r="AA195" s="86">
        <v>45148.165821759256</v>
      </c>
      <c r="AB195" s="82"/>
      <c r="AC195" s="82"/>
      <c r="AD195" s="82"/>
      <c r="AE195" s="82">
        <v>1</v>
      </c>
      <c r="AF195" s="81">
        <v>1</v>
      </c>
      <c r="AG195" s="81">
        <v>1</v>
      </c>
      <c r="AH195" s="49">
        <v>3</v>
      </c>
      <c r="AI195" s="110">
        <v>42.857142857142854</v>
      </c>
      <c r="AJ195" s="49">
        <v>0</v>
      </c>
      <c r="AK195" s="50">
        <v>0</v>
      </c>
      <c r="AL195" s="49">
        <v>0</v>
      </c>
      <c r="AM195" s="50">
        <v>0</v>
      </c>
      <c r="AN195" s="49">
        <v>1</v>
      </c>
      <c r="AO195" s="110">
        <v>14.285714285714286</v>
      </c>
      <c r="AP195" s="49">
        <v>7</v>
      </c>
    </row>
    <row r="196" spans="1:42" ht="15">
      <c r="A196" s="66" t="s">
        <v>415</v>
      </c>
      <c r="B196" s="66" t="s">
        <v>636</v>
      </c>
      <c r="C196" s="67" t="s">
        <v>774</v>
      </c>
      <c r="D196" s="68">
        <v>3</v>
      </c>
      <c r="E196" s="69"/>
      <c r="F196" s="70">
        <v>40</v>
      </c>
      <c r="G196" s="67"/>
      <c r="H196" s="71"/>
      <c r="I196" s="72"/>
      <c r="J196" s="72"/>
      <c r="K196" s="35" t="s">
        <v>65</v>
      </c>
      <c r="L196" s="80">
        <v>196</v>
      </c>
      <c r="M196" s="80"/>
      <c r="N196" s="74"/>
      <c r="O196" s="82" t="s">
        <v>776</v>
      </c>
      <c r="P196" s="82" t="s">
        <v>197</v>
      </c>
      <c r="Q196" s="82" t="s">
        <v>966</v>
      </c>
      <c r="R196" s="82" t="s">
        <v>415</v>
      </c>
      <c r="S196" s="82" t="s">
        <v>1491</v>
      </c>
      <c r="T196" s="84" t="str">
        <f>HYPERLINK("http://www.youtube.com/channel/UCmmcom5caQMTS6Kckp0Jt_w")</f>
        <v>http://www.youtube.com/channel/UCmmcom5caQMTS6Kckp0Jt_w</v>
      </c>
      <c r="U196" s="82"/>
      <c r="V196" s="82" t="s">
        <v>1831</v>
      </c>
      <c r="W196" s="84" t="str">
        <f>HYPERLINK("https://www.youtube.com/watch?v=5QB8QAuirzA")</f>
        <v>https://www.youtube.com/watch?v=5QB8QAuirzA</v>
      </c>
      <c r="X196" s="82" t="s">
        <v>1857</v>
      </c>
      <c r="Y196" s="82">
        <v>0</v>
      </c>
      <c r="Z196" s="86">
        <v>45148.26416666667</v>
      </c>
      <c r="AA196" s="86">
        <v>45148.26416666667</v>
      </c>
      <c r="AB196" s="82"/>
      <c r="AC196" s="82"/>
      <c r="AD196" s="82"/>
      <c r="AE196" s="82">
        <v>1</v>
      </c>
      <c r="AF196" s="81">
        <v>1</v>
      </c>
      <c r="AG196" s="81">
        <v>1</v>
      </c>
      <c r="AH196" s="49">
        <v>1</v>
      </c>
      <c r="AI196" s="110">
        <v>3.8461538461538463</v>
      </c>
      <c r="AJ196" s="49">
        <v>2</v>
      </c>
      <c r="AK196" s="110">
        <v>7.6923076923076925</v>
      </c>
      <c r="AL196" s="49">
        <v>0</v>
      </c>
      <c r="AM196" s="50">
        <v>0</v>
      </c>
      <c r="AN196" s="49">
        <v>8</v>
      </c>
      <c r="AO196" s="110">
        <v>30.76923076923077</v>
      </c>
      <c r="AP196" s="49">
        <v>26</v>
      </c>
    </row>
    <row r="197" spans="1:42" ht="15">
      <c r="A197" s="66" t="s">
        <v>416</v>
      </c>
      <c r="B197" s="66" t="s">
        <v>636</v>
      </c>
      <c r="C197" s="67" t="s">
        <v>774</v>
      </c>
      <c r="D197" s="68">
        <v>3</v>
      </c>
      <c r="E197" s="69"/>
      <c r="F197" s="70">
        <v>40</v>
      </c>
      <c r="G197" s="67"/>
      <c r="H197" s="71"/>
      <c r="I197" s="72"/>
      <c r="J197" s="72"/>
      <c r="K197" s="35" t="s">
        <v>65</v>
      </c>
      <c r="L197" s="80">
        <v>197</v>
      </c>
      <c r="M197" s="80"/>
      <c r="N197" s="74"/>
      <c r="O197" s="82" t="s">
        <v>776</v>
      </c>
      <c r="P197" s="82" t="s">
        <v>197</v>
      </c>
      <c r="Q197" s="82" t="s">
        <v>967</v>
      </c>
      <c r="R197" s="82" t="s">
        <v>416</v>
      </c>
      <c r="S197" s="82" t="s">
        <v>1492</v>
      </c>
      <c r="T197" s="84" t="str">
        <f>HYPERLINK("http://www.youtube.com/channel/UCwzGlzLIo7UrarduC4C_aZw")</f>
        <v>http://www.youtube.com/channel/UCwzGlzLIo7UrarduC4C_aZw</v>
      </c>
      <c r="U197" s="82"/>
      <c r="V197" s="82" t="s">
        <v>1831</v>
      </c>
      <c r="W197" s="84" t="str">
        <f>HYPERLINK("https://www.youtube.com/watch?v=5QB8QAuirzA")</f>
        <v>https://www.youtube.com/watch?v=5QB8QAuirzA</v>
      </c>
      <c r="X197" s="82" t="s">
        <v>1857</v>
      </c>
      <c r="Y197" s="82">
        <v>0</v>
      </c>
      <c r="Z197" s="86">
        <v>45149.125393518516</v>
      </c>
      <c r="AA197" s="86">
        <v>45149.125393518516</v>
      </c>
      <c r="AB197" s="82"/>
      <c r="AC197" s="82"/>
      <c r="AD197" s="82"/>
      <c r="AE197" s="82">
        <v>1</v>
      </c>
      <c r="AF197" s="81">
        <v>1</v>
      </c>
      <c r="AG197" s="81">
        <v>1</v>
      </c>
      <c r="AH197" s="49">
        <v>1</v>
      </c>
      <c r="AI197" s="50">
        <v>12.5</v>
      </c>
      <c r="AJ197" s="49">
        <v>0</v>
      </c>
      <c r="AK197" s="50">
        <v>0</v>
      </c>
      <c r="AL197" s="49">
        <v>0</v>
      </c>
      <c r="AM197" s="50">
        <v>0</v>
      </c>
      <c r="AN197" s="49">
        <v>4</v>
      </c>
      <c r="AO197" s="50">
        <v>50</v>
      </c>
      <c r="AP197" s="49">
        <v>8</v>
      </c>
    </row>
    <row r="198" spans="1:42" ht="15">
      <c r="A198" s="66" t="s">
        <v>417</v>
      </c>
      <c r="B198" s="66" t="s">
        <v>636</v>
      </c>
      <c r="C198" s="67" t="s">
        <v>774</v>
      </c>
      <c r="D198" s="68">
        <v>3</v>
      </c>
      <c r="E198" s="69"/>
      <c r="F198" s="70">
        <v>40</v>
      </c>
      <c r="G198" s="67"/>
      <c r="H198" s="71"/>
      <c r="I198" s="72"/>
      <c r="J198" s="72"/>
      <c r="K198" s="35" t="s">
        <v>65</v>
      </c>
      <c r="L198" s="80">
        <v>198</v>
      </c>
      <c r="M198" s="80"/>
      <c r="N198" s="74"/>
      <c r="O198" s="82" t="s">
        <v>776</v>
      </c>
      <c r="P198" s="82" t="s">
        <v>197</v>
      </c>
      <c r="Q198" s="82" t="s">
        <v>968</v>
      </c>
      <c r="R198" s="82" t="s">
        <v>417</v>
      </c>
      <c r="S198" s="82" t="s">
        <v>1493</v>
      </c>
      <c r="T198" s="84" t="str">
        <f>HYPERLINK("http://www.youtube.com/channel/UCM21IbEfPiy-ntIODvhCSIA")</f>
        <v>http://www.youtube.com/channel/UCM21IbEfPiy-ntIODvhCSIA</v>
      </c>
      <c r="U198" s="82"/>
      <c r="V198" s="82" t="s">
        <v>1831</v>
      </c>
      <c r="W198" s="84" t="str">
        <f>HYPERLINK("https://www.youtube.com/watch?v=5QB8QAuirzA")</f>
        <v>https://www.youtube.com/watch?v=5QB8QAuirzA</v>
      </c>
      <c r="X198" s="82" t="s">
        <v>1857</v>
      </c>
      <c r="Y198" s="82">
        <v>0</v>
      </c>
      <c r="Z198" s="86">
        <v>45149.29094907407</v>
      </c>
      <c r="AA198" s="86">
        <v>45149.29094907407</v>
      </c>
      <c r="AB198" s="82"/>
      <c r="AC198" s="82"/>
      <c r="AD198" s="82"/>
      <c r="AE198" s="82">
        <v>1</v>
      </c>
      <c r="AF198" s="81">
        <v>1</v>
      </c>
      <c r="AG198" s="81">
        <v>1</v>
      </c>
      <c r="AH198" s="49">
        <v>0</v>
      </c>
      <c r="AI198" s="50">
        <v>0</v>
      </c>
      <c r="AJ198" s="49">
        <v>0</v>
      </c>
      <c r="AK198" s="50">
        <v>0</v>
      </c>
      <c r="AL198" s="49">
        <v>0</v>
      </c>
      <c r="AM198" s="50">
        <v>0</v>
      </c>
      <c r="AN198" s="49">
        <v>1</v>
      </c>
      <c r="AO198" s="50">
        <v>100</v>
      </c>
      <c r="AP198" s="49">
        <v>1</v>
      </c>
    </row>
    <row r="199" spans="1:42" ht="15">
      <c r="A199" s="66" t="s">
        <v>418</v>
      </c>
      <c r="B199" s="66" t="s">
        <v>636</v>
      </c>
      <c r="C199" s="67" t="s">
        <v>774</v>
      </c>
      <c r="D199" s="68">
        <v>3</v>
      </c>
      <c r="E199" s="69"/>
      <c r="F199" s="70">
        <v>40</v>
      </c>
      <c r="G199" s="67"/>
      <c r="H199" s="71"/>
      <c r="I199" s="72"/>
      <c r="J199" s="72"/>
      <c r="K199" s="35" t="s">
        <v>65</v>
      </c>
      <c r="L199" s="80">
        <v>199</v>
      </c>
      <c r="M199" s="80"/>
      <c r="N199" s="74"/>
      <c r="O199" s="82" t="s">
        <v>776</v>
      </c>
      <c r="P199" s="82" t="s">
        <v>197</v>
      </c>
      <c r="Q199" s="82" t="s">
        <v>969</v>
      </c>
      <c r="R199" s="82" t="s">
        <v>418</v>
      </c>
      <c r="S199" s="82" t="s">
        <v>1494</v>
      </c>
      <c r="T199" s="84" t="str">
        <f>HYPERLINK("http://www.youtube.com/channel/UC8PaiC2YsE3rda3ZQUL-gcw")</f>
        <v>http://www.youtube.com/channel/UC8PaiC2YsE3rda3ZQUL-gcw</v>
      </c>
      <c r="U199" s="82"/>
      <c r="V199" s="82" t="s">
        <v>1831</v>
      </c>
      <c r="W199" s="84" t="str">
        <f>HYPERLINK("https://www.youtube.com/watch?v=5QB8QAuirzA")</f>
        <v>https://www.youtube.com/watch?v=5QB8QAuirzA</v>
      </c>
      <c r="X199" s="82" t="s">
        <v>1857</v>
      </c>
      <c r="Y199" s="82">
        <v>0</v>
      </c>
      <c r="Z199" s="86">
        <v>45150.00466435185</v>
      </c>
      <c r="AA199" s="86">
        <v>45150.00466435185</v>
      </c>
      <c r="AB199" s="82"/>
      <c r="AC199" s="82"/>
      <c r="AD199" s="82"/>
      <c r="AE199" s="82">
        <v>1</v>
      </c>
      <c r="AF199" s="81">
        <v>1</v>
      </c>
      <c r="AG199" s="81">
        <v>1</v>
      </c>
      <c r="AH199" s="49">
        <v>1</v>
      </c>
      <c r="AI199" s="50">
        <v>100</v>
      </c>
      <c r="AJ199" s="49">
        <v>0</v>
      </c>
      <c r="AK199" s="50">
        <v>0</v>
      </c>
      <c r="AL199" s="49">
        <v>0</v>
      </c>
      <c r="AM199" s="50">
        <v>0</v>
      </c>
      <c r="AN199" s="49">
        <v>0</v>
      </c>
      <c r="AO199" s="50">
        <v>0</v>
      </c>
      <c r="AP199" s="49">
        <v>1</v>
      </c>
    </row>
    <row r="200" spans="1:42" ht="15">
      <c r="A200" s="66" t="s">
        <v>419</v>
      </c>
      <c r="B200" s="66" t="s">
        <v>636</v>
      </c>
      <c r="C200" s="67" t="s">
        <v>774</v>
      </c>
      <c r="D200" s="68">
        <v>3</v>
      </c>
      <c r="E200" s="69"/>
      <c r="F200" s="70">
        <v>40</v>
      </c>
      <c r="G200" s="67"/>
      <c r="H200" s="71"/>
      <c r="I200" s="72"/>
      <c r="J200" s="72"/>
      <c r="K200" s="35" t="s">
        <v>65</v>
      </c>
      <c r="L200" s="80">
        <v>200</v>
      </c>
      <c r="M200" s="80"/>
      <c r="N200" s="74"/>
      <c r="O200" s="82" t="s">
        <v>776</v>
      </c>
      <c r="P200" s="82" t="s">
        <v>197</v>
      </c>
      <c r="Q200" s="82" t="s">
        <v>970</v>
      </c>
      <c r="R200" s="82" t="s">
        <v>419</v>
      </c>
      <c r="S200" s="82" t="s">
        <v>1495</v>
      </c>
      <c r="T200" s="84" t="str">
        <f>HYPERLINK("http://www.youtube.com/channel/UCdvR7iV4G-vnMvu0NI4zWhA")</f>
        <v>http://www.youtube.com/channel/UCdvR7iV4G-vnMvu0NI4zWhA</v>
      </c>
      <c r="U200" s="82"/>
      <c r="V200" s="82" t="s">
        <v>1831</v>
      </c>
      <c r="W200" s="84" t="str">
        <f>HYPERLINK("https://www.youtube.com/watch?v=5QB8QAuirzA")</f>
        <v>https://www.youtube.com/watch?v=5QB8QAuirzA</v>
      </c>
      <c r="X200" s="82" t="s">
        <v>1857</v>
      </c>
      <c r="Y200" s="82">
        <v>0</v>
      </c>
      <c r="Z200" s="86">
        <v>45150.24255787037</v>
      </c>
      <c r="AA200" s="86">
        <v>45150.24255787037</v>
      </c>
      <c r="AB200" s="82"/>
      <c r="AC200" s="82"/>
      <c r="AD200" s="82"/>
      <c r="AE200" s="82">
        <v>1</v>
      </c>
      <c r="AF200" s="81">
        <v>1</v>
      </c>
      <c r="AG200" s="81">
        <v>1</v>
      </c>
      <c r="AH200" s="49">
        <v>1</v>
      </c>
      <c r="AI200" s="110">
        <v>7.142857142857143</v>
      </c>
      <c r="AJ200" s="49">
        <v>0</v>
      </c>
      <c r="AK200" s="50">
        <v>0</v>
      </c>
      <c r="AL200" s="49">
        <v>0</v>
      </c>
      <c r="AM200" s="50">
        <v>0</v>
      </c>
      <c r="AN200" s="49">
        <v>5</v>
      </c>
      <c r="AO200" s="110">
        <v>35.714285714285715</v>
      </c>
      <c r="AP200" s="49">
        <v>14</v>
      </c>
    </row>
    <row r="201" spans="1:42" ht="15">
      <c r="A201" s="66" t="s">
        <v>420</v>
      </c>
      <c r="B201" s="66" t="s">
        <v>636</v>
      </c>
      <c r="C201" s="67" t="s">
        <v>774</v>
      </c>
      <c r="D201" s="68">
        <v>3</v>
      </c>
      <c r="E201" s="69"/>
      <c r="F201" s="70">
        <v>40</v>
      </c>
      <c r="G201" s="67"/>
      <c r="H201" s="71"/>
      <c r="I201" s="72"/>
      <c r="J201" s="72"/>
      <c r="K201" s="35" t="s">
        <v>65</v>
      </c>
      <c r="L201" s="80">
        <v>201</v>
      </c>
      <c r="M201" s="80"/>
      <c r="N201" s="74"/>
      <c r="O201" s="82" t="s">
        <v>776</v>
      </c>
      <c r="P201" s="82" t="s">
        <v>197</v>
      </c>
      <c r="Q201" s="82" t="s">
        <v>971</v>
      </c>
      <c r="R201" s="82" t="s">
        <v>420</v>
      </c>
      <c r="S201" s="82" t="s">
        <v>1496</v>
      </c>
      <c r="T201" s="84" t="str">
        <f>HYPERLINK("http://www.youtube.com/channel/UCAVJG0fxaA_kPUINLhmfA-w")</f>
        <v>http://www.youtube.com/channel/UCAVJG0fxaA_kPUINLhmfA-w</v>
      </c>
      <c r="U201" s="82"/>
      <c r="V201" s="82" t="s">
        <v>1831</v>
      </c>
      <c r="W201" s="84" t="str">
        <f>HYPERLINK("https://www.youtube.com/watch?v=5QB8QAuirzA")</f>
        <v>https://www.youtube.com/watch?v=5QB8QAuirzA</v>
      </c>
      <c r="X201" s="82" t="s">
        <v>1857</v>
      </c>
      <c r="Y201" s="82">
        <v>0</v>
      </c>
      <c r="Z201" s="86">
        <v>45151.14418981481</v>
      </c>
      <c r="AA201" s="86">
        <v>45151.154270833336</v>
      </c>
      <c r="AB201" s="82" t="s">
        <v>1858</v>
      </c>
      <c r="AC201" s="82" t="s">
        <v>1861</v>
      </c>
      <c r="AD201" s="82"/>
      <c r="AE201" s="82">
        <v>1</v>
      </c>
      <c r="AF201" s="81">
        <v>1</v>
      </c>
      <c r="AG201" s="81">
        <v>1</v>
      </c>
      <c r="AH201" s="49">
        <v>0</v>
      </c>
      <c r="AI201" s="50">
        <v>0</v>
      </c>
      <c r="AJ201" s="49">
        <v>0</v>
      </c>
      <c r="AK201" s="50">
        <v>0</v>
      </c>
      <c r="AL201" s="49">
        <v>0</v>
      </c>
      <c r="AM201" s="50">
        <v>0</v>
      </c>
      <c r="AN201" s="49">
        <v>21</v>
      </c>
      <c r="AO201" s="110">
        <v>31.34328358208955</v>
      </c>
      <c r="AP201" s="49">
        <v>67</v>
      </c>
    </row>
    <row r="202" spans="1:42" ht="15">
      <c r="A202" s="66" t="s">
        <v>421</v>
      </c>
      <c r="B202" s="66" t="s">
        <v>636</v>
      </c>
      <c r="C202" s="67" t="s">
        <v>774</v>
      </c>
      <c r="D202" s="68">
        <v>3</v>
      </c>
      <c r="E202" s="69"/>
      <c r="F202" s="70">
        <v>40</v>
      </c>
      <c r="G202" s="67"/>
      <c r="H202" s="71"/>
      <c r="I202" s="72"/>
      <c r="J202" s="72"/>
      <c r="K202" s="35" t="s">
        <v>65</v>
      </c>
      <c r="L202" s="80">
        <v>202</v>
      </c>
      <c r="M202" s="80"/>
      <c r="N202" s="74"/>
      <c r="O202" s="82" t="s">
        <v>776</v>
      </c>
      <c r="P202" s="82" t="s">
        <v>197</v>
      </c>
      <c r="Q202" s="82" t="s">
        <v>972</v>
      </c>
      <c r="R202" s="82" t="s">
        <v>421</v>
      </c>
      <c r="S202" s="82" t="s">
        <v>1497</v>
      </c>
      <c r="T202" s="84" t="str">
        <f>HYPERLINK("http://www.youtube.com/channel/UC0k06fmk6sT_VHAbedR5VQw")</f>
        <v>http://www.youtube.com/channel/UC0k06fmk6sT_VHAbedR5VQw</v>
      </c>
      <c r="U202" s="82"/>
      <c r="V202" s="82" t="s">
        <v>1831</v>
      </c>
      <c r="W202" s="84" t="str">
        <f>HYPERLINK("https://www.youtube.com/watch?v=5QB8QAuirzA")</f>
        <v>https://www.youtube.com/watch?v=5QB8QAuirzA</v>
      </c>
      <c r="X202" s="82" t="s">
        <v>1857</v>
      </c>
      <c r="Y202" s="82">
        <v>0</v>
      </c>
      <c r="Z202" s="86">
        <v>45151.27291666667</v>
      </c>
      <c r="AA202" s="86">
        <v>45151.27291666667</v>
      </c>
      <c r="AB202" s="82"/>
      <c r="AC202" s="82"/>
      <c r="AD202" s="82"/>
      <c r="AE202" s="82">
        <v>1</v>
      </c>
      <c r="AF202" s="81">
        <v>1</v>
      </c>
      <c r="AG202" s="81">
        <v>1</v>
      </c>
      <c r="AH202" s="49">
        <v>7</v>
      </c>
      <c r="AI202" s="110">
        <v>2.7777777777777777</v>
      </c>
      <c r="AJ202" s="49">
        <v>11</v>
      </c>
      <c r="AK202" s="110">
        <v>4.365079365079365</v>
      </c>
      <c r="AL202" s="49">
        <v>0</v>
      </c>
      <c r="AM202" s="50">
        <v>0</v>
      </c>
      <c r="AN202" s="49">
        <v>79</v>
      </c>
      <c r="AO202" s="110">
        <v>31.349206349206348</v>
      </c>
      <c r="AP202" s="49">
        <v>252</v>
      </c>
    </row>
    <row r="203" spans="1:42" ht="15">
      <c r="A203" s="66" t="s">
        <v>422</v>
      </c>
      <c r="B203" s="66" t="s">
        <v>636</v>
      </c>
      <c r="C203" s="67" t="s">
        <v>774</v>
      </c>
      <c r="D203" s="68">
        <v>3</v>
      </c>
      <c r="E203" s="69"/>
      <c r="F203" s="70">
        <v>40</v>
      </c>
      <c r="G203" s="67"/>
      <c r="H203" s="71"/>
      <c r="I203" s="72"/>
      <c r="J203" s="72"/>
      <c r="K203" s="35" t="s">
        <v>65</v>
      </c>
      <c r="L203" s="80">
        <v>203</v>
      </c>
      <c r="M203" s="80"/>
      <c r="N203" s="74"/>
      <c r="O203" s="82" t="s">
        <v>776</v>
      </c>
      <c r="P203" s="82" t="s">
        <v>197</v>
      </c>
      <c r="Q203" s="82" t="s">
        <v>973</v>
      </c>
      <c r="R203" s="82" t="s">
        <v>422</v>
      </c>
      <c r="S203" s="82" t="s">
        <v>1498</v>
      </c>
      <c r="T203" s="84" t="str">
        <f>HYPERLINK("http://www.youtube.com/channel/UCz7toGDN_Fd4eoM7uumJFYw")</f>
        <v>http://www.youtube.com/channel/UCz7toGDN_Fd4eoM7uumJFYw</v>
      </c>
      <c r="U203" s="82"/>
      <c r="V203" s="82" t="s">
        <v>1831</v>
      </c>
      <c r="W203" s="84" t="str">
        <f>HYPERLINK("https://www.youtube.com/watch?v=5QB8QAuirzA")</f>
        <v>https://www.youtube.com/watch?v=5QB8QAuirzA</v>
      </c>
      <c r="X203" s="82" t="s">
        <v>1857</v>
      </c>
      <c r="Y203" s="82">
        <v>0</v>
      </c>
      <c r="Z203" s="86">
        <v>45151.39974537037</v>
      </c>
      <c r="AA203" s="86">
        <v>45151.39974537037</v>
      </c>
      <c r="AB203" s="82"/>
      <c r="AC203" s="82"/>
      <c r="AD203" s="82"/>
      <c r="AE203" s="82">
        <v>1</v>
      </c>
      <c r="AF203" s="81">
        <v>1</v>
      </c>
      <c r="AG203" s="81">
        <v>1</v>
      </c>
      <c r="AH203" s="49">
        <v>1</v>
      </c>
      <c r="AI203" s="50">
        <v>5</v>
      </c>
      <c r="AJ203" s="49">
        <v>1</v>
      </c>
      <c r="AK203" s="50">
        <v>5</v>
      </c>
      <c r="AL203" s="49">
        <v>0</v>
      </c>
      <c r="AM203" s="50">
        <v>0</v>
      </c>
      <c r="AN203" s="49">
        <v>7</v>
      </c>
      <c r="AO203" s="50">
        <v>35</v>
      </c>
      <c r="AP203" s="49">
        <v>20</v>
      </c>
    </row>
    <row r="204" spans="1:42" ht="15">
      <c r="A204" s="66" t="s">
        <v>423</v>
      </c>
      <c r="B204" s="66" t="s">
        <v>636</v>
      </c>
      <c r="C204" s="67" t="s">
        <v>774</v>
      </c>
      <c r="D204" s="68">
        <v>3</v>
      </c>
      <c r="E204" s="69"/>
      <c r="F204" s="70">
        <v>40</v>
      </c>
      <c r="G204" s="67"/>
      <c r="H204" s="71"/>
      <c r="I204" s="72"/>
      <c r="J204" s="72"/>
      <c r="K204" s="35" t="s">
        <v>65</v>
      </c>
      <c r="L204" s="80">
        <v>204</v>
      </c>
      <c r="M204" s="80"/>
      <c r="N204" s="74"/>
      <c r="O204" s="82" t="s">
        <v>776</v>
      </c>
      <c r="P204" s="82" t="s">
        <v>197</v>
      </c>
      <c r="Q204" s="82" t="s">
        <v>974</v>
      </c>
      <c r="R204" s="82" t="s">
        <v>423</v>
      </c>
      <c r="S204" s="82" t="s">
        <v>1499</v>
      </c>
      <c r="T204" s="84" t="str">
        <f>HYPERLINK("http://www.youtube.com/channel/UC0ZASB-kRxfZJ2JOp3JvK0A")</f>
        <v>http://www.youtube.com/channel/UC0ZASB-kRxfZJ2JOp3JvK0A</v>
      </c>
      <c r="U204" s="82"/>
      <c r="V204" s="82" t="s">
        <v>1831</v>
      </c>
      <c r="W204" s="84" t="str">
        <f>HYPERLINK("https://www.youtube.com/watch?v=5QB8QAuirzA")</f>
        <v>https://www.youtube.com/watch?v=5QB8QAuirzA</v>
      </c>
      <c r="X204" s="82" t="s">
        <v>1857</v>
      </c>
      <c r="Y204" s="82">
        <v>0</v>
      </c>
      <c r="Z204" s="86">
        <v>45151.601435185185</v>
      </c>
      <c r="AA204" s="86">
        <v>45151.601435185185</v>
      </c>
      <c r="AB204" s="82"/>
      <c r="AC204" s="82"/>
      <c r="AD204" s="82"/>
      <c r="AE204" s="82">
        <v>1</v>
      </c>
      <c r="AF204" s="81">
        <v>1</v>
      </c>
      <c r="AG204" s="81">
        <v>1</v>
      </c>
      <c r="AH204" s="49">
        <v>1</v>
      </c>
      <c r="AI204" s="110">
        <v>3.3333333333333335</v>
      </c>
      <c r="AJ204" s="49">
        <v>0</v>
      </c>
      <c r="AK204" s="50">
        <v>0</v>
      </c>
      <c r="AL204" s="49">
        <v>0</v>
      </c>
      <c r="AM204" s="50">
        <v>0</v>
      </c>
      <c r="AN204" s="49">
        <v>11</v>
      </c>
      <c r="AO204" s="110">
        <v>36.666666666666664</v>
      </c>
      <c r="AP204" s="49">
        <v>30</v>
      </c>
    </row>
    <row r="205" spans="1:42" ht="15">
      <c r="A205" s="66" t="s">
        <v>424</v>
      </c>
      <c r="B205" s="66" t="s">
        <v>636</v>
      </c>
      <c r="C205" s="67" t="s">
        <v>774</v>
      </c>
      <c r="D205" s="68">
        <v>3</v>
      </c>
      <c r="E205" s="69"/>
      <c r="F205" s="70">
        <v>40</v>
      </c>
      <c r="G205" s="67"/>
      <c r="H205" s="71"/>
      <c r="I205" s="72"/>
      <c r="J205" s="72"/>
      <c r="K205" s="35" t="s">
        <v>65</v>
      </c>
      <c r="L205" s="80">
        <v>205</v>
      </c>
      <c r="M205" s="80"/>
      <c r="N205" s="74"/>
      <c r="O205" s="82" t="s">
        <v>776</v>
      </c>
      <c r="P205" s="82" t="s">
        <v>197</v>
      </c>
      <c r="Q205" s="82" t="s">
        <v>975</v>
      </c>
      <c r="R205" s="82" t="s">
        <v>424</v>
      </c>
      <c r="S205" s="82" t="s">
        <v>1500</v>
      </c>
      <c r="T205" s="84" t="str">
        <f>HYPERLINK("http://www.youtube.com/channel/UCYoJZQPtv6zVLIrCY__Oy3w")</f>
        <v>http://www.youtube.com/channel/UCYoJZQPtv6zVLIrCY__Oy3w</v>
      </c>
      <c r="U205" s="82"/>
      <c r="V205" s="82" t="s">
        <v>1831</v>
      </c>
      <c r="W205" s="84" t="str">
        <f>HYPERLINK("https://www.youtube.com/watch?v=5QB8QAuirzA")</f>
        <v>https://www.youtube.com/watch?v=5QB8QAuirzA</v>
      </c>
      <c r="X205" s="82" t="s">
        <v>1857</v>
      </c>
      <c r="Y205" s="82">
        <v>0</v>
      </c>
      <c r="Z205" s="86">
        <v>45151.62255787037</v>
      </c>
      <c r="AA205" s="86">
        <v>45151.62255787037</v>
      </c>
      <c r="AB205" s="82"/>
      <c r="AC205" s="82"/>
      <c r="AD205" s="82"/>
      <c r="AE205" s="82">
        <v>1</v>
      </c>
      <c r="AF205" s="81">
        <v>1</v>
      </c>
      <c r="AG205" s="81">
        <v>1</v>
      </c>
      <c r="AH205" s="49">
        <v>0</v>
      </c>
      <c r="AI205" s="50">
        <v>0</v>
      </c>
      <c r="AJ205" s="49">
        <v>1</v>
      </c>
      <c r="AK205" s="110">
        <v>11.11111111111111</v>
      </c>
      <c r="AL205" s="49">
        <v>0</v>
      </c>
      <c r="AM205" s="50">
        <v>0</v>
      </c>
      <c r="AN205" s="49">
        <v>2</v>
      </c>
      <c r="AO205" s="110">
        <v>22.22222222222222</v>
      </c>
      <c r="AP205" s="49">
        <v>9</v>
      </c>
    </row>
    <row r="206" spans="1:42" ht="15">
      <c r="A206" s="66" t="s">
        <v>425</v>
      </c>
      <c r="B206" s="66" t="s">
        <v>636</v>
      </c>
      <c r="C206" s="67" t="s">
        <v>774</v>
      </c>
      <c r="D206" s="68">
        <v>3</v>
      </c>
      <c r="E206" s="69"/>
      <c r="F206" s="70">
        <v>40</v>
      </c>
      <c r="G206" s="67"/>
      <c r="H206" s="71"/>
      <c r="I206" s="72"/>
      <c r="J206" s="72"/>
      <c r="K206" s="35" t="s">
        <v>65</v>
      </c>
      <c r="L206" s="80">
        <v>206</v>
      </c>
      <c r="M206" s="80"/>
      <c r="N206" s="74"/>
      <c r="O206" s="82" t="s">
        <v>776</v>
      </c>
      <c r="P206" s="82" t="s">
        <v>197</v>
      </c>
      <c r="Q206" s="82" t="s">
        <v>976</v>
      </c>
      <c r="R206" s="82" t="s">
        <v>425</v>
      </c>
      <c r="S206" s="82" t="s">
        <v>1501</v>
      </c>
      <c r="T206" s="84" t="str">
        <f>HYPERLINK("http://www.youtube.com/channel/UCPmxv3vx1NWwTxkS5MnN1mw")</f>
        <v>http://www.youtube.com/channel/UCPmxv3vx1NWwTxkS5MnN1mw</v>
      </c>
      <c r="U206" s="82"/>
      <c r="V206" s="82" t="s">
        <v>1831</v>
      </c>
      <c r="W206" s="84" t="str">
        <f>HYPERLINK("https://www.youtube.com/watch?v=5QB8QAuirzA")</f>
        <v>https://www.youtube.com/watch?v=5QB8QAuirzA</v>
      </c>
      <c r="X206" s="82" t="s">
        <v>1857</v>
      </c>
      <c r="Y206" s="82">
        <v>0</v>
      </c>
      <c r="Z206" s="86">
        <v>45153.59789351852</v>
      </c>
      <c r="AA206" s="86">
        <v>45153.59789351852</v>
      </c>
      <c r="AB206" s="82"/>
      <c r="AC206" s="82"/>
      <c r="AD206" s="82"/>
      <c r="AE206" s="82">
        <v>1</v>
      </c>
      <c r="AF206" s="81">
        <v>1</v>
      </c>
      <c r="AG206" s="81">
        <v>1</v>
      </c>
      <c r="AH206" s="49">
        <v>0</v>
      </c>
      <c r="AI206" s="50">
        <v>0</v>
      </c>
      <c r="AJ206" s="49">
        <v>0</v>
      </c>
      <c r="AK206" s="50">
        <v>0</v>
      </c>
      <c r="AL206" s="49">
        <v>0</v>
      </c>
      <c r="AM206" s="50">
        <v>0</v>
      </c>
      <c r="AN206" s="49">
        <v>3</v>
      </c>
      <c r="AO206" s="50">
        <v>50</v>
      </c>
      <c r="AP206" s="49">
        <v>6</v>
      </c>
    </row>
    <row r="207" spans="1:42" ht="15">
      <c r="A207" s="66" t="s">
        <v>426</v>
      </c>
      <c r="B207" s="66" t="s">
        <v>636</v>
      </c>
      <c r="C207" s="67" t="s">
        <v>774</v>
      </c>
      <c r="D207" s="68">
        <v>3</v>
      </c>
      <c r="E207" s="69"/>
      <c r="F207" s="70">
        <v>40</v>
      </c>
      <c r="G207" s="67"/>
      <c r="H207" s="71"/>
      <c r="I207" s="72"/>
      <c r="J207" s="72"/>
      <c r="K207" s="35" t="s">
        <v>65</v>
      </c>
      <c r="L207" s="80">
        <v>207</v>
      </c>
      <c r="M207" s="80"/>
      <c r="N207" s="74"/>
      <c r="O207" s="82" t="s">
        <v>776</v>
      </c>
      <c r="P207" s="82" t="s">
        <v>197</v>
      </c>
      <c r="Q207" s="82" t="s">
        <v>977</v>
      </c>
      <c r="R207" s="82" t="s">
        <v>426</v>
      </c>
      <c r="S207" s="82" t="s">
        <v>1502</v>
      </c>
      <c r="T207" s="84" t="str">
        <f>HYPERLINK("http://www.youtube.com/channel/UCnVOZByeAVNoZ9qU3mnBggg")</f>
        <v>http://www.youtube.com/channel/UCnVOZByeAVNoZ9qU3mnBggg</v>
      </c>
      <c r="U207" s="82"/>
      <c r="V207" s="82" t="s">
        <v>1831</v>
      </c>
      <c r="W207" s="84" t="str">
        <f>HYPERLINK("https://www.youtube.com/watch?v=5QB8QAuirzA")</f>
        <v>https://www.youtube.com/watch?v=5QB8QAuirzA</v>
      </c>
      <c r="X207" s="82" t="s">
        <v>1857</v>
      </c>
      <c r="Y207" s="82">
        <v>1</v>
      </c>
      <c r="Z207" s="86">
        <v>45153.96606481481</v>
      </c>
      <c r="AA207" s="86">
        <v>45162.872615740744</v>
      </c>
      <c r="AB207" s="82"/>
      <c r="AC207" s="82"/>
      <c r="AD207" s="82"/>
      <c r="AE207" s="82">
        <v>1</v>
      </c>
      <c r="AF207" s="81">
        <v>1</v>
      </c>
      <c r="AG207" s="81">
        <v>1</v>
      </c>
      <c r="AH207" s="49">
        <v>2</v>
      </c>
      <c r="AI207" s="110">
        <v>13.333333333333334</v>
      </c>
      <c r="AJ207" s="49">
        <v>2</v>
      </c>
      <c r="AK207" s="110">
        <v>13.333333333333334</v>
      </c>
      <c r="AL207" s="49">
        <v>0</v>
      </c>
      <c r="AM207" s="50">
        <v>0</v>
      </c>
      <c r="AN207" s="49">
        <v>4</v>
      </c>
      <c r="AO207" s="110">
        <v>26.666666666666668</v>
      </c>
      <c r="AP207" s="49">
        <v>15</v>
      </c>
    </row>
    <row r="208" spans="1:42" ht="15">
      <c r="A208" s="66" t="s">
        <v>427</v>
      </c>
      <c r="B208" s="66" t="s">
        <v>636</v>
      </c>
      <c r="C208" s="67" t="s">
        <v>774</v>
      </c>
      <c r="D208" s="68">
        <v>3</v>
      </c>
      <c r="E208" s="69"/>
      <c r="F208" s="70">
        <v>40</v>
      </c>
      <c r="G208" s="67"/>
      <c r="H208" s="71"/>
      <c r="I208" s="72"/>
      <c r="J208" s="72"/>
      <c r="K208" s="35" t="s">
        <v>65</v>
      </c>
      <c r="L208" s="80">
        <v>208</v>
      </c>
      <c r="M208" s="80"/>
      <c r="N208" s="74"/>
      <c r="O208" s="82" t="s">
        <v>776</v>
      </c>
      <c r="P208" s="82" t="s">
        <v>197</v>
      </c>
      <c r="Q208" s="82" t="s">
        <v>978</v>
      </c>
      <c r="R208" s="82" t="s">
        <v>427</v>
      </c>
      <c r="S208" s="82" t="s">
        <v>1503</v>
      </c>
      <c r="T208" s="84" t="str">
        <f>HYPERLINK("http://www.youtube.com/channel/UCVwXSn1A_C4VjQlFOdiPeSQ")</f>
        <v>http://www.youtube.com/channel/UCVwXSn1A_C4VjQlFOdiPeSQ</v>
      </c>
      <c r="U208" s="82"/>
      <c r="V208" s="82" t="s">
        <v>1831</v>
      </c>
      <c r="W208" s="84" t="str">
        <f>HYPERLINK("https://www.youtube.com/watch?v=5QB8QAuirzA")</f>
        <v>https://www.youtube.com/watch?v=5QB8QAuirzA</v>
      </c>
      <c r="X208" s="82" t="s">
        <v>1857</v>
      </c>
      <c r="Y208" s="82">
        <v>0</v>
      </c>
      <c r="Z208" s="86">
        <v>45154.23287037037</v>
      </c>
      <c r="AA208" s="86">
        <v>45154.23287037037</v>
      </c>
      <c r="AB208" s="82"/>
      <c r="AC208" s="82"/>
      <c r="AD208" s="82"/>
      <c r="AE208" s="82">
        <v>1</v>
      </c>
      <c r="AF208" s="81">
        <v>1</v>
      </c>
      <c r="AG208" s="81">
        <v>1</v>
      </c>
      <c r="AH208" s="49">
        <v>1</v>
      </c>
      <c r="AI208" s="110">
        <v>3.4482758620689653</v>
      </c>
      <c r="AJ208" s="49">
        <v>1</v>
      </c>
      <c r="AK208" s="110">
        <v>3.4482758620689653</v>
      </c>
      <c r="AL208" s="49">
        <v>0</v>
      </c>
      <c r="AM208" s="50">
        <v>0</v>
      </c>
      <c r="AN208" s="49">
        <v>11</v>
      </c>
      <c r="AO208" s="110">
        <v>37.93103448275862</v>
      </c>
      <c r="AP208" s="49">
        <v>29</v>
      </c>
    </row>
    <row r="209" spans="1:42" ht="15">
      <c r="A209" s="66" t="s">
        <v>428</v>
      </c>
      <c r="B209" s="66" t="s">
        <v>636</v>
      </c>
      <c r="C209" s="67" t="s">
        <v>774</v>
      </c>
      <c r="D209" s="68">
        <v>3</v>
      </c>
      <c r="E209" s="69"/>
      <c r="F209" s="70">
        <v>40</v>
      </c>
      <c r="G209" s="67"/>
      <c r="H209" s="71"/>
      <c r="I209" s="72"/>
      <c r="J209" s="72"/>
      <c r="K209" s="35" t="s">
        <v>65</v>
      </c>
      <c r="L209" s="80">
        <v>209</v>
      </c>
      <c r="M209" s="80"/>
      <c r="N209" s="74"/>
      <c r="O209" s="82" t="s">
        <v>776</v>
      </c>
      <c r="P209" s="82" t="s">
        <v>197</v>
      </c>
      <c r="Q209" s="82" t="s">
        <v>979</v>
      </c>
      <c r="R209" s="82" t="s">
        <v>428</v>
      </c>
      <c r="S209" s="82" t="s">
        <v>1504</v>
      </c>
      <c r="T209" s="84" t="str">
        <f>HYPERLINK("http://www.youtube.com/channel/UCD46RdLs8Q37Avnc5bm7KUA")</f>
        <v>http://www.youtube.com/channel/UCD46RdLs8Q37Avnc5bm7KUA</v>
      </c>
      <c r="U209" s="82"/>
      <c r="V209" s="82" t="s">
        <v>1831</v>
      </c>
      <c r="W209" s="84" t="str">
        <f>HYPERLINK("https://www.youtube.com/watch?v=5QB8QAuirzA")</f>
        <v>https://www.youtube.com/watch?v=5QB8QAuirzA</v>
      </c>
      <c r="X209" s="82" t="s">
        <v>1857</v>
      </c>
      <c r="Y209" s="82">
        <v>0</v>
      </c>
      <c r="Z209" s="86">
        <v>45154.58833333333</v>
      </c>
      <c r="AA209" s="86">
        <v>45154.58833333333</v>
      </c>
      <c r="AB209" s="82"/>
      <c r="AC209" s="82"/>
      <c r="AD209" s="82"/>
      <c r="AE209" s="82">
        <v>1</v>
      </c>
      <c r="AF209" s="81">
        <v>1</v>
      </c>
      <c r="AG209" s="81">
        <v>1</v>
      </c>
      <c r="AH209" s="49">
        <v>0</v>
      </c>
      <c r="AI209" s="50">
        <v>0</v>
      </c>
      <c r="AJ209" s="49">
        <v>1</v>
      </c>
      <c r="AK209" s="110">
        <v>3.5714285714285716</v>
      </c>
      <c r="AL209" s="49">
        <v>0</v>
      </c>
      <c r="AM209" s="50">
        <v>0</v>
      </c>
      <c r="AN209" s="49">
        <v>16</v>
      </c>
      <c r="AO209" s="110">
        <v>57.142857142857146</v>
      </c>
      <c r="AP209" s="49">
        <v>28</v>
      </c>
    </row>
    <row r="210" spans="1:42" ht="15">
      <c r="A210" s="66" t="s">
        <v>429</v>
      </c>
      <c r="B210" s="66" t="s">
        <v>636</v>
      </c>
      <c r="C210" s="67" t="s">
        <v>774</v>
      </c>
      <c r="D210" s="68">
        <v>3</v>
      </c>
      <c r="E210" s="69"/>
      <c r="F210" s="70">
        <v>40</v>
      </c>
      <c r="G210" s="67"/>
      <c r="H210" s="71"/>
      <c r="I210" s="72"/>
      <c r="J210" s="72"/>
      <c r="K210" s="35" t="s">
        <v>65</v>
      </c>
      <c r="L210" s="80">
        <v>210</v>
      </c>
      <c r="M210" s="80"/>
      <c r="N210" s="74"/>
      <c r="O210" s="82" t="s">
        <v>776</v>
      </c>
      <c r="P210" s="82" t="s">
        <v>197</v>
      </c>
      <c r="Q210" s="82" t="s">
        <v>980</v>
      </c>
      <c r="R210" s="82" t="s">
        <v>429</v>
      </c>
      <c r="S210" s="82" t="s">
        <v>1505</v>
      </c>
      <c r="T210" s="84" t="str">
        <f>HYPERLINK("http://www.youtube.com/channel/UC7C1PF4RNOpISxcGFW1eIKg")</f>
        <v>http://www.youtube.com/channel/UC7C1PF4RNOpISxcGFW1eIKg</v>
      </c>
      <c r="U210" s="82"/>
      <c r="V210" s="82" t="s">
        <v>1831</v>
      </c>
      <c r="W210" s="84" t="str">
        <f>HYPERLINK("https://www.youtube.com/watch?v=5QB8QAuirzA")</f>
        <v>https://www.youtube.com/watch?v=5QB8QAuirzA</v>
      </c>
      <c r="X210" s="82" t="s">
        <v>1857</v>
      </c>
      <c r="Y210" s="82">
        <v>0</v>
      </c>
      <c r="Z210" s="86">
        <v>45155.01635416667</v>
      </c>
      <c r="AA210" s="86">
        <v>45155.01635416667</v>
      </c>
      <c r="AB210" s="82"/>
      <c r="AC210" s="82"/>
      <c r="AD210" s="82"/>
      <c r="AE210" s="82">
        <v>1</v>
      </c>
      <c r="AF210" s="81">
        <v>1</v>
      </c>
      <c r="AG210" s="81">
        <v>1</v>
      </c>
      <c r="AH210" s="49">
        <v>0</v>
      </c>
      <c r="AI210" s="50">
        <v>0</v>
      </c>
      <c r="AJ210" s="49">
        <v>0</v>
      </c>
      <c r="AK210" s="50">
        <v>0</v>
      </c>
      <c r="AL210" s="49">
        <v>0</v>
      </c>
      <c r="AM210" s="50">
        <v>0</v>
      </c>
      <c r="AN210" s="49">
        <v>3</v>
      </c>
      <c r="AO210" s="50">
        <v>60</v>
      </c>
      <c r="AP210" s="49">
        <v>5</v>
      </c>
    </row>
    <row r="211" spans="1:42" ht="15">
      <c r="A211" s="66" t="s">
        <v>430</v>
      </c>
      <c r="B211" s="66" t="s">
        <v>636</v>
      </c>
      <c r="C211" s="67" t="s">
        <v>774</v>
      </c>
      <c r="D211" s="68">
        <v>3</v>
      </c>
      <c r="E211" s="69"/>
      <c r="F211" s="70">
        <v>40</v>
      </c>
      <c r="G211" s="67"/>
      <c r="H211" s="71"/>
      <c r="I211" s="72"/>
      <c r="J211" s="72"/>
      <c r="K211" s="35" t="s">
        <v>65</v>
      </c>
      <c r="L211" s="80">
        <v>211</v>
      </c>
      <c r="M211" s="80"/>
      <c r="N211" s="74"/>
      <c r="O211" s="82" t="s">
        <v>776</v>
      </c>
      <c r="P211" s="82" t="s">
        <v>197</v>
      </c>
      <c r="Q211" s="82" t="s">
        <v>981</v>
      </c>
      <c r="R211" s="82" t="s">
        <v>430</v>
      </c>
      <c r="S211" s="82" t="s">
        <v>1506</v>
      </c>
      <c r="T211" s="84" t="str">
        <f>HYPERLINK("http://www.youtube.com/channel/UCwR4ZB_SV2yq14iSslrVsqg")</f>
        <v>http://www.youtube.com/channel/UCwR4ZB_SV2yq14iSslrVsqg</v>
      </c>
      <c r="U211" s="82"/>
      <c r="V211" s="82" t="s">
        <v>1831</v>
      </c>
      <c r="W211" s="84" t="str">
        <f>HYPERLINK("https://www.youtube.com/watch?v=5QB8QAuirzA")</f>
        <v>https://www.youtube.com/watch?v=5QB8QAuirzA</v>
      </c>
      <c r="X211" s="82" t="s">
        <v>1857</v>
      </c>
      <c r="Y211" s="82">
        <v>0</v>
      </c>
      <c r="Z211" s="86">
        <v>45155.09315972222</v>
      </c>
      <c r="AA211" s="86">
        <v>45155.09315972222</v>
      </c>
      <c r="AB211" s="82"/>
      <c r="AC211" s="82"/>
      <c r="AD211" s="82"/>
      <c r="AE211" s="82">
        <v>1</v>
      </c>
      <c r="AF211" s="81">
        <v>1</v>
      </c>
      <c r="AG211" s="81">
        <v>1</v>
      </c>
      <c r="AH211" s="49">
        <v>0</v>
      </c>
      <c r="AI211" s="50">
        <v>0</v>
      </c>
      <c r="AJ211" s="49">
        <v>0</v>
      </c>
      <c r="AK211" s="50">
        <v>0</v>
      </c>
      <c r="AL211" s="49">
        <v>0</v>
      </c>
      <c r="AM211" s="50">
        <v>0</v>
      </c>
      <c r="AN211" s="49">
        <v>6</v>
      </c>
      <c r="AO211" s="110">
        <v>28.571428571428573</v>
      </c>
      <c r="AP211" s="49">
        <v>21</v>
      </c>
    </row>
    <row r="212" spans="1:42" ht="15">
      <c r="A212" s="66" t="s">
        <v>431</v>
      </c>
      <c r="B212" s="66" t="s">
        <v>636</v>
      </c>
      <c r="C212" s="67" t="s">
        <v>774</v>
      </c>
      <c r="D212" s="68">
        <v>3</v>
      </c>
      <c r="E212" s="69"/>
      <c r="F212" s="70">
        <v>40</v>
      </c>
      <c r="G212" s="67"/>
      <c r="H212" s="71"/>
      <c r="I212" s="72"/>
      <c r="J212" s="72"/>
      <c r="K212" s="35" t="s">
        <v>65</v>
      </c>
      <c r="L212" s="80">
        <v>212</v>
      </c>
      <c r="M212" s="80"/>
      <c r="N212" s="74"/>
      <c r="O212" s="82" t="s">
        <v>776</v>
      </c>
      <c r="P212" s="82" t="s">
        <v>197</v>
      </c>
      <c r="Q212" s="82" t="s">
        <v>982</v>
      </c>
      <c r="R212" s="82" t="s">
        <v>431</v>
      </c>
      <c r="S212" s="82" t="s">
        <v>1507</v>
      </c>
      <c r="T212" s="84" t="str">
        <f>HYPERLINK("http://www.youtube.com/channel/UCJeWto0CRaGbkUfySvK4eug")</f>
        <v>http://www.youtube.com/channel/UCJeWto0CRaGbkUfySvK4eug</v>
      </c>
      <c r="U212" s="82"/>
      <c r="V212" s="82" t="s">
        <v>1831</v>
      </c>
      <c r="W212" s="84" t="str">
        <f>HYPERLINK("https://www.youtube.com/watch?v=5QB8QAuirzA")</f>
        <v>https://www.youtube.com/watch?v=5QB8QAuirzA</v>
      </c>
      <c r="X212" s="82" t="s">
        <v>1857</v>
      </c>
      <c r="Y212" s="82">
        <v>0</v>
      </c>
      <c r="Z212" s="86">
        <v>45155.780324074076</v>
      </c>
      <c r="AA212" s="86">
        <v>45155.780324074076</v>
      </c>
      <c r="AB212" s="82"/>
      <c r="AC212" s="82"/>
      <c r="AD212" s="82"/>
      <c r="AE212" s="82">
        <v>1</v>
      </c>
      <c r="AF212" s="81">
        <v>1</v>
      </c>
      <c r="AG212" s="81">
        <v>1</v>
      </c>
      <c r="AH212" s="49">
        <v>0</v>
      </c>
      <c r="AI212" s="50">
        <v>0</v>
      </c>
      <c r="AJ212" s="49">
        <v>0</v>
      </c>
      <c r="AK212" s="50">
        <v>0</v>
      </c>
      <c r="AL212" s="49">
        <v>0</v>
      </c>
      <c r="AM212" s="50">
        <v>0</v>
      </c>
      <c r="AN212" s="49">
        <v>8</v>
      </c>
      <c r="AO212" s="110">
        <v>27.586206896551722</v>
      </c>
      <c r="AP212" s="49">
        <v>29</v>
      </c>
    </row>
    <row r="213" spans="1:42" ht="15">
      <c r="A213" s="66" t="s">
        <v>432</v>
      </c>
      <c r="B213" s="66" t="s">
        <v>636</v>
      </c>
      <c r="C213" s="67" t="s">
        <v>774</v>
      </c>
      <c r="D213" s="68">
        <v>3</v>
      </c>
      <c r="E213" s="69"/>
      <c r="F213" s="70">
        <v>40</v>
      </c>
      <c r="G213" s="67"/>
      <c r="H213" s="71"/>
      <c r="I213" s="72"/>
      <c r="J213" s="72"/>
      <c r="K213" s="35" t="s">
        <v>65</v>
      </c>
      <c r="L213" s="80">
        <v>213</v>
      </c>
      <c r="M213" s="80"/>
      <c r="N213" s="74"/>
      <c r="O213" s="82" t="s">
        <v>776</v>
      </c>
      <c r="P213" s="82" t="s">
        <v>197</v>
      </c>
      <c r="Q213" s="82" t="s">
        <v>983</v>
      </c>
      <c r="R213" s="82" t="s">
        <v>432</v>
      </c>
      <c r="S213" s="82" t="s">
        <v>1508</v>
      </c>
      <c r="T213" s="84" t="str">
        <f>HYPERLINK("http://www.youtube.com/channel/UCusLqY2duB79blA0ExlIRNg")</f>
        <v>http://www.youtube.com/channel/UCusLqY2duB79blA0ExlIRNg</v>
      </c>
      <c r="U213" s="82"/>
      <c r="V213" s="82" t="s">
        <v>1831</v>
      </c>
      <c r="W213" s="84" t="str">
        <f>HYPERLINK("https://www.youtube.com/watch?v=5QB8QAuirzA")</f>
        <v>https://www.youtube.com/watch?v=5QB8QAuirzA</v>
      </c>
      <c r="X213" s="82" t="s">
        <v>1857</v>
      </c>
      <c r="Y213" s="82">
        <v>0</v>
      </c>
      <c r="Z213" s="86">
        <v>45156.63613425926</v>
      </c>
      <c r="AA213" s="86">
        <v>45156.63613425926</v>
      </c>
      <c r="AB213" s="82"/>
      <c r="AC213" s="82"/>
      <c r="AD213" s="82"/>
      <c r="AE213" s="82">
        <v>1</v>
      </c>
      <c r="AF213" s="81">
        <v>1</v>
      </c>
      <c r="AG213" s="81">
        <v>1</v>
      </c>
      <c r="AH213" s="49">
        <v>2</v>
      </c>
      <c r="AI213" s="110">
        <v>28.571428571428573</v>
      </c>
      <c r="AJ213" s="49">
        <v>0</v>
      </c>
      <c r="AK213" s="50">
        <v>0</v>
      </c>
      <c r="AL213" s="49">
        <v>0</v>
      </c>
      <c r="AM213" s="50">
        <v>0</v>
      </c>
      <c r="AN213" s="49">
        <v>1</v>
      </c>
      <c r="AO213" s="110">
        <v>14.285714285714286</v>
      </c>
      <c r="AP213" s="49">
        <v>7</v>
      </c>
    </row>
    <row r="214" spans="1:42" ht="15">
      <c r="A214" s="66" t="s">
        <v>433</v>
      </c>
      <c r="B214" s="66" t="s">
        <v>636</v>
      </c>
      <c r="C214" s="67" t="s">
        <v>774</v>
      </c>
      <c r="D214" s="68">
        <v>3</v>
      </c>
      <c r="E214" s="69"/>
      <c r="F214" s="70">
        <v>40</v>
      </c>
      <c r="G214" s="67"/>
      <c r="H214" s="71"/>
      <c r="I214" s="72"/>
      <c r="J214" s="72"/>
      <c r="K214" s="35" t="s">
        <v>65</v>
      </c>
      <c r="L214" s="80">
        <v>214</v>
      </c>
      <c r="M214" s="80"/>
      <c r="N214" s="74"/>
      <c r="O214" s="82" t="s">
        <v>776</v>
      </c>
      <c r="P214" s="82" t="s">
        <v>197</v>
      </c>
      <c r="Q214" s="82" t="s">
        <v>984</v>
      </c>
      <c r="R214" s="82" t="s">
        <v>433</v>
      </c>
      <c r="S214" s="82" t="s">
        <v>1509</v>
      </c>
      <c r="T214" s="84" t="str">
        <f>HYPERLINK("http://www.youtube.com/channel/UClRx6tZ0lKmli1P8Pvs9MFw")</f>
        <v>http://www.youtube.com/channel/UClRx6tZ0lKmli1P8Pvs9MFw</v>
      </c>
      <c r="U214" s="82"/>
      <c r="V214" s="82" t="s">
        <v>1831</v>
      </c>
      <c r="W214" s="84" t="str">
        <f>HYPERLINK("https://www.youtube.com/watch?v=5QB8QAuirzA")</f>
        <v>https://www.youtube.com/watch?v=5QB8QAuirzA</v>
      </c>
      <c r="X214" s="82" t="s">
        <v>1857</v>
      </c>
      <c r="Y214" s="82">
        <v>0</v>
      </c>
      <c r="Z214" s="86">
        <v>45156.865960648145</v>
      </c>
      <c r="AA214" s="86">
        <v>45156.865960648145</v>
      </c>
      <c r="AB214" s="82"/>
      <c r="AC214" s="82"/>
      <c r="AD214" s="82"/>
      <c r="AE214" s="82">
        <v>1</v>
      </c>
      <c r="AF214" s="81">
        <v>1</v>
      </c>
      <c r="AG214" s="81">
        <v>1</v>
      </c>
      <c r="AH214" s="49">
        <v>0</v>
      </c>
      <c r="AI214" s="50">
        <v>0</v>
      </c>
      <c r="AJ214" s="49">
        <v>0</v>
      </c>
      <c r="AK214" s="50">
        <v>0</v>
      </c>
      <c r="AL214" s="49">
        <v>0</v>
      </c>
      <c r="AM214" s="50">
        <v>0</v>
      </c>
      <c r="AN214" s="49">
        <v>1</v>
      </c>
      <c r="AO214" s="110">
        <v>16.666666666666668</v>
      </c>
      <c r="AP214" s="49">
        <v>6</v>
      </c>
    </row>
    <row r="215" spans="1:42" ht="15">
      <c r="A215" s="66" t="s">
        <v>434</v>
      </c>
      <c r="B215" s="66" t="s">
        <v>636</v>
      </c>
      <c r="C215" s="67" t="s">
        <v>774</v>
      </c>
      <c r="D215" s="68">
        <v>3</v>
      </c>
      <c r="E215" s="69"/>
      <c r="F215" s="70">
        <v>40</v>
      </c>
      <c r="G215" s="67"/>
      <c r="H215" s="71"/>
      <c r="I215" s="72"/>
      <c r="J215" s="72"/>
      <c r="K215" s="35" t="s">
        <v>65</v>
      </c>
      <c r="L215" s="80">
        <v>215</v>
      </c>
      <c r="M215" s="80"/>
      <c r="N215" s="74"/>
      <c r="O215" s="82" t="s">
        <v>776</v>
      </c>
      <c r="P215" s="82" t="s">
        <v>197</v>
      </c>
      <c r="Q215" s="82" t="s">
        <v>985</v>
      </c>
      <c r="R215" s="82" t="s">
        <v>434</v>
      </c>
      <c r="S215" s="82" t="s">
        <v>1510</v>
      </c>
      <c r="T215" s="84" t="str">
        <f>HYPERLINK("http://www.youtube.com/channel/UCKgs_BNbfmya6BkcdE_oPcw")</f>
        <v>http://www.youtube.com/channel/UCKgs_BNbfmya6BkcdE_oPcw</v>
      </c>
      <c r="U215" s="82"/>
      <c r="V215" s="82" t="s">
        <v>1831</v>
      </c>
      <c r="W215" s="84" t="str">
        <f>HYPERLINK("https://www.youtube.com/watch?v=5QB8QAuirzA")</f>
        <v>https://www.youtube.com/watch?v=5QB8QAuirzA</v>
      </c>
      <c r="X215" s="82" t="s">
        <v>1857</v>
      </c>
      <c r="Y215" s="82">
        <v>0</v>
      </c>
      <c r="Z215" s="86">
        <v>45158.582962962966</v>
      </c>
      <c r="AA215" s="86">
        <v>45158.582962962966</v>
      </c>
      <c r="AB215" s="82"/>
      <c r="AC215" s="82"/>
      <c r="AD215" s="82"/>
      <c r="AE215" s="82">
        <v>1</v>
      </c>
      <c r="AF215" s="81">
        <v>1</v>
      </c>
      <c r="AG215" s="81">
        <v>1</v>
      </c>
      <c r="AH215" s="49">
        <v>2</v>
      </c>
      <c r="AI215" s="110">
        <v>22.22222222222222</v>
      </c>
      <c r="AJ215" s="49">
        <v>0</v>
      </c>
      <c r="AK215" s="50">
        <v>0</v>
      </c>
      <c r="AL215" s="49">
        <v>0</v>
      </c>
      <c r="AM215" s="50">
        <v>0</v>
      </c>
      <c r="AN215" s="49">
        <v>3</v>
      </c>
      <c r="AO215" s="110">
        <v>33.333333333333336</v>
      </c>
      <c r="AP215" s="49">
        <v>9</v>
      </c>
    </row>
    <row r="216" spans="1:42" ht="15">
      <c r="A216" s="66" t="s">
        <v>435</v>
      </c>
      <c r="B216" s="66" t="s">
        <v>636</v>
      </c>
      <c r="C216" s="67" t="s">
        <v>774</v>
      </c>
      <c r="D216" s="68">
        <v>3</v>
      </c>
      <c r="E216" s="69"/>
      <c r="F216" s="70">
        <v>40</v>
      </c>
      <c r="G216" s="67"/>
      <c r="H216" s="71"/>
      <c r="I216" s="72"/>
      <c r="J216" s="72"/>
      <c r="K216" s="35" t="s">
        <v>65</v>
      </c>
      <c r="L216" s="80">
        <v>216</v>
      </c>
      <c r="M216" s="80"/>
      <c r="N216" s="74"/>
      <c r="O216" s="82" t="s">
        <v>776</v>
      </c>
      <c r="P216" s="82" t="s">
        <v>197</v>
      </c>
      <c r="Q216" s="82" t="s">
        <v>986</v>
      </c>
      <c r="R216" s="82" t="s">
        <v>435</v>
      </c>
      <c r="S216" s="82" t="s">
        <v>1511</v>
      </c>
      <c r="T216" s="84" t="str">
        <f>HYPERLINK("http://www.youtube.com/channel/UC9gMY6UUybdpUkoXWEhMabw")</f>
        <v>http://www.youtube.com/channel/UC9gMY6UUybdpUkoXWEhMabw</v>
      </c>
      <c r="U216" s="82"/>
      <c r="V216" s="82" t="s">
        <v>1831</v>
      </c>
      <c r="W216" s="84" t="str">
        <f>HYPERLINK("https://www.youtube.com/watch?v=5QB8QAuirzA")</f>
        <v>https://www.youtube.com/watch?v=5QB8QAuirzA</v>
      </c>
      <c r="X216" s="82" t="s">
        <v>1857</v>
      </c>
      <c r="Y216" s="82">
        <v>0</v>
      </c>
      <c r="Z216" s="86">
        <v>45160.067141203705</v>
      </c>
      <c r="AA216" s="86">
        <v>45160.067141203705</v>
      </c>
      <c r="AB216" s="82"/>
      <c r="AC216" s="82"/>
      <c r="AD216" s="82"/>
      <c r="AE216" s="82">
        <v>1</v>
      </c>
      <c r="AF216" s="81">
        <v>1</v>
      </c>
      <c r="AG216" s="81">
        <v>1</v>
      </c>
      <c r="AH216" s="49">
        <v>0</v>
      </c>
      <c r="AI216" s="50">
        <v>0</v>
      </c>
      <c r="AJ216" s="49">
        <v>1</v>
      </c>
      <c r="AK216" s="110">
        <v>11.11111111111111</v>
      </c>
      <c r="AL216" s="49">
        <v>0</v>
      </c>
      <c r="AM216" s="50">
        <v>0</v>
      </c>
      <c r="AN216" s="49">
        <v>3</v>
      </c>
      <c r="AO216" s="110">
        <v>33.333333333333336</v>
      </c>
      <c r="AP216" s="49">
        <v>9</v>
      </c>
    </row>
    <row r="217" spans="1:42" ht="15">
      <c r="A217" s="66" t="s">
        <v>436</v>
      </c>
      <c r="B217" s="66" t="s">
        <v>636</v>
      </c>
      <c r="C217" s="67" t="s">
        <v>774</v>
      </c>
      <c r="D217" s="68">
        <v>3</v>
      </c>
      <c r="E217" s="69"/>
      <c r="F217" s="70">
        <v>40</v>
      </c>
      <c r="G217" s="67"/>
      <c r="H217" s="71"/>
      <c r="I217" s="72"/>
      <c r="J217" s="72"/>
      <c r="K217" s="35" t="s">
        <v>65</v>
      </c>
      <c r="L217" s="80">
        <v>217</v>
      </c>
      <c r="M217" s="80"/>
      <c r="N217" s="74"/>
      <c r="O217" s="82" t="s">
        <v>776</v>
      </c>
      <c r="P217" s="82" t="s">
        <v>197</v>
      </c>
      <c r="Q217" s="82" t="s">
        <v>987</v>
      </c>
      <c r="R217" s="82" t="s">
        <v>436</v>
      </c>
      <c r="S217" s="82" t="s">
        <v>1512</v>
      </c>
      <c r="T217" s="84" t="str">
        <f>HYPERLINK("http://www.youtube.com/channel/UCKenFpZWc7jp7yKFT1IRoUw")</f>
        <v>http://www.youtube.com/channel/UCKenFpZWc7jp7yKFT1IRoUw</v>
      </c>
      <c r="U217" s="82"/>
      <c r="V217" s="82" t="s">
        <v>1831</v>
      </c>
      <c r="W217" s="84" t="str">
        <f>HYPERLINK("https://www.youtube.com/watch?v=5QB8QAuirzA")</f>
        <v>https://www.youtube.com/watch?v=5QB8QAuirzA</v>
      </c>
      <c r="X217" s="82" t="s">
        <v>1857</v>
      </c>
      <c r="Y217" s="82">
        <v>0</v>
      </c>
      <c r="Z217" s="86">
        <v>45160.935960648145</v>
      </c>
      <c r="AA217" s="86">
        <v>45160.935960648145</v>
      </c>
      <c r="AB217" s="82"/>
      <c r="AC217" s="82"/>
      <c r="AD217" s="82"/>
      <c r="AE217" s="82">
        <v>1</v>
      </c>
      <c r="AF217" s="81">
        <v>1</v>
      </c>
      <c r="AG217" s="81">
        <v>1</v>
      </c>
      <c r="AH217" s="49">
        <v>2</v>
      </c>
      <c r="AI217" s="110">
        <v>2.1052631578947367</v>
      </c>
      <c r="AJ217" s="49">
        <v>2</v>
      </c>
      <c r="AK217" s="110">
        <v>2.1052631578947367</v>
      </c>
      <c r="AL217" s="49">
        <v>0</v>
      </c>
      <c r="AM217" s="50">
        <v>0</v>
      </c>
      <c r="AN217" s="49">
        <v>38</v>
      </c>
      <c r="AO217" s="50">
        <v>40</v>
      </c>
      <c r="AP217" s="49">
        <v>95</v>
      </c>
    </row>
    <row r="218" spans="1:42" ht="15">
      <c r="A218" s="66" t="s">
        <v>437</v>
      </c>
      <c r="B218" s="66" t="s">
        <v>636</v>
      </c>
      <c r="C218" s="67" t="s">
        <v>774</v>
      </c>
      <c r="D218" s="68">
        <v>3</v>
      </c>
      <c r="E218" s="69"/>
      <c r="F218" s="70">
        <v>40</v>
      </c>
      <c r="G218" s="67"/>
      <c r="H218" s="71"/>
      <c r="I218" s="72"/>
      <c r="J218" s="72"/>
      <c r="K218" s="35" t="s">
        <v>65</v>
      </c>
      <c r="L218" s="80">
        <v>218</v>
      </c>
      <c r="M218" s="80"/>
      <c r="N218" s="74"/>
      <c r="O218" s="82" t="s">
        <v>776</v>
      </c>
      <c r="P218" s="82" t="s">
        <v>197</v>
      </c>
      <c r="Q218" s="82" t="s">
        <v>988</v>
      </c>
      <c r="R218" s="82" t="s">
        <v>437</v>
      </c>
      <c r="S218" s="82" t="s">
        <v>1513</v>
      </c>
      <c r="T218" s="84" t="str">
        <f>HYPERLINK("http://www.youtube.com/channel/UC5PLpWow_bS6RCSlqi30mFA")</f>
        <v>http://www.youtube.com/channel/UC5PLpWow_bS6RCSlqi30mFA</v>
      </c>
      <c r="U218" s="82"/>
      <c r="V218" s="82" t="s">
        <v>1831</v>
      </c>
      <c r="W218" s="84" t="str">
        <f>HYPERLINK("https://www.youtube.com/watch?v=5QB8QAuirzA")</f>
        <v>https://www.youtube.com/watch?v=5QB8QAuirzA</v>
      </c>
      <c r="X218" s="82" t="s">
        <v>1857</v>
      </c>
      <c r="Y218" s="82">
        <v>0</v>
      </c>
      <c r="Z218" s="86">
        <v>45163.38984953704</v>
      </c>
      <c r="AA218" s="86">
        <v>45163.38984953704</v>
      </c>
      <c r="AB218" s="82"/>
      <c r="AC218" s="82"/>
      <c r="AD218" s="82"/>
      <c r="AE218" s="82">
        <v>1</v>
      </c>
      <c r="AF218" s="81">
        <v>1</v>
      </c>
      <c r="AG218" s="81">
        <v>1</v>
      </c>
      <c r="AH218" s="49">
        <v>0</v>
      </c>
      <c r="AI218" s="50">
        <v>0</v>
      </c>
      <c r="AJ218" s="49">
        <v>0</v>
      </c>
      <c r="AK218" s="50">
        <v>0</v>
      </c>
      <c r="AL218" s="49">
        <v>0</v>
      </c>
      <c r="AM218" s="50">
        <v>0</v>
      </c>
      <c r="AN218" s="49">
        <v>5</v>
      </c>
      <c r="AO218" s="50">
        <v>50</v>
      </c>
      <c r="AP218" s="49">
        <v>10</v>
      </c>
    </row>
    <row r="219" spans="1:42" ht="15">
      <c r="A219" s="66" t="s">
        <v>438</v>
      </c>
      <c r="B219" s="66" t="s">
        <v>636</v>
      </c>
      <c r="C219" s="67" t="s">
        <v>774</v>
      </c>
      <c r="D219" s="68">
        <v>3</v>
      </c>
      <c r="E219" s="69"/>
      <c r="F219" s="70">
        <v>40</v>
      </c>
      <c r="G219" s="67"/>
      <c r="H219" s="71"/>
      <c r="I219" s="72"/>
      <c r="J219" s="72"/>
      <c r="K219" s="35" t="s">
        <v>65</v>
      </c>
      <c r="L219" s="80">
        <v>219</v>
      </c>
      <c r="M219" s="80"/>
      <c r="N219" s="74"/>
      <c r="O219" s="82" t="s">
        <v>776</v>
      </c>
      <c r="P219" s="82" t="s">
        <v>197</v>
      </c>
      <c r="Q219" s="82" t="s">
        <v>989</v>
      </c>
      <c r="R219" s="82" t="s">
        <v>438</v>
      </c>
      <c r="S219" s="82" t="s">
        <v>1514</v>
      </c>
      <c r="T219" s="84" t="str">
        <f>HYPERLINK("http://www.youtube.com/channel/UCcoHMcDPXGII1cYArRQ3dGg")</f>
        <v>http://www.youtube.com/channel/UCcoHMcDPXGII1cYArRQ3dGg</v>
      </c>
      <c r="U219" s="82"/>
      <c r="V219" s="82" t="s">
        <v>1831</v>
      </c>
      <c r="W219" s="84" t="str">
        <f>HYPERLINK("https://www.youtube.com/watch?v=5QB8QAuirzA")</f>
        <v>https://www.youtube.com/watch?v=5QB8QAuirzA</v>
      </c>
      <c r="X219" s="82" t="s">
        <v>1857</v>
      </c>
      <c r="Y219" s="82">
        <v>0</v>
      </c>
      <c r="Z219" s="86">
        <v>45164.86740740741</v>
      </c>
      <c r="AA219" s="86">
        <v>45164.86740740741</v>
      </c>
      <c r="AB219" s="82"/>
      <c r="AC219" s="82"/>
      <c r="AD219" s="82"/>
      <c r="AE219" s="82">
        <v>1</v>
      </c>
      <c r="AF219" s="81">
        <v>1</v>
      </c>
      <c r="AG219" s="81">
        <v>1</v>
      </c>
      <c r="AH219" s="49">
        <v>0</v>
      </c>
      <c r="AI219" s="50">
        <v>0</v>
      </c>
      <c r="AJ219" s="49">
        <v>0</v>
      </c>
      <c r="AK219" s="50">
        <v>0</v>
      </c>
      <c r="AL219" s="49">
        <v>0</v>
      </c>
      <c r="AM219" s="50">
        <v>0</v>
      </c>
      <c r="AN219" s="49">
        <v>4</v>
      </c>
      <c r="AO219" s="50">
        <v>40</v>
      </c>
      <c r="AP219" s="49">
        <v>10</v>
      </c>
    </row>
    <row r="220" spans="1:42" ht="15">
      <c r="A220" s="66" t="s">
        <v>439</v>
      </c>
      <c r="B220" s="66" t="s">
        <v>636</v>
      </c>
      <c r="C220" s="67" t="s">
        <v>774</v>
      </c>
      <c r="D220" s="68">
        <v>3</v>
      </c>
      <c r="E220" s="69"/>
      <c r="F220" s="70">
        <v>40</v>
      </c>
      <c r="G220" s="67"/>
      <c r="H220" s="71"/>
      <c r="I220" s="72"/>
      <c r="J220" s="72"/>
      <c r="K220" s="35" t="s">
        <v>65</v>
      </c>
      <c r="L220" s="80">
        <v>220</v>
      </c>
      <c r="M220" s="80"/>
      <c r="N220" s="74"/>
      <c r="O220" s="82" t="s">
        <v>776</v>
      </c>
      <c r="P220" s="82" t="s">
        <v>197</v>
      </c>
      <c r="Q220" s="82" t="s">
        <v>990</v>
      </c>
      <c r="R220" s="82" t="s">
        <v>439</v>
      </c>
      <c r="S220" s="82" t="s">
        <v>1515</v>
      </c>
      <c r="T220" s="84" t="str">
        <f>HYPERLINK("http://www.youtube.com/channel/UCMdUzXw4MRp7GyXe38igHkQ")</f>
        <v>http://www.youtube.com/channel/UCMdUzXw4MRp7GyXe38igHkQ</v>
      </c>
      <c r="U220" s="82"/>
      <c r="V220" s="82" t="s">
        <v>1831</v>
      </c>
      <c r="W220" s="84" t="str">
        <f>HYPERLINK("https://www.youtube.com/watch?v=5QB8QAuirzA")</f>
        <v>https://www.youtube.com/watch?v=5QB8QAuirzA</v>
      </c>
      <c r="X220" s="82" t="s">
        <v>1857</v>
      </c>
      <c r="Y220" s="82">
        <v>0</v>
      </c>
      <c r="Z220" s="86">
        <v>45165.10859953704</v>
      </c>
      <c r="AA220" s="86">
        <v>45165.10873842592</v>
      </c>
      <c r="AB220" s="82"/>
      <c r="AC220" s="82"/>
      <c r="AD220" s="82"/>
      <c r="AE220" s="82">
        <v>1</v>
      </c>
      <c r="AF220" s="81">
        <v>1</v>
      </c>
      <c r="AG220" s="81">
        <v>1</v>
      </c>
      <c r="AH220" s="49">
        <v>0</v>
      </c>
      <c r="AI220" s="50">
        <v>0</v>
      </c>
      <c r="AJ220" s="49">
        <v>0</v>
      </c>
      <c r="AK220" s="50">
        <v>0</v>
      </c>
      <c r="AL220" s="49">
        <v>0</v>
      </c>
      <c r="AM220" s="50">
        <v>0</v>
      </c>
      <c r="AN220" s="49">
        <v>3</v>
      </c>
      <c r="AO220" s="50">
        <v>50</v>
      </c>
      <c r="AP220" s="49">
        <v>6</v>
      </c>
    </row>
    <row r="221" spans="1:42" ht="15">
      <c r="A221" s="66" t="s">
        <v>440</v>
      </c>
      <c r="B221" s="66" t="s">
        <v>636</v>
      </c>
      <c r="C221" s="67" t="s">
        <v>4788</v>
      </c>
      <c r="D221" s="68">
        <v>10</v>
      </c>
      <c r="E221" s="69"/>
      <c r="F221" s="70">
        <v>15</v>
      </c>
      <c r="G221" s="67"/>
      <c r="H221" s="71"/>
      <c r="I221" s="72"/>
      <c r="J221" s="72"/>
      <c r="K221" s="35" t="s">
        <v>65</v>
      </c>
      <c r="L221" s="80">
        <v>221</v>
      </c>
      <c r="M221" s="80"/>
      <c r="N221" s="74"/>
      <c r="O221" s="82" t="s">
        <v>776</v>
      </c>
      <c r="P221" s="82" t="s">
        <v>197</v>
      </c>
      <c r="Q221" s="82" t="s">
        <v>991</v>
      </c>
      <c r="R221" s="82" t="s">
        <v>440</v>
      </c>
      <c r="S221" s="82" t="s">
        <v>1516</v>
      </c>
      <c r="T221" s="84" t="str">
        <f>HYPERLINK("http://www.youtube.com/channel/UCFgAkK6bDrlZq5JioDeFifw")</f>
        <v>http://www.youtube.com/channel/UCFgAkK6bDrlZq5JioDeFifw</v>
      </c>
      <c r="U221" s="82"/>
      <c r="V221" s="82" t="s">
        <v>1831</v>
      </c>
      <c r="W221" s="84" t="str">
        <f>HYPERLINK("https://www.youtube.com/watch?v=5QB8QAuirzA")</f>
        <v>https://www.youtube.com/watch?v=5QB8QAuirzA</v>
      </c>
      <c r="X221" s="82" t="s">
        <v>1857</v>
      </c>
      <c r="Y221" s="82">
        <v>0</v>
      </c>
      <c r="Z221" s="86">
        <v>45165.605474537035</v>
      </c>
      <c r="AA221" s="86">
        <v>45165.605474537035</v>
      </c>
      <c r="AB221" s="82"/>
      <c r="AC221" s="82"/>
      <c r="AD221" s="82"/>
      <c r="AE221" s="82">
        <v>4</v>
      </c>
      <c r="AF221" s="81">
        <v>1</v>
      </c>
      <c r="AG221" s="81">
        <v>1</v>
      </c>
      <c r="AH221" s="49">
        <v>2</v>
      </c>
      <c r="AI221" s="110">
        <v>18.181818181818183</v>
      </c>
      <c r="AJ221" s="49">
        <v>0</v>
      </c>
      <c r="AK221" s="50">
        <v>0</v>
      </c>
      <c r="AL221" s="49">
        <v>0</v>
      </c>
      <c r="AM221" s="50">
        <v>0</v>
      </c>
      <c r="AN221" s="49">
        <v>1</v>
      </c>
      <c r="AO221" s="110">
        <v>9.090909090909092</v>
      </c>
      <c r="AP221" s="49">
        <v>11</v>
      </c>
    </row>
    <row r="222" spans="1:42" ht="15">
      <c r="A222" s="66" t="s">
        <v>441</v>
      </c>
      <c r="B222" s="66" t="s">
        <v>636</v>
      </c>
      <c r="C222" s="67" t="s">
        <v>774</v>
      </c>
      <c r="D222" s="68">
        <v>3</v>
      </c>
      <c r="E222" s="69"/>
      <c r="F222" s="70">
        <v>40</v>
      </c>
      <c r="G222" s="67"/>
      <c r="H222" s="71"/>
      <c r="I222" s="72"/>
      <c r="J222" s="72"/>
      <c r="K222" s="35" t="s">
        <v>65</v>
      </c>
      <c r="L222" s="80">
        <v>222</v>
      </c>
      <c r="M222" s="80"/>
      <c r="N222" s="74"/>
      <c r="O222" s="82" t="s">
        <v>776</v>
      </c>
      <c r="P222" s="82" t="s">
        <v>197</v>
      </c>
      <c r="Q222" s="82" t="s">
        <v>992</v>
      </c>
      <c r="R222" s="82" t="s">
        <v>441</v>
      </c>
      <c r="S222" s="82" t="s">
        <v>1517</v>
      </c>
      <c r="T222" s="84" t="str">
        <f>HYPERLINK("http://www.youtube.com/channel/UCXSh0I1rmNQgzbcuBJzQSGw")</f>
        <v>http://www.youtube.com/channel/UCXSh0I1rmNQgzbcuBJzQSGw</v>
      </c>
      <c r="U222" s="82"/>
      <c r="V222" s="82" t="s">
        <v>1831</v>
      </c>
      <c r="W222" s="84" t="str">
        <f>HYPERLINK("https://www.youtube.com/watch?v=5QB8QAuirzA")</f>
        <v>https://www.youtube.com/watch?v=5QB8QAuirzA</v>
      </c>
      <c r="X222" s="82" t="s">
        <v>1857</v>
      </c>
      <c r="Y222" s="82">
        <v>0</v>
      </c>
      <c r="Z222" s="86">
        <v>45166.07702546296</v>
      </c>
      <c r="AA222" s="86">
        <v>45166.07702546296</v>
      </c>
      <c r="AB222" s="82"/>
      <c r="AC222" s="82"/>
      <c r="AD222" s="82"/>
      <c r="AE222" s="82">
        <v>1</v>
      </c>
      <c r="AF222" s="81">
        <v>1</v>
      </c>
      <c r="AG222" s="81">
        <v>1</v>
      </c>
      <c r="AH222" s="49">
        <v>1</v>
      </c>
      <c r="AI222" s="110">
        <v>14.285714285714286</v>
      </c>
      <c r="AJ222" s="49">
        <v>1</v>
      </c>
      <c r="AK222" s="110">
        <v>14.285714285714286</v>
      </c>
      <c r="AL222" s="49">
        <v>0</v>
      </c>
      <c r="AM222" s="50">
        <v>0</v>
      </c>
      <c r="AN222" s="49">
        <v>3</v>
      </c>
      <c r="AO222" s="110">
        <v>42.857142857142854</v>
      </c>
      <c r="AP222" s="49">
        <v>7</v>
      </c>
    </row>
    <row r="223" spans="1:42" ht="15">
      <c r="A223" s="66" t="s">
        <v>442</v>
      </c>
      <c r="B223" s="66" t="s">
        <v>636</v>
      </c>
      <c r="C223" s="67" t="s">
        <v>774</v>
      </c>
      <c r="D223" s="68">
        <v>3</v>
      </c>
      <c r="E223" s="69"/>
      <c r="F223" s="70">
        <v>40</v>
      </c>
      <c r="G223" s="67"/>
      <c r="H223" s="71"/>
      <c r="I223" s="72"/>
      <c r="J223" s="72"/>
      <c r="K223" s="35" t="s">
        <v>65</v>
      </c>
      <c r="L223" s="80">
        <v>223</v>
      </c>
      <c r="M223" s="80"/>
      <c r="N223" s="74"/>
      <c r="O223" s="82" t="s">
        <v>776</v>
      </c>
      <c r="P223" s="82" t="s">
        <v>197</v>
      </c>
      <c r="Q223" s="82" t="s">
        <v>993</v>
      </c>
      <c r="R223" s="82" t="s">
        <v>442</v>
      </c>
      <c r="S223" s="82" t="s">
        <v>1518</v>
      </c>
      <c r="T223" s="84" t="str">
        <f>HYPERLINK("http://www.youtube.com/channel/UC_QFn-f-ssY6LU0BXUWv5xw")</f>
        <v>http://www.youtube.com/channel/UC_QFn-f-ssY6LU0BXUWv5xw</v>
      </c>
      <c r="U223" s="82"/>
      <c r="V223" s="82" t="s">
        <v>1831</v>
      </c>
      <c r="W223" s="84" t="str">
        <f>HYPERLINK("https://www.youtube.com/watch?v=5QB8QAuirzA")</f>
        <v>https://www.youtube.com/watch?v=5QB8QAuirzA</v>
      </c>
      <c r="X223" s="82" t="s">
        <v>1857</v>
      </c>
      <c r="Y223" s="82">
        <v>0</v>
      </c>
      <c r="Z223" s="86">
        <v>45171.76409722222</v>
      </c>
      <c r="AA223" s="86">
        <v>45171.76409722222</v>
      </c>
      <c r="AB223" s="82"/>
      <c r="AC223" s="82"/>
      <c r="AD223" s="82"/>
      <c r="AE223" s="82">
        <v>1</v>
      </c>
      <c r="AF223" s="81">
        <v>1</v>
      </c>
      <c r="AG223" s="81">
        <v>1</v>
      </c>
      <c r="AH223" s="49">
        <v>1</v>
      </c>
      <c r="AI223" s="110">
        <v>7.6923076923076925</v>
      </c>
      <c r="AJ223" s="49">
        <v>1</v>
      </c>
      <c r="AK223" s="110">
        <v>7.6923076923076925</v>
      </c>
      <c r="AL223" s="49">
        <v>0</v>
      </c>
      <c r="AM223" s="50">
        <v>0</v>
      </c>
      <c r="AN223" s="49">
        <v>4</v>
      </c>
      <c r="AO223" s="110">
        <v>30.76923076923077</v>
      </c>
      <c r="AP223" s="49">
        <v>13</v>
      </c>
    </row>
    <row r="224" spans="1:42" ht="15">
      <c r="A224" s="66" t="s">
        <v>443</v>
      </c>
      <c r="B224" s="66" t="s">
        <v>636</v>
      </c>
      <c r="C224" s="67" t="s">
        <v>774</v>
      </c>
      <c r="D224" s="68">
        <v>3</v>
      </c>
      <c r="E224" s="69"/>
      <c r="F224" s="70">
        <v>40</v>
      </c>
      <c r="G224" s="67"/>
      <c r="H224" s="71"/>
      <c r="I224" s="72"/>
      <c r="J224" s="72"/>
      <c r="K224" s="35" t="s">
        <v>65</v>
      </c>
      <c r="L224" s="80">
        <v>224</v>
      </c>
      <c r="M224" s="80"/>
      <c r="N224" s="74"/>
      <c r="O224" s="82" t="s">
        <v>776</v>
      </c>
      <c r="P224" s="82" t="s">
        <v>197</v>
      </c>
      <c r="Q224" s="82" t="s">
        <v>994</v>
      </c>
      <c r="R224" s="82" t="s">
        <v>443</v>
      </c>
      <c r="S224" s="82" t="s">
        <v>1519</v>
      </c>
      <c r="T224" s="84" t="str">
        <f>HYPERLINK("http://www.youtube.com/channel/UCtRleeJcrur_SqIt5rABzmA")</f>
        <v>http://www.youtube.com/channel/UCtRleeJcrur_SqIt5rABzmA</v>
      </c>
      <c r="U224" s="82"/>
      <c r="V224" s="82" t="s">
        <v>1831</v>
      </c>
      <c r="W224" s="84" t="str">
        <f>HYPERLINK("https://www.youtube.com/watch?v=5QB8QAuirzA")</f>
        <v>https://www.youtube.com/watch?v=5QB8QAuirzA</v>
      </c>
      <c r="X224" s="82" t="s">
        <v>1857</v>
      </c>
      <c r="Y224" s="82">
        <v>0</v>
      </c>
      <c r="Z224" s="86">
        <v>45173.81505787037</v>
      </c>
      <c r="AA224" s="86">
        <v>45173.81527777778</v>
      </c>
      <c r="AB224" s="82"/>
      <c r="AC224" s="82"/>
      <c r="AD224" s="82"/>
      <c r="AE224" s="82">
        <v>1</v>
      </c>
      <c r="AF224" s="81">
        <v>1</v>
      </c>
      <c r="AG224" s="81">
        <v>1</v>
      </c>
      <c r="AH224" s="49">
        <v>0</v>
      </c>
      <c r="AI224" s="50">
        <v>0</v>
      </c>
      <c r="AJ224" s="49">
        <v>0</v>
      </c>
      <c r="AK224" s="50">
        <v>0</v>
      </c>
      <c r="AL224" s="49">
        <v>0</v>
      </c>
      <c r="AM224" s="50">
        <v>0</v>
      </c>
      <c r="AN224" s="49">
        <v>3</v>
      </c>
      <c r="AO224" s="110">
        <v>42.857142857142854</v>
      </c>
      <c r="AP224" s="49">
        <v>7</v>
      </c>
    </row>
    <row r="225" spans="1:42" ht="15">
      <c r="A225" s="66" t="s">
        <v>444</v>
      </c>
      <c r="B225" s="66" t="s">
        <v>636</v>
      </c>
      <c r="C225" s="67" t="s">
        <v>774</v>
      </c>
      <c r="D225" s="68">
        <v>3</v>
      </c>
      <c r="E225" s="69"/>
      <c r="F225" s="70">
        <v>40</v>
      </c>
      <c r="G225" s="67"/>
      <c r="H225" s="71"/>
      <c r="I225" s="72"/>
      <c r="J225" s="72"/>
      <c r="K225" s="35" t="s">
        <v>65</v>
      </c>
      <c r="L225" s="80">
        <v>225</v>
      </c>
      <c r="M225" s="80"/>
      <c r="N225" s="74"/>
      <c r="O225" s="82" t="s">
        <v>776</v>
      </c>
      <c r="P225" s="82" t="s">
        <v>197</v>
      </c>
      <c r="Q225" s="82" t="s">
        <v>995</v>
      </c>
      <c r="R225" s="82" t="s">
        <v>444</v>
      </c>
      <c r="S225" s="82" t="s">
        <v>1520</v>
      </c>
      <c r="T225" s="84" t="str">
        <f>HYPERLINK("http://www.youtube.com/channel/UC9GABISrBWFvUQJsScXcKwQ")</f>
        <v>http://www.youtube.com/channel/UC9GABISrBWFvUQJsScXcKwQ</v>
      </c>
      <c r="U225" s="82"/>
      <c r="V225" s="82" t="s">
        <v>1831</v>
      </c>
      <c r="W225" s="84" t="str">
        <f>HYPERLINK("https://www.youtube.com/watch?v=5QB8QAuirzA")</f>
        <v>https://www.youtube.com/watch?v=5QB8QAuirzA</v>
      </c>
      <c r="X225" s="82" t="s">
        <v>1857</v>
      </c>
      <c r="Y225" s="82">
        <v>0</v>
      </c>
      <c r="Z225" s="86">
        <v>45174.54283564815</v>
      </c>
      <c r="AA225" s="86">
        <v>45174.54283564815</v>
      </c>
      <c r="AB225" s="82"/>
      <c r="AC225" s="82"/>
      <c r="AD225" s="82"/>
      <c r="AE225" s="82">
        <v>1</v>
      </c>
      <c r="AF225" s="81">
        <v>1</v>
      </c>
      <c r="AG225" s="81">
        <v>1</v>
      </c>
      <c r="AH225" s="49">
        <v>3</v>
      </c>
      <c r="AI225" s="110">
        <v>8.108108108108109</v>
      </c>
      <c r="AJ225" s="49">
        <v>1</v>
      </c>
      <c r="AK225" s="110">
        <v>2.7027027027027026</v>
      </c>
      <c r="AL225" s="49">
        <v>0</v>
      </c>
      <c r="AM225" s="50">
        <v>0</v>
      </c>
      <c r="AN225" s="49">
        <v>12</v>
      </c>
      <c r="AO225" s="110">
        <v>32.432432432432435</v>
      </c>
      <c r="AP225" s="49">
        <v>37</v>
      </c>
    </row>
    <row r="226" spans="1:42" ht="15">
      <c r="A226" s="66" t="s">
        <v>445</v>
      </c>
      <c r="B226" s="66" t="s">
        <v>636</v>
      </c>
      <c r="C226" s="67" t="s">
        <v>774</v>
      </c>
      <c r="D226" s="68">
        <v>3</v>
      </c>
      <c r="E226" s="69"/>
      <c r="F226" s="70">
        <v>40</v>
      </c>
      <c r="G226" s="67"/>
      <c r="H226" s="71"/>
      <c r="I226" s="72"/>
      <c r="J226" s="72"/>
      <c r="K226" s="35" t="s">
        <v>65</v>
      </c>
      <c r="L226" s="80">
        <v>226</v>
      </c>
      <c r="M226" s="80"/>
      <c r="N226" s="74"/>
      <c r="O226" s="82" t="s">
        <v>776</v>
      </c>
      <c r="P226" s="82" t="s">
        <v>197</v>
      </c>
      <c r="Q226" s="82" t="s">
        <v>996</v>
      </c>
      <c r="R226" s="82" t="s">
        <v>445</v>
      </c>
      <c r="S226" s="82" t="s">
        <v>1521</v>
      </c>
      <c r="T226" s="84" t="str">
        <f>HYPERLINK("http://www.youtube.com/channel/UCgi8CWGXMt6kuYzhDvw3AVw")</f>
        <v>http://www.youtube.com/channel/UCgi8CWGXMt6kuYzhDvw3AVw</v>
      </c>
      <c r="U226" s="82"/>
      <c r="V226" s="82" t="s">
        <v>1831</v>
      </c>
      <c r="W226" s="84" t="str">
        <f>HYPERLINK("https://www.youtube.com/watch?v=5QB8QAuirzA")</f>
        <v>https://www.youtube.com/watch?v=5QB8QAuirzA</v>
      </c>
      <c r="X226" s="82" t="s">
        <v>1857</v>
      </c>
      <c r="Y226" s="82">
        <v>0</v>
      </c>
      <c r="Z226" s="86">
        <v>45176.76261574074</v>
      </c>
      <c r="AA226" s="86">
        <v>45176.76261574074</v>
      </c>
      <c r="AB226" s="82"/>
      <c r="AC226" s="82"/>
      <c r="AD226" s="82"/>
      <c r="AE226" s="82">
        <v>1</v>
      </c>
      <c r="AF226" s="81">
        <v>1</v>
      </c>
      <c r="AG226" s="81">
        <v>1</v>
      </c>
      <c r="AH226" s="49">
        <v>1</v>
      </c>
      <c r="AI226" s="110">
        <v>4.166666666666667</v>
      </c>
      <c r="AJ226" s="49">
        <v>1</v>
      </c>
      <c r="AK226" s="110">
        <v>4.166666666666667</v>
      </c>
      <c r="AL226" s="49">
        <v>0</v>
      </c>
      <c r="AM226" s="50">
        <v>0</v>
      </c>
      <c r="AN226" s="49">
        <v>7</v>
      </c>
      <c r="AO226" s="110">
        <v>29.166666666666668</v>
      </c>
      <c r="AP226" s="49">
        <v>24</v>
      </c>
    </row>
    <row r="227" spans="1:42" ht="15">
      <c r="A227" s="66" t="s">
        <v>446</v>
      </c>
      <c r="B227" s="66" t="s">
        <v>636</v>
      </c>
      <c r="C227" s="67" t="s">
        <v>774</v>
      </c>
      <c r="D227" s="68">
        <v>3</v>
      </c>
      <c r="E227" s="69"/>
      <c r="F227" s="70">
        <v>40</v>
      </c>
      <c r="G227" s="67"/>
      <c r="H227" s="71"/>
      <c r="I227" s="72"/>
      <c r="J227" s="72"/>
      <c r="K227" s="35" t="s">
        <v>65</v>
      </c>
      <c r="L227" s="80">
        <v>227</v>
      </c>
      <c r="M227" s="80"/>
      <c r="N227" s="74"/>
      <c r="O227" s="82" t="s">
        <v>776</v>
      </c>
      <c r="P227" s="82" t="s">
        <v>197</v>
      </c>
      <c r="Q227" s="82" t="s">
        <v>997</v>
      </c>
      <c r="R227" s="82" t="s">
        <v>446</v>
      </c>
      <c r="S227" s="82" t="s">
        <v>1522</v>
      </c>
      <c r="T227" s="84" t="str">
        <f>HYPERLINK("http://www.youtube.com/channel/UC9e7Brrmb4DeG9KMe4bkmww")</f>
        <v>http://www.youtube.com/channel/UC9e7Brrmb4DeG9KMe4bkmww</v>
      </c>
      <c r="U227" s="82"/>
      <c r="V227" s="82" t="s">
        <v>1831</v>
      </c>
      <c r="W227" s="84" t="str">
        <f>HYPERLINK("https://www.youtube.com/watch?v=5QB8QAuirzA")</f>
        <v>https://www.youtube.com/watch?v=5QB8QAuirzA</v>
      </c>
      <c r="X227" s="82" t="s">
        <v>1857</v>
      </c>
      <c r="Y227" s="82">
        <v>0</v>
      </c>
      <c r="Z227" s="86">
        <v>45177.86875</v>
      </c>
      <c r="AA227" s="86">
        <v>45177.868946759256</v>
      </c>
      <c r="AB227" s="82"/>
      <c r="AC227" s="82"/>
      <c r="AD227" s="82"/>
      <c r="AE227" s="82">
        <v>1</v>
      </c>
      <c r="AF227" s="81">
        <v>1</v>
      </c>
      <c r="AG227" s="81">
        <v>1</v>
      </c>
      <c r="AH227" s="49">
        <v>1</v>
      </c>
      <c r="AI227" s="110">
        <v>4.545454545454546</v>
      </c>
      <c r="AJ227" s="49">
        <v>1</v>
      </c>
      <c r="AK227" s="110">
        <v>4.545454545454546</v>
      </c>
      <c r="AL227" s="49">
        <v>0</v>
      </c>
      <c r="AM227" s="50">
        <v>0</v>
      </c>
      <c r="AN227" s="49">
        <v>6</v>
      </c>
      <c r="AO227" s="110">
        <v>27.272727272727273</v>
      </c>
      <c r="AP227" s="49">
        <v>22</v>
      </c>
    </row>
    <row r="228" spans="1:42" ht="15">
      <c r="A228" s="66" t="s">
        <v>447</v>
      </c>
      <c r="B228" s="66" t="s">
        <v>636</v>
      </c>
      <c r="C228" s="67" t="s">
        <v>774</v>
      </c>
      <c r="D228" s="68">
        <v>3</v>
      </c>
      <c r="E228" s="69"/>
      <c r="F228" s="70">
        <v>40</v>
      </c>
      <c r="G228" s="67"/>
      <c r="H228" s="71"/>
      <c r="I228" s="72"/>
      <c r="J228" s="72"/>
      <c r="K228" s="35" t="s">
        <v>65</v>
      </c>
      <c r="L228" s="80">
        <v>228</v>
      </c>
      <c r="M228" s="80"/>
      <c r="N228" s="74"/>
      <c r="O228" s="82" t="s">
        <v>776</v>
      </c>
      <c r="P228" s="82" t="s">
        <v>197</v>
      </c>
      <c r="Q228" s="82" t="s">
        <v>998</v>
      </c>
      <c r="R228" s="82" t="s">
        <v>447</v>
      </c>
      <c r="S228" s="82" t="s">
        <v>1380</v>
      </c>
      <c r="T228" s="84" t="str">
        <f>HYPERLINK("http://www.youtube.com/channel/UClV_1ftKEKSAbVvgKKCH2yg")</f>
        <v>http://www.youtube.com/channel/UClV_1ftKEKSAbVvgKKCH2yg</v>
      </c>
      <c r="U228" s="82"/>
      <c r="V228" s="82" t="s">
        <v>1831</v>
      </c>
      <c r="W228" s="84" t="str">
        <f>HYPERLINK("https://www.youtube.com/watch?v=5QB8QAuirzA")</f>
        <v>https://www.youtube.com/watch?v=5QB8QAuirzA</v>
      </c>
      <c r="X228" s="82" t="s">
        <v>1857</v>
      </c>
      <c r="Y228" s="82">
        <v>0</v>
      </c>
      <c r="Z228" s="86">
        <v>45179.011608796296</v>
      </c>
      <c r="AA228" s="86">
        <v>45179.011608796296</v>
      </c>
      <c r="AB228" s="82"/>
      <c r="AC228" s="82"/>
      <c r="AD228" s="82"/>
      <c r="AE228" s="82">
        <v>1</v>
      </c>
      <c r="AF228" s="81">
        <v>1</v>
      </c>
      <c r="AG228" s="81">
        <v>1</v>
      </c>
      <c r="AH228" s="49">
        <v>0</v>
      </c>
      <c r="AI228" s="50">
        <v>0</v>
      </c>
      <c r="AJ228" s="49">
        <v>0</v>
      </c>
      <c r="AK228" s="50">
        <v>0</v>
      </c>
      <c r="AL228" s="49">
        <v>0</v>
      </c>
      <c r="AM228" s="50">
        <v>0</v>
      </c>
      <c r="AN228" s="49">
        <v>0</v>
      </c>
      <c r="AO228" s="50">
        <v>0</v>
      </c>
      <c r="AP228" s="49">
        <v>0</v>
      </c>
    </row>
    <row r="229" spans="1:42" ht="15">
      <c r="A229" s="66" t="s">
        <v>448</v>
      </c>
      <c r="B229" s="66" t="s">
        <v>636</v>
      </c>
      <c r="C229" s="67" t="s">
        <v>774</v>
      </c>
      <c r="D229" s="68">
        <v>3</v>
      </c>
      <c r="E229" s="69"/>
      <c r="F229" s="70">
        <v>40</v>
      </c>
      <c r="G229" s="67"/>
      <c r="H229" s="71"/>
      <c r="I229" s="72"/>
      <c r="J229" s="72"/>
      <c r="K229" s="35" t="s">
        <v>65</v>
      </c>
      <c r="L229" s="80">
        <v>229</v>
      </c>
      <c r="M229" s="80"/>
      <c r="N229" s="74"/>
      <c r="O229" s="82" t="s">
        <v>776</v>
      </c>
      <c r="P229" s="82" t="s">
        <v>197</v>
      </c>
      <c r="Q229" s="82" t="s">
        <v>999</v>
      </c>
      <c r="R229" s="82" t="s">
        <v>448</v>
      </c>
      <c r="S229" s="82" t="s">
        <v>1523</v>
      </c>
      <c r="T229" s="84" t="str">
        <f>HYPERLINK("http://www.youtube.com/channel/UC1wVZz6tDtOev68E5dOaXRA")</f>
        <v>http://www.youtube.com/channel/UC1wVZz6tDtOev68E5dOaXRA</v>
      </c>
      <c r="U229" s="82"/>
      <c r="V229" s="82" t="s">
        <v>1831</v>
      </c>
      <c r="W229" s="84" t="str">
        <f>HYPERLINK("https://www.youtube.com/watch?v=5QB8QAuirzA")</f>
        <v>https://www.youtube.com/watch?v=5QB8QAuirzA</v>
      </c>
      <c r="X229" s="82" t="s">
        <v>1857</v>
      </c>
      <c r="Y229" s="82">
        <v>0</v>
      </c>
      <c r="Z229" s="86">
        <v>45179.478842592594</v>
      </c>
      <c r="AA229" s="86">
        <v>45179.478842592594</v>
      </c>
      <c r="AB229" s="82"/>
      <c r="AC229" s="82"/>
      <c r="AD229" s="82"/>
      <c r="AE229" s="82">
        <v>1</v>
      </c>
      <c r="AF229" s="81">
        <v>1</v>
      </c>
      <c r="AG229" s="81">
        <v>1</v>
      </c>
      <c r="AH229" s="49">
        <v>1</v>
      </c>
      <c r="AI229" s="50">
        <v>2.5</v>
      </c>
      <c r="AJ229" s="49">
        <v>1</v>
      </c>
      <c r="AK229" s="50">
        <v>2.5</v>
      </c>
      <c r="AL229" s="49">
        <v>0</v>
      </c>
      <c r="AM229" s="50">
        <v>0</v>
      </c>
      <c r="AN229" s="49">
        <v>19</v>
      </c>
      <c r="AO229" s="50">
        <v>47.5</v>
      </c>
      <c r="AP229" s="49">
        <v>40</v>
      </c>
    </row>
    <row r="230" spans="1:42" ht="15">
      <c r="A230" s="66" t="s">
        <v>449</v>
      </c>
      <c r="B230" s="66" t="s">
        <v>636</v>
      </c>
      <c r="C230" s="67" t="s">
        <v>774</v>
      </c>
      <c r="D230" s="68">
        <v>3</v>
      </c>
      <c r="E230" s="69"/>
      <c r="F230" s="70">
        <v>40</v>
      </c>
      <c r="G230" s="67"/>
      <c r="H230" s="71"/>
      <c r="I230" s="72"/>
      <c r="J230" s="72"/>
      <c r="K230" s="35" t="s">
        <v>65</v>
      </c>
      <c r="L230" s="80">
        <v>230</v>
      </c>
      <c r="M230" s="80"/>
      <c r="N230" s="74"/>
      <c r="O230" s="82" t="s">
        <v>776</v>
      </c>
      <c r="P230" s="82" t="s">
        <v>197</v>
      </c>
      <c r="Q230" s="82" t="s">
        <v>1000</v>
      </c>
      <c r="R230" s="82" t="s">
        <v>449</v>
      </c>
      <c r="S230" s="82" t="s">
        <v>1524</v>
      </c>
      <c r="T230" s="84" t="str">
        <f>HYPERLINK("http://www.youtube.com/channel/UCwnGWfLRtyU6q5o7RQGLcvg")</f>
        <v>http://www.youtube.com/channel/UCwnGWfLRtyU6q5o7RQGLcvg</v>
      </c>
      <c r="U230" s="82"/>
      <c r="V230" s="82" t="s">
        <v>1831</v>
      </c>
      <c r="W230" s="84" t="str">
        <f>HYPERLINK("https://www.youtube.com/watch?v=5QB8QAuirzA")</f>
        <v>https://www.youtube.com/watch?v=5QB8QAuirzA</v>
      </c>
      <c r="X230" s="82" t="s">
        <v>1857</v>
      </c>
      <c r="Y230" s="82">
        <v>0</v>
      </c>
      <c r="Z230" s="86">
        <v>45181.60768518518</v>
      </c>
      <c r="AA230" s="86">
        <v>45181.60768518518</v>
      </c>
      <c r="AB230" s="82"/>
      <c r="AC230" s="82"/>
      <c r="AD230" s="82"/>
      <c r="AE230" s="82">
        <v>1</v>
      </c>
      <c r="AF230" s="81">
        <v>1</v>
      </c>
      <c r="AG230" s="81">
        <v>1</v>
      </c>
      <c r="AH230" s="49">
        <v>1</v>
      </c>
      <c r="AI230" s="110">
        <v>7.142857142857143</v>
      </c>
      <c r="AJ230" s="49">
        <v>1</v>
      </c>
      <c r="AK230" s="110">
        <v>7.142857142857143</v>
      </c>
      <c r="AL230" s="49">
        <v>0</v>
      </c>
      <c r="AM230" s="50">
        <v>0</v>
      </c>
      <c r="AN230" s="49">
        <v>7</v>
      </c>
      <c r="AO230" s="50">
        <v>50</v>
      </c>
      <c r="AP230" s="49">
        <v>14</v>
      </c>
    </row>
    <row r="231" spans="1:42" ht="15">
      <c r="A231" s="66" t="s">
        <v>450</v>
      </c>
      <c r="B231" s="66" t="s">
        <v>636</v>
      </c>
      <c r="C231" s="67" t="s">
        <v>774</v>
      </c>
      <c r="D231" s="68">
        <v>3</v>
      </c>
      <c r="E231" s="69"/>
      <c r="F231" s="70">
        <v>40</v>
      </c>
      <c r="G231" s="67"/>
      <c r="H231" s="71"/>
      <c r="I231" s="72"/>
      <c r="J231" s="72"/>
      <c r="K231" s="35" t="s">
        <v>65</v>
      </c>
      <c r="L231" s="80">
        <v>231</v>
      </c>
      <c r="M231" s="80"/>
      <c r="N231" s="74"/>
      <c r="O231" s="82" t="s">
        <v>776</v>
      </c>
      <c r="P231" s="82" t="s">
        <v>197</v>
      </c>
      <c r="Q231" s="82" t="s">
        <v>1001</v>
      </c>
      <c r="R231" s="82" t="s">
        <v>450</v>
      </c>
      <c r="S231" s="82" t="s">
        <v>1525</v>
      </c>
      <c r="T231" s="84" t="str">
        <f>HYPERLINK("http://www.youtube.com/channel/UCDkkELtKMdIt9W207n2gkIQ")</f>
        <v>http://www.youtube.com/channel/UCDkkELtKMdIt9W207n2gkIQ</v>
      </c>
      <c r="U231" s="82"/>
      <c r="V231" s="82" t="s">
        <v>1831</v>
      </c>
      <c r="W231" s="84" t="str">
        <f>HYPERLINK("https://www.youtube.com/watch?v=5QB8QAuirzA")</f>
        <v>https://www.youtube.com/watch?v=5QB8QAuirzA</v>
      </c>
      <c r="X231" s="82" t="s">
        <v>1857</v>
      </c>
      <c r="Y231" s="82">
        <v>0</v>
      </c>
      <c r="Z231" s="86">
        <v>45182.99597222222</v>
      </c>
      <c r="AA231" s="86">
        <v>45182.99597222222</v>
      </c>
      <c r="AB231" s="82"/>
      <c r="AC231" s="82"/>
      <c r="AD231" s="82"/>
      <c r="AE231" s="82">
        <v>1</v>
      </c>
      <c r="AF231" s="81">
        <v>1</v>
      </c>
      <c r="AG231" s="81">
        <v>1</v>
      </c>
      <c r="AH231" s="49">
        <v>0</v>
      </c>
      <c r="AI231" s="50">
        <v>0</v>
      </c>
      <c r="AJ231" s="49">
        <v>0</v>
      </c>
      <c r="AK231" s="50">
        <v>0</v>
      </c>
      <c r="AL231" s="49">
        <v>0</v>
      </c>
      <c r="AM231" s="50">
        <v>0</v>
      </c>
      <c r="AN231" s="49">
        <v>6</v>
      </c>
      <c r="AO231" s="110">
        <v>66.66666666666667</v>
      </c>
      <c r="AP231" s="49">
        <v>9</v>
      </c>
    </row>
    <row r="232" spans="1:42" ht="15">
      <c r="A232" s="66" t="s">
        <v>451</v>
      </c>
      <c r="B232" s="66" t="s">
        <v>636</v>
      </c>
      <c r="C232" s="67" t="s">
        <v>774</v>
      </c>
      <c r="D232" s="68">
        <v>3</v>
      </c>
      <c r="E232" s="69"/>
      <c r="F232" s="70">
        <v>40</v>
      </c>
      <c r="G232" s="67"/>
      <c r="H232" s="71"/>
      <c r="I232" s="72"/>
      <c r="J232" s="72"/>
      <c r="K232" s="35" t="s">
        <v>65</v>
      </c>
      <c r="L232" s="80">
        <v>232</v>
      </c>
      <c r="M232" s="80"/>
      <c r="N232" s="74"/>
      <c r="O232" s="82" t="s">
        <v>776</v>
      </c>
      <c r="P232" s="82" t="s">
        <v>197</v>
      </c>
      <c r="Q232" s="82" t="s">
        <v>1002</v>
      </c>
      <c r="R232" s="82" t="s">
        <v>451</v>
      </c>
      <c r="S232" s="82" t="s">
        <v>1526</v>
      </c>
      <c r="T232" s="84" t="str">
        <f>HYPERLINK("http://www.youtube.com/channel/UCdMLfgflOd8sQbyeYNnzDtw")</f>
        <v>http://www.youtube.com/channel/UCdMLfgflOd8sQbyeYNnzDtw</v>
      </c>
      <c r="U232" s="82"/>
      <c r="V232" s="82" t="s">
        <v>1831</v>
      </c>
      <c r="W232" s="84" t="str">
        <f>HYPERLINK("https://www.youtube.com/watch?v=5QB8QAuirzA")</f>
        <v>https://www.youtube.com/watch?v=5QB8QAuirzA</v>
      </c>
      <c r="X232" s="82" t="s">
        <v>1857</v>
      </c>
      <c r="Y232" s="82">
        <v>0</v>
      </c>
      <c r="Z232" s="86">
        <v>45183.3253587963</v>
      </c>
      <c r="AA232" s="86">
        <v>45183.3253587963</v>
      </c>
      <c r="AB232" s="82"/>
      <c r="AC232" s="82"/>
      <c r="AD232" s="82"/>
      <c r="AE232" s="82">
        <v>1</v>
      </c>
      <c r="AF232" s="81">
        <v>1</v>
      </c>
      <c r="AG232" s="81">
        <v>1</v>
      </c>
      <c r="AH232" s="49">
        <v>0</v>
      </c>
      <c r="AI232" s="50">
        <v>0</v>
      </c>
      <c r="AJ232" s="49">
        <v>2</v>
      </c>
      <c r="AK232" s="110">
        <v>3.7735849056603774</v>
      </c>
      <c r="AL232" s="49">
        <v>0</v>
      </c>
      <c r="AM232" s="50">
        <v>0</v>
      </c>
      <c r="AN232" s="49">
        <v>19</v>
      </c>
      <c r="AO232" s="110">
        <v>35.84905660377358</v>
      </c>
      <c r="AP232" s="49">
        <v>53</v>
      </c>
    </row>
    <row r="233" spans="1:42" ht="15">
      <c r="A233" s="66" t="s">
        <v>452</v>
      </c>
      <c r="B233" s="66" t="s">
        <v>636</v>
      </c>
      <c r="C233" s="67" t="s">
        <v>774</v>
      </c>
      <c r="D233" s="68">
        <v>3</v>
      </c>
      <c r="E233" s="69"/>
      <c r="F233" s="70">
        <v>40</v>
      </c>
      <c r="G233" s="67"/>
      <c r="H233" s="71"/>
      <c r="I233" s="72"/>
      <c r="J233" s="72"/>
      <c r="K233" s="35" t="s">
        <v>65</v>
      </c>
      <c r="L233" s="80">
        <v>233</v>
      </c>
      <c r="M233" s="80"/>
      <c r="N233" s="74"/>
      <c r="O233" s="82" t="s">
        <v>776</v>
      </c>
      <c r="P233" s="82" t="s">
        <v>197</v>
      </c>
      <c r="Q233" s="82" t="s">
        <v>1003</v>
      </c>
      <c r="R233" s="82" t="s">
        <v>452</v>
      </c>
      <c r="S233" s="82" t="s">
        <v>1527</v>
      </c>
      <c r="T233" s="84" t="str">
        <f>HYPERLINK("http://www.youtube.com/channel/UC85zxiH5BjwQrjawrgMIrtQ")</f>
        <v>http://www.youtube.com/channel/UC85zxiH5BjwQrjawrgMIrtQ</v>
      </c>
      <c r="U233" s="82"/>
      <c r="V233" s="82" t="s">
        <v>1831</v>
      </c>
      <c r="W233" s="84" t="str">
        <f>HYPERLINK("https://www.youtube.com/watch?v=5QB8QAuirzA")</f>
        <v>https://www.youtube.com/watch?v=5QB8QAuirzA</v>
      </c>
      <c r="X233" s="82" t="s">
        <v>1857</v>
      </c>
      <c r="Y233" s="82">
        <v>0</v>
      </c>
      <c r="Z233" s="86">
        <v>45184.027291666665</v>
      </c>
      <c r="AA233" s="86">
        <v>45184.027291666665</v>
      </c>
      <c r="AB233" s="82"/>
      <c r="AC233" s="82"/>
      <c r="AD233" s="82"/>
      <c r="AE233" s="82">
        <v>1</v>
      </c>
      <c r="AF233" s="81">
        <v>1</v>
      </c>
      <c r="AG233" s="81">
        <v>1</v>
      </c>
      <c r="AH233" s="49">
        <v>1</v>
      </c>
      <c r="AI233" s="110">
        <v>7.142857142857143</v>
      </c>
      <c r="AJ233" s="49">
        <v>0</v>
      </c>
      <c r="AK233" s="50">
        <v>0</v>
      </c>
      <c r="AL233" s="49">
        <v>0</v>
      </c>
      <c r="AM233" s="50">
        <v>0</v>
      </c>
      <c r="AN233" s="49">
        <v>5</v>
      </c>
      <c r="AO233" s="110">
        <v>35.714285714285715</v>
      </c>
      <c r="AP233" s="49">
        <v>14</v>
      </c>
    </row>
    <row r="234" spans="1:42" ht="15">
      <c r="A234" s="66" t="s">
        <v>453</v>
      </c>
      <c r="B234" s="66" t="s">
        <v>636</v>
      </c>
      <c r="C234" s="67" t="s">
        <v>774</v>
      </c>
      <c r="D234" s="68">
        <v>3</v>
      </c>
      <c r="E234" s="69"/>
      <c r="F234" s="70">
        <v>40</v>
      </c>
      <c r="G234" s="67"/>
      <c r="H234" s="71"/>
      <c r="I234" s="72"/>
      <c r="J234" s="72"/>
      <c r="K234" s="35" t="s">
        <v>65</v>
      </c>
      <c r="L234" s="80">
        <v>234</v>
      </c>
      <c r="M234" s="80"/>
      <c r="N234" s="74"/>
      <c r="O234" s="82" t="s">
        <v>776</v>
      </c>
      <c r="P234" s="82" t="s">
        <v>197</v>
      </c>
      <c r="Q234" s="82" t="s">
        <v>1004</v>
      </c>
      <c r="R234" s="82" t="s">
        <v>453</v>
      </c>
      <c r="S234" s="82" t="s">
        <v>1528</v>
      </c>
      <c r="T234" s="84" t="str">
        <f>HYPERLINK("http://www.youtube.com/channel/UCgHO0kiaS0wESP3plRDYA5w")</f>
        <v>http://www.youtube.com/channel/UCgHO0kiaS0wESP3plRDYA5w</v>
      </c>
      <c r="U234" s="82"/>
      <c r="V234" s="82" t="s">
        <v>1831</v>
      </c>
      <c r="W234" s="84" t="str">
        <f>HYPERLINK("https://www.youtube.com/watch?v=5QB8QAuirzA")</f>
        <v>https://www.youtube.com/watch?v=5QB8QAuirzA</v>
      </c>
      <c r="X234" s="82" t="s">
        <v>1857</v>
      </c>
      <c r="Y234" s="82">
        <v>0</v>
      </c>
      <c r="Z234" s="86">
        <v>45185.736967592595</v>
      </c>
      <c r="AA234" s="86">
        <v>45185.736967592595</v>
      </c>
      <c r="AB234" s="82"/>
      <c r="AC234" s="82"/>
      <c r="AD234" s="82"/>
      <c r="AE234" s="82">
        <v>1</v>
      </c>
      <c r="AF234" s="81">
        <v>1</v>
      </c>
      <c r="AG234" s="81">
        <v>1</v>
      </c>
      <c r="AH234" s="49">
        <v>1</v>
      </c>
      <c r="AI234" s="110">
        <v>3.8461538461538463</v>
      </c>
      <c r="AJ234" s="49">
        <v>1</v>
      </c>
      <c r="AK234" s="110">
        <v>3.8461538461538463</v>
      </c>
      <c r="AL234" s="49">
        <v>0</v>
      </c>
      <c r="AM234" s="50">
        <v>0</v>
      </c>
      <c r="AN234" s="49">
        <v>9</v>
      </c>
      <c r="AO234" s="110">
        <v>34.61538461538461</v>
      </c>
      <c r="AP234" s="49">
        <v>26</v>
      </c>
    </row>
    <row r="235" spans="1:42" ht="15">
      <c r="A235" s="66" t="s">
        <v>454</v>
      </c>
      <c r="B235" s="66" t="s">
        <v>636</v>
      </c>
      <c r="C235" s="67" t="s">
        <v>774</v>
      </c>
      <c r="D235" s="68">
        <v>3</v>
      </c>
      <c r="E235" s="69"/>
      <c r="F235" s="70">
        <v>40</v>
      </c>
      <c r="G235" s="67"/>
      <c r="H235" s="71"/>
      <c r="I235" s="72"/>
      <c r="J235" s="72"/>
      <c r="K235" s="35" t="s">
        <v>65</v>
      </c>
      <c r="L235" s="80">
        <v>235</v>
      </c>
      <c r="M235" s="80"/>
      <c r="N235" s="74"/>
      <c r="O235" s="82" t="s">
        <v>776</v>
      </c>
      <c r="P235" s="82" t="s">
        <v>197</v>
      </c>
      <c r="Q235" s="82" t="s">
        <v>1005</v>
      </c>
      <c r="R235" s="82" t="s">
        <v>454</v>
      </c>
      <c r="S235" s="82" t="s">
        <v>1529</v>
      </c>
      <c r="T235" s="84" t="str">
        <f>HYPERLINK("http://www.youtube.com/channel/UC4hpGiMQzB0TIoVA3h07xHw")</f>
        <v>http://www.youtube.com/channel/UC4hpGiMQzB0TIoVA3h07xHw</v>
      </c>
      <c r="U235" s="82"/>
      <c r="V235" s="82" t="s">
        <v>1831</v>
      </c>
      <c r="W235" s="84" t="str">
        <f>HYPERLINK("https://www.youtube.com/watch?v=5QB8QAuirzA")</f>
        <v>https://www.youtube.com/watch?v=5QB8QAuirzA</v>
      </c>
      <c r="X235" s="82" t="s">
        <v>1857</v>
      </c>
      <c r="Y235" s="82">
        <v>0</v>
      </c>
      <c r="Z235" s="86">
        <v>45187.162777777776</v>
      </c>
      <c r="AA235" s="86">
        <v>45187.162777777776</v>
      </c>
      <c r="AB235" s="82"/>
      <c r="AC235" s="82"/>
      <c r="AD235" s="82"/>
      <c r="AE235" s="82">
        <v>1</v>
      </c>
      <c r="AF235" s="81">
        <v>1</v>
      </c>
      <c r="AG235" s="81">
        <v>1</v>
      </c>
      <c r="AH235" s="49">
        <v>0</v>
      </c>
      <c r="AI235" s="50">
        <v>0</v>
      </c>
      <c r="AJ235" s="49">
        <v>0</v>
      </c>
      <c r="AK235" s="50">
        <v>0</v>
      </c>
      <c r="AL235" s="49">
        <v>0</v>
      </c>
      <c r="AM235" s="50">
        <v>0</v>
      </c>
      <c r="AN235" s="49">
        <v>1</v>
      </c>
      <c r="AO235" s="50">
        <v>100</v>
      </c>
      <c r="AP235" s="49">
        <v>1</v>
      </c>
    </row>
    <row r="236" spans="1:42" ht="15">
      <c r="A236" s="66" t="s">
        <v>455</v>
      </c>
      <c r="B236" s="66" t="s">
        <v>462</v>
      </c>
      <c r="C236" s="67" t="s">
        <v>774</v>
      </c>
      <c r="D236" s="68">
        <v>3</v>
      </c>
      <c r="E236" s="69"/>
      <c r="F236" s="70">
        <v>40</v>
      </c>
      <c r="G236" s="67"/>
      <c r="H236" s="71"/>
      <c r="I236" s="72"/>
      <c r="J236" s="72"/>
      <c r="K236" s="35" t="s">
        <v>65</v>
      </c>
      <c r="L236" s="80">
        <v>236</v>
      </c>
      <c r="M236" s="80"/>
      <c r="N236" s="74"/>
      <c r="O236" s="82" t="s">
        <v>776</v>
      </c>
      <c r="P236" s="82" t="s">
        <v>197</v>
      </c>
      <c r="Q236" s="82" t="s">
        <v>1006</v>
      </c>
      <c r="R236" s="82" t="s">
        <v>455</v>
      </c>
      <c r="S236" s="82" t="s">
        <v>1530</v>
      </c>
      <c r="T236" s="84" t="str">
        <f>HYPERLINK("http://www.youtube.com/channel/UCYNntWoBQNmwamwt2_h6zSQ")</f>
        <v>http://www.youtube.com/channel/UCYNntWoBQNmwamwt2_h6zSQ</v>
      </c>
      <c r="U236" s="82"/>
      <c r="V236" s="82" t="s">
        <v>1832</v>
      </c>
      <c r="W236" s="84" t="str">
        <f>HYPERLINK("https://www.youtube.com/watch?v=SKknfAC3PD0")</f>
        <v>https://www.youtube.com/watch?v=SKknfAC3PD0</v>
      </c>
      <c r="X236" s="82" t="s">
        <v>1857</v>
      </c>
      <c r="Y236" s="82">
        <v>3</v>
      </c>
      <c r="Z236" s="86">
        <v>44975.97325231481</v>
      </c>
      <c r="AA236" s="86">
        <v>44975.97325231481</v>
      </c>
      <c r="AB236" s="82"/>
      <c r="AC236" s="82"/>
      <c r="AD236" s="82"/>
      <c r="AE236" s="82">
        <v>1</v>
      </c>
      <c r="AF236" s="81">
        <v>8</v>
      </c>
      <c r="AG236" s="81">
        <v>8</v>
      </c>
      <c r="AH236" s="49">
        <v>1</v>
      </c>
      <c r="AI236" s="110">
        <v>8.333333333333334</v>
      </c>
      <c r="AJ236" s="49">
        <v>0</v>
      </c>
      <c r="AK236" s="50">
        <v>0</v>
      </c>
      <c r="AL236" s="49">
        <v>0</v>
      </c>
      <c r="AM236" s="50">
        <v>0</v>
      </c>
      <c r="AN236" s="49">
        <v>4</v>
      </c>
      <c r="AO236" s="110">
        <v>33.333333333333336</v>
      </c>
      <c r="AP236" s="49">
        <v>12</v>
      </c>
    </row>
    <row r="237" spans="1:42" ht="15">
      <c r="A237" s="66" t="s">
        <v>456</v>
      </c>
      <c r="B237" s="66" t="s">
        <v>462</v>
      </c>
      <c r="C237" s="67" t="s">
        <v>774</v>
      </c>
      <c r="D237" s="68">
        <v>3</v>
      </c>
      <c r="E237" s="69"/>
      <c r="F237" s="70">
        <v>40</v>
      </c>
      <c r="G237" s="67"/>
      <c r="H237" s="71"/>
      <c r="I237" s="72"/>
      <c r="J237" s="72"/>
      <c r="K237" s="35" t="s">
        <v>65</v>
      </c>
      <c r="L237" s="80">
        <v>237</v>
      </c>
      <c r="M237" s="80"/>
      <c r="N237" s="74"/>
      <c r="O237" s="82" t="s">
        <v>776</v>
      </c>
      <c r="P237" s="82" t="s">
        <v>197</v>
      </c>
      <c r="Q237" s="82" t="s">
        <v>1007</v>
      </c>
      <c r="R237" s="82" t="s">
        <v>456</v>
      </c>
      <c r="S237" s="82" t="s">
        <v>1531</v>
      </c>
      <c r="T237" s="84" t="str">
        <f>HYPERLINK("http://www.youtube.com/channel/UCRzCAdoaQeiKD9Nk4mKGMYw")</f>
        <v>http://www.youtube.com/channel/UCRzCAdoaQeiKD9Nk4mKGMYw</v>
      </c>
      <c r="U237" s="82"/>
      <c r="V237" s="82" t="s">
        <v>1832</v>
      </c>
      <c r="W237" s="84" t="str">
        <f>HYPERLINK("https://www.youtube.com/watch?v=SKknfAC3PD0")</f>
        <v>https://www.youtube.com/watch?v=SKknfAC3PD0</v>
      </c>
      <c r="X237" s="82" t="s">
        <v>1857</v>
      </c>
      <c r="Y237" s="82">
        <v>9</v>
      </c>
      <c r="Z237" s="86">
        <v>44984.085543981484</v>
      </c>
      <c r="AA237" s="86">
        <v>44984.085543981484</v>
      </c>
      <c r="AB237" s="82"/>
      <c r="AC237" s="82"/>
      <c r="AD237" s="82"/>
      <c r="AE237" s="82">
        <v>1</v>
      </c>
      <c r="AF237" s="81">
        <v>8</v>
      </c>
      <c r="AG237" s="81">
        <v>8</v>
      </c>
      <c r="AH237" s="49">
        <v>0</v>
      </c>
      <c r="AI237" s="50">
        <v>0</v>
      </c>
      <c r="AJ237" s="49">
        <v>1</v>
      </c>
      <c r="AK237" s="110">
        <v>4.166666666666667</v>
      </c>
      <c r="AL237" s="49">
        <v>0</v>
      </c>
      <c r="AM237" s="50">
        <v>0</v>
      </c>
      <c r="AN237" s="49">
        <v>10</v>
      </c>
      <c r="AO237" s="110">
        <v>41.666666666666664</v>
      </c>
      <c r="AP237" s="49">
        <v>24</v>
      </c>
    </row>
    <row r="238" spans="1:42" ht="15">
      <c r="A238" s="66" t="s">
        <v>457</v>
      </c>
      <c r="B238" s="66" t="s">
        <v>462</v>
      </c>
      <c r="C238" s="67" t="s">
        <v>774</v>
      </c>
      <c r="D238" s="68">
        <v>3</v>
      </c>
      <c r="E238" s="69"/>
      <c r="F238" s="70">
        <v>40</v>
      </c>
      <c r="G238" s="67"/>
      <c r="H238" s="71"/>
      <c r="I238" s="72"/>
      <c r="J238" s="72"/>
      <c r="K238" s="35" t="s">
        <v>65</v>
      </c>
      <c r="L238" s="80">
        <v>238</v>
      </c>
      <c r="M238" s="80"/>
      <c r="N238" s="74"/>
      <c r="O238" s="82" t="s">
        <v>776</v>
      </c>
      <c r="P238" s="82" t="s">
        <v>197</v>
      </c>
      <c r="Q238" s="82" t="s">
        <v>1008</v>
      </c>
      <c r="R238" s="82" t="s">
        <v>457</v>
      </c>
      <c r="S238" s="82" t="s">
        <v>1532</v>
      </c>
      <c r="T238" s="84" t="str">
        <f>HYPERLINK("http://www.youtube.com/channel/UCfIsz6jRLv-VT011JVgbJEw")</f>
        <v>http://www.youtube.com/channel/UCfIsz6jRLv-VT011JVgbJEw</v>
      </c>
      <c r="U238" s="82"/>
      <c r="V238" s="82" t="s">
        <v>1832</v>
      </c>
      <c r="W238" s="84" t="str">
        <f>HYPERLINK("https://www.youtube.com/watch?v=SKknfAC3PD0")</f>
        <v>https://www.youtube.com/watch?v=SKknfAC3PD0</v>
      </c>
      <c r="X238" s="82" t="s">
        <v>1857</v>
      </c>
      <c r="Y238" s="82">
        <v>0</v>
      </c>
      <c r="Z238" s="86">
        <v>45144.17266203704</v>
      </c>
      <c r="AA238" s="86">
        <v>45144.17266203704</v>
      </c>
      <c r="AB238" s="82"/>
      <c r="AC238" s="82"/>
      <c r="AD238" s="82"/>
      <c r="AE238" s="82">
        <v>1</v>
      </c>
      <c r="AF238" s="81">
        <v>8</v>
      </c>
      <c r="AG238" s="81">
        <v>8</v>
      </c>
      <c r="AH238" s="49">
        <v>0</v>
      </c>
      <c r="AI238" s="50">
        <v>0</v>
      </c>
      <c r="AJ238" s="49">
        <v>0</v>
      </c>
      <c r="AK238" s="50">
        <v>0</v>
      </c>
      <c r="AL238" s="49">
        <v>0</v>
      </c>
      <c r="AM238" s="50">
        <v>0</v>
      </c>
      <c r="AN238" s="49">
        <v>3</v>
      </c>
      <c r="AO238" s="50">
        <v>75</v>
      </c>
      <c r="AP238" s="49">
        <v>4</v>
      </c>
    </row>
    <row r="239" spans="1:42" ht="15">
      <c r="A239" s="66" t="s">
        <v>458</v>
      </c>
      <c r="B239" s="66" t="s">
        <v>462</v>
      </c>
      <c r="C239" s="67" t="s">
        <v>774</v>
      </c>
      <c r="D239" s="68">
        <v>3</v>
      </c>
      <c r="E239" s="69"/>
      <c r="F239" s="70">
        <v>40</v>
      </c>
      <c r="G239" s="67"/>
      <c r="H239" s="71"/>
      <c r="I239" s="72"/>
      <c r="J239" s="72"/>
      <c r="K239" s="35" t="s">
        <v>65</v>
      </c>
      <c r="L239" s="80">
        <v>239</v>
      </c>
      <c r="M239" s="80"/>
      <c r="N239" s="74"/>
      <c r="O239" s="82" t="s">
        <v>776</v>
      </c>
      <c r="P239" s="82" t="s">
        <v>197</v>
      </c>
      <c r="Q239" s="82" t="s">
        <v>1009</v>
      </c>
      <c r="R239" s="82" t="s">
        <v>458</v>
      </c>
      <c r="S239" s="82" t="s">
        <v>1533</v>
      </c>
      <c r="T239" s="84" t="str">
        <f>HYPERLINK("http://www.youtube.com/channel/UCf33NQt2P-7FFKhrrNfH1Nw")</f>
        <v>http://www.youtube.com/channel/UCf33NQt2P-7FFKhrrNfH1Nw</v>
      </c>
      <c r="U239" s="82"/>
      <c r="V239" s="82" t="s">
        <v>1832</v>
      </c>
      <c r="W239" s="84" t="str">
        <f>HYPERLINK("https://www.youtube.com/watch?v=SKknfAC3PD0")</f>
        <v>https://www.youtube.com/watch?v=SKknfAC3PD0</v>
      </c>
      <c r="X239" s="82" t="s">
        <v>1857</v>
      </c>
      <c r="Y239" s="82">
        <v>0</v>
      </c>
      <c r="Z239" s="86">
        <v>45147.97456018518</v>
      </c>
      <c r="AA239" s="86">
        <v>45147.97456018518</v>
      </c>
      <c r="AB239" s="82"/>
      <c r="AC239" s="82"/>
      <c r="AD239" s="82"/>
      <c r="AE239" s="82">
        <v>1</v>
      </c>
      <c r="AF239" s="81">
        <v>8</v>
      </c>
      <c r="AG239" s="81">
        <v>8</v>
      </c>
      <c r="AH239" s="49">
        <v>0</v>
      </c>
      <c r="AI239" s="50">
        <v>0</v>
      </c>
      <c r="AJ239" s="49">
        <v>1</v>
      </c>
      <c r="AK239" s="110">
        <v>11.11111111111111</v>
      </c>
      <c r="AL239" s="49">
        <v>0</v>
      </c>
      <c r="AM239" s="50">
        <v>0</v>
      </c>
      <c r="AN239" s="49">
        <v>1</v>
      </c>
      <c r="AO239" s="110">
        <v>11.11111111111111</v>
      </c>
      <c r="AP239" s="49">
        <v>9</v>
      </c>
    </row>
    <row r="240" spans="1:42" ht="15">
      <c r="A240" s="66" t="s">
        <v>459</v>
      </c>
      <c r="B240" s="66" t="s">
        <v>462</v>
      </c>
      <c r="C240" s="67" t="s">
        <v>774</v>
      </c>
      <c r="D240" s="68">
        <v>3</v>
      </c>
      <c r="E240" s="69"/>
      <c r="F240" s="70">
        <v>40</v>
      </c>
      <c r="G240" s="67"/>
      <c r="H240" s="71"/>
      <c r="I240" s="72"/>
      <c r="J240" s="72"/>
      <c r="K240" s="35" t="s">
        <v>65</v>
      </c>
      <c r="L240" s="80">
        <v>240</v>
      </c>
      <c r="M240" s="80"/>
      <c r="N240" s="74"/>
      <c r="O240" s="82" t="s">
        <v>776</v>
      </c>
      <c r="P240" s="82" t="s">
        <v>197</v>
      </c>
      <c r="Q240" s="82" t="s">
        <v>1010</v>
      </c>
      <c r="R240" s="82" t="s">
        <v>459</v>
      </c>
      <c r="S240" s="82" t="s">
        <v>1534</v>
      </c>
      <c r="T240" s="84" t="str">
        <f>HYPERLINK("http://www.youtube.com/channel/UCFBKvki1427rKbVsgX3CrCQ")</f>
        <v>http://www.youtube.com/channel/UCFBKvki1427rKbVsgX3CrCQ</v>
      </c>
      <c r="U240" s="82"/>
      <c r="V240" s="82" t="s">
        <v>1832</v>
      </c>
      <c r="W240" s="84" t="str">
        <f>HYPERLINK("https://www.youtube.com/watch?v=SKknfAC3PD0")</f>
        <v>https://www.youtube.com/watch?v=SKknfAC3PD0</v>
      </c>
      <c r="X240" s="82" t="s">
        <v>1857</v>
      </c>
      <c r="Y240" s="82">
        <v>0</v>
      </c>
      <c r="Z240" s="86">
        <v>45152.55275462963</v>
      </c>
      <c r="AA240" s="86">
        <v>45152.55275462963</v>
      </c>
      <c r="AB240" s="82"/>
      <c r="AC240" s="82"/>
      <c r="AD240" s="82"/>
      <c r="AE240" s="82">
        <v>1</v>
      </c>
      <c r="AF240" s="81">
        <v>8</v>
      </c>
      <c r="AG240" s="81">
        <v>8</v>
      </c>
      <c r="AH240" s="49">
        <v>0</v>
      </c>
      <c r="AI240" s="50">
        <v>0</v>
      </c>
      <c r="AJ240" s="49">
        <v>0</v>
      </c>
      <c r="AK240" s="50">
        <v>0</v>
      </c>
      <c r="AL240" s="49">
        <v>0</v>
      </c>
      <c r="AM240" s="50">
        <v>0</v>
      </c>
      <c r="AN240" s="49">
        <v>5</v>
      </c>
      <c r="AO240" s="110">
        <v>55.55555555555556</v>
      </c>
      <c r="AP240" s="49">
        <v>9</v>
      </c>
    </row>
    <row r="241" spans="1:42" ht="15">
      <c r="A241" s="66" t="s">
        <v>460</v>
      </c>
      <c r="B241" s="66" t="s">
        <v>462</v>
      </c>
      <c r="C241" s="67" t="s">
        <v>774</v>
      </c>
      <c r="D241" s="68">
        <v>3</v>
      </c>
      <c r="E241" s="69"/>
      <c r="F241" s="70">
        <v>40</v>
      </c>
      <c r="G241" s="67"/>
      <c r="H241" s="71"/>
      <c r="I241" s="72"/>
      <c r="J241" s="72"/>
      <c r="K241" s="35" t="s">
        <v>65</v>
      </c>
      <c r="L241" s="80">
        <v>241</v>
      </c>
      <c r="M241" s="80"/>
      <c r="N241" s="74"/>
      <c r="O241" s="82" t="s">
        <v>776</v>
      </c>
      <c r="P241" s="82" t="s">
        <v>197</v>
      </c>
      <c r="Q241" s="82" t="s">
        <v>1011</v>
      </c>
      <c r="R241" s="82" t="s">
        <v>460</v>
      </c>
      <c r="S241" s="82" t="s">
        <v>1535</v>
      </c>
      <c r="T241" s="84" t="str">
        <f>HYPERLINK("http://www.youtube.com/channel/UC4ibNnkQqtD8nJorr30dMYA")</f>
        <v>http://www.youtube.com/channel/UC4ibNnkQqtD8nJorr30dMYA</v>
      </c>
      <c r="U241" s="82"/>
      <c r="V241" s="82" t="s">
        <v>1832</v>
      </c>
      <c r="W241" s="84" t="str">
        <f>HYPERLINK("https://www.youtube.com/watch?v=SKknfAC3PD0")</f>
        <v>https://www.youtube.com/watch?v=SKknfAC3PD0</v>
      </c>
      <c r="X241" s="82" t="s">
        <v>1857</v>
      </c>
      <c r="Y241" s="82">
        <v>0</v>
      </c>
      <c r="Z241" s="86">
        <v>45153.44740740741</v>
      </c>
      <c r="AA241" s="86">
        <v>45153.44740740741</v>
      </c>
      <c r="AB241" s="82"/>
      <c r="AC241" s="82"/>
      <c r="AD241" s="82"/>
      <c r="AE241" s="82">
        <v>1</v>
      </c>
      <c r="AF241" s="81">
        <v>8</v>
      </c>
      <c r="AG241" s="81">
        <v>8</v>
      </c>
      <c r="AH241" s="49">
        <v>0</v>
      </c>
      <c r="AI241" s="50">
        <v>0</v>
      </c>
      <c r="AJ241" s="49">
        <v>0</v>
      </c>
      <c r="AK241" s="50">
        <v>0</v>
      </c>
      <c r="AL241" s="49">
        <v>0</v>
      </c>
      <c r="AM241" s="50">
        <v>0</v>
      </c>
      <c r="AN241" s="49">
        <v>5</v>
      </c>
      <c r="AO241" s="110">
        <v>55.55555555555556</v>
      </c>
      <c r="AP241" s="49">
        <v>9</v>
      </c>
    </row>
    <row r="242" spans="1:42" ht="15">
      <c r="A242" s="66" t="s">
        <v>461</v>
      </c>
      <c r="B242" s="66" t="s">
        <v>462</v>
      </c>
      <c r="C242" s="67" t="s">
        <v>774</v>
      </c>
      <c r="D242" s="68">
        <v>3</v>
      </c>
      <c r="E242" s="69"/>
      <c r="F242" s="70">
        <v>40</v>
      </c>
      <c r="G242" s="67"/>
      <c r="H242" s="71"/>
      <c r="I242" s="72"/>
      <c r="J242" s="72"/>
      <c r="K242" s="35" t="s">
        <v>65</v>
      </c>
      <c r="L242" s="80">
        <v>242</v>
      </c>
      <c r="M242" s="80"/>
      <c r="N242" s="74"/>
      <c r="O242" s="82" t="s">
        <v>776</v>
      </c>
      <c r="P242" s="82" t="s">
        <v>197</v>
      </c>
      <c r="Q242" s="82" t="s">
        <v>1012</v>
      </c>
      <c r="R242" s="82" t="s">
        <v>461</v>
      </c>
      <c r="S242" s="82" t="s">
        <v>1536</v>
      </c>
      <c r="T242" s="84" t="str">
        <f>HYPERLINK("http://www.youtube.com/channel/UCQVZYXYVW37FV3FiOuzY71g")</f>
        <v>http://www.youtube.com/channel/UCQVZYXYVW37FV3FiOuzY71g</v>
      </c>
      <c r="U242" s="82"/>
      <c r="V242" s="82" t="s">
        <v>1832</v>
      </c>
      <c r="W242" s="84" t="str">
        <f>HYPERLINK("https://www.youtube.com/watch?v=SKknfAC3PD0")</f>
        <v>https://www.youtube.com/watch?v=SKknfAC3PD0</v>
      </c>
      <c r="X242" s="82" t="s">
        <v>1857</v>
      </c>
      <c r="Y242" s="82">
        <v>0</v>
      </c>
      <c r="Z242" s="86">
        <v>45163.8918287037</v>
      </c>
      <c r="AA242" s="86">
        <v>45163.892013888886</v>
      </c>
      <c r="AB242" s="82"/>
      <c r="AC242" s="82"/>
      <c r="AD242" s="82"/>
      <c r="AE242" s="82">
        <v>1</v>
      </c>
      <c r="AF242" s="81">
        <v>8</v>
      </c>
      <c r="AG242" s="81">
        <v>8</v>
      </c>
      <c r="AH242" s="49">
        <v>0</v>
      </c>
      <c r="AI242" s="50">
        <v>0</v>
      </c>
      <c r="AJ242" s="49">
        <v>0</v>
      </c>
      <c r="AK242" s="50">
        <v>0</v>
      </c>
      <c r="AL242" s="49">
        <v>0</v>
      </c>
      <c r="AM242" s="50">
        <v>0</v>
      </c>
      <c r="AN242" s="49">
        <v>1</v>
      </c>
      <c r="AO242" s="50">
        <v>25</v>
      </c>
      <c r="AP242" s="49">
        <v>4</v>
      </c>
    </row>
    <row r="243" spans="1:42" ht="15">
      <c r="A243" s="66" t="s">
        <v>462</v>
      </c>
      <c r="B243" s="66" t="s">
        <v>462</v>
      </c>
      <c r="C243" s="67" t="s">
        <v>774</v>
      </c>
      <c r="D243" s="68">
        <v>3</v>
      </c>
      <c r="E243" s="69"/>
      <c r="F243" s="70">
        <v>40</v>
      </c>
      <c r="G243" s="67"/>
      <c r="H243" s="71"/>
      <c r="I243" s="72"/>
      <c r="J243" s="72"/>
      <c r="K243" s="35" t="s">
        <v>65</v>
      </c>
      <c r="L243" s="80">
        <v>243</v>
      </c>
      <c r="M243" s="80"/>
      <c r="N243" s="74"/>
      <c r="O243" s="82" t="s">
        <v>777</v>
      </c>
      <c r="P243" s="82"/>
      <c r="Q243" s="82"/>
      <c r="R243" s="82"/>
      <c r="S243" s="82"/>
      <c r="T243" s="82"/>
      <c r="U243" s="82"/>
      <c r="V243" s="82" t="s">
        <v>1832</v>
      </c>
      <c r="W243" s="84" t="str">
        <f>HYPERLINK("https://www.youtube.com/watch?v=SKknfAC3PD0")</f>
        <v>https://www.youtube.com/watch?v=SKknfAC3PD0</v>
      </c>
      <c r="X243" s="82"/>
      <c r="Y243" s="82"/>
      <c r="Z243" s="86">
        <v>44975.54184027778</v>
      </c>
      <c r="AA243" s="82"/>
      <c r="AB243" s="82"/>
      <c r="AC243" s="82"/>
      <c r="AD243" s="82"/>
      <c r="AE243" s="82">
        <v>1</v>
      </c>
      <c r="AF243" s="81">
        <v>8</v>
      </c>
      <c r="AG243" s="81">
        <v>8</v>
      </c>
      <c r="AH243" s="49"/>
      <c r="AI243" s="50"/>
      <c r="AJ243" s="49"/>
      <c r="AK243" s="50"/>
      <c r="AL243" s="49"/>
      <c r="AM243" s="50"/>
      <c r="AN243" s="49"/>
      <c r="AO243" s="50"/>
      <c r="AP243" s="49"/>
    </row>
    <row r="244" spans="1:42" ht="15">
      <c r="A244" s="66" t="s">
        <v>463</v>
      </c>
      <c r="B244" s="66" t="s">
        <v>462</v>
      </c>
      <c r="C244" s="67" t="s">
        <v>774</v>
      </c>
      <c r="D244" s="68">
        <v>3</v>
      </c>
      <c r="E244" s="69"/>
      <c r="F244" s="70">
        <v>40</v>
      </c>
      <c r="G244" s="67"/>
      <c r="H244" s="71"/>
      <c r="I244" s="72"/>
      <c r="J244" s="72"/>
      <c r="K244" s="35" t="s">
        <v>65</v>
      </c>
      <c r="L244" s="80">
        <v>244</v>
      </c>
      <c r="M244" s="80"/>
      <c r="N244" s="74"/>
      <c r="O244" s="82" t="s">
        <v>776</v>
      </c>
      <c r="P244" s="82" t="s">
        <v>197</v>
      </c>
      <c r="Q244" s="82" t="s">
        <v>1013</v>
      </c>
      <c r="R244" s="82" t="s">
        <v>463</v>
      </c>
      <c r="S244" s="82" t="s">
        <v>1537</v>
      </c>
      <c r="T244" s="84" t="str">
        <f>HYPERLINK("http://www.youtube.com/channel/UCCRzkLPT5honwun_A0zHHzA")</f>
        <v>http://www.youtube.com/channel/UCCRzkLPT5honwun_A0zHHzA</v>
      </c>
      <c r="U244" s="82"/>
      <c r="V244" s="82" t="s">
        <v>1832</v>
      </c>
      <c r="W244" s="84" t="str">
        <f>HYPERLINK("https://www.youtube.com/watch?v=SKknfAC3PD0")</f>
        <v>https://www.youtube.com/watch?v=SKknfAC3PD0</v>
      </c>
      <c r="X244" s="82" t="s">
        <v>1857</v>
      </c>
      <c r="Y244" s="82">
        <v>0</v>
      </c>
      <c r="Z244" s="86">
        <v>45169.928252314814</v>
      </c>
      <c r="AA244" s="86">
        <v>45169.928252314814</v>
      </c>
      <c r="AB244" s="82"/>
      <c r="AC244" s="82"/>
      <c r="AD244" s="82"/>
      <c r="AE244" s="82">
        <v>1</v>
      </c>
      <c r="AF244" s="81">
        <v>8</v>
      </c>
      <c r="AG244" s="81">
        <v>8</v>
      </c>
      <c r="AH244" s="49">
        <v>1</v>
      </c>
      <c r="AI244" s="110">
        <v>1.1904761904761905</v>
      </c>
      <c r="AJ244" s="49">
        <v>4</v>
      </c>
      <c r="AK244" s="110">
        <v>4.761904761904762</v>
      </c>
      <c r="AL244" s="49">
        <v>0</v>
      </c>
      <c r="AM244" s="50">
        <v>0</v>
      </c>
      <c r="AN244" s="49">
        <v>13</v>
      </c>
      <c r="AO244" s="110">
        <v>15.476190476190476</v>
      </c>
      <c r="AP244" s="49">
        <v>84</v>
      </c>
    </row>
    <row r="245" spans="1:42" ht="15">
      <c r="A245" s="66" t="s">
        <v>464</v>
      </c>
      <c r="B245" s="66" t="s">
        <v>758</v>
      </c>
      <c r="C245" s="67" t="s">
        <v>774</v>
      </c>
      <c r="D245" s="68">
        <v>3</v>
      </c>
      <c r="E245" s="69"/>
      <c r="F245" s="70">
        <v>40</v>
      </c>
      <c r="G245" s="67"/>
      <c r="H245" s="71"/>
      <c r="I245" s="72"/>
      <c r="J245" s="72"/>
      <c r="K245" s="35" t="s">
        <v>65</v>
      </c>
      <c r="L245" s="80">
        <v>245</v>
      </c>
      <c r="M245" s="80"/>
      <c r="N245" s="74"/>
      <c r="O245" s="82" t="s">
        <v>776</v>
      </c>
      <c r="P245" s="82" t="s">
        <v>197</v>
      </c>
      <c r="Q245" s="82" t="s">
        <v>1014</v>
      </c>
      <c r="R245" s="82" t="s">
        <v>464</v>
      </c>
      <c r="S245" s="82" t="s">
        <v>1538</v>
      </c>
      <c r="T245" s="84" t="str">
        <f>HYPERLINK("http://www.youtube.com/channel/UCKTBdGmQqBc7YXzJtybyxRA")</f>
        <v>http://www.youtube.com/channel/UCKTBdGmQqBc7YXzJtybyxRA</v>
      </c>
      <c r="U245" s="82"/>
      <c r="V245" s="82" t="s">
        <v>1833</v>
      </c>
      <c r="W245" s="84" t="str">
        <f>HYPERLINK("https://www.youtube.com/watch?v=w6BMPN07BOM")</f>
        <v>https://www.youtube.com/watch?v=w6BMPN07BOM</v>
      </c>
      <c r="X245" s="82" t="s">
        <v>1857</v>
      </c>
      <c r="Y245" s="82">
        <v>8</v>
      </c>
      <c r="Z245" s="86">
        <v>44829.79386574074</v>
      </c>
      <c r="AA245" s="86">
        <v>44829.79386574074</v>
      </c>
      <c r="AB245" s="82"/>
      <c r="AC245" s="82"/>
      <c r="AD245" s="82"/>
      <c r="AE245" s="82">
        <v>1</v>
      </c>
      <c r="AF245" s="81">
        <v>2</v>
      </c>
      <c r="AG245" s="81">
        <v>2</v>
      </c>
      <c r="AH245" s="49">
        <v>1</v>
      </c>
      <c r="AI245" s="50">
        <v>50</v>
      </c>
      <c r="AJ245" s="49">
        <v>0</v>
      </c>
      <c r="AK245" s="50">
        <v>0</v>
      </c>
      <c r="AL245" s="49">
        <v>0</v>
      </c>
      <c r="AM245" s="50">
        <v>0</v>
      </c>
      <c r="AN245" s="49">
        <v>0</v>
      </c>
      <c r="AO245" s="50">
        <v>0</v>
      </c>
      <c r="AP245" s="49">
        <v>2</v>
      </c>
    </row>
    <row r="246" spans="1:42" ht="15">
      <c r="A246" s="66" t="s">
        <v>465</v>
      </c>
      <c r="B246" s="66" t="s">
        <v>758</v>
      </c>
      <c r="C246" s="67" t="s">
        <v>774</v>
      </c>
      <c r="D246" s="68">
        <v>3</v>
      </c>
      <c r="E246" s="69"/>
      <c r="F246" s="70">
        <v>40</v>
      </c>
      <c r="G246" s="67"/>
      <c r="H246" s="71"/>
      <c r="I246" s="72"/>
      <c r="J246" s="72"/>
      <c r="K246" s="35" t="s">
        <v>65</v>
      </c>
      <c r="L246" s="80">
        <v>246</v>
      </c>
      <c r="M246" s="80"/>
      <c r="N246" s="74"/>
      <c r="O246" s="82" t="s">
        <v>776</v>
      </c>
      <c r="P246" s="82" t="s">
        <v>197</v>
      </c>
      <c r="Q246" s="82" t="s">
        <v>1015</v>
      </c>
      <c r="R246" s="82" t="s">
        <v>465</v>
      </c>
      <c r="S246" s="82" t="s">
        <v>1539</v>
      </c>
      <c r="T246" s="84" t="str">
        <f>HYPERLINK("http://www.youtube.com/channel/UCKGhgcGVrjsrJXY9wtbG_sA")</f>
        <v>http://www.youtube.com/channel/UCKGhgcGVrjsrJXY9wtbG_sA</v>
      </c>
      <c r="U246" s="82"/>
      <c r="V246" s="82" t="s">
        <v>1833</v>
      </c>
      <c r="W246" s="84" t="str">
        <f>HYPERLINK("https://www.youtube.com/watch?v=w6BMPN07BOM")</f>
        <v>https://www.youtube.com/watch?v=w6BMPN07BOM</v>
      </c>
      <c r="X246" s="82" t="s">
        <v>1857</v>
      </c>
      <c r="Y246" s="82">
        <v>0</v>
      </c>
      <c r="Z246" s="86">
        <v>44829.79457175926</v>
      </c>
      <c r="AA246" s="86">
        <v>44829.79457175926</v>
      </c>
      <c r="AB246" s="82"/>
      <c r="AC246" s="82"/>
      <c r="AD246" s="82"/>
      <c r="AE246" s="82">
        <v>1</v>
      </c>
      <c r="AF246" s="81">
        <v>2</v>
      </c>
      <c r="AG246" s="81">
        <v>2</v>
      </c>
      <c r="AH246" s="49">
        <v>0</v>
      </c>
      <c r="AI246" s="50">
        <v>0</v>
      </c>
      <c r="AJ246" s="49">
        <v>1</v>
      </c>
      <c r="AK246" s="50">
        <v>50</v>
      </c>
      <c r="AL246" s="49">
        <v>0</v>
      </c>
      <c r="AM246" s="50">
        <v>0</v>
      </c>
      <c r="AN246" s="49">
        <v>1</v>
      </c>
      <c r="AO246" s="50">
        <v>50</v>
      </c>
      <c r="AP246" s="49">
        <v>2</v>
      </c>
    </row>
    <row r="247" spans="1:42" ht="15">
      <c r="A247" s="66" t="s">
        <v>466</v>
      </c>
      <c r="B247" s="66" t="s">
        <v>758</v>
      </c>
      <c r="C247" s="67" t="s">
        <v>774</v>
      </c>
      <c r="D247" s="68">
        <v>3</v>
      </c>
      <c r="E247" s="69"/>
      <c r="F247" s="70">
        <v>40</v>
      </c>
      <c r="G247" s="67"/>
      <c r="H247" s="71"/>
      <c r="I247" s="72"/>
      <c r="J247" s="72"/>
      <c r="K247" s="35" t="s">
        <v>65</v>
      </c>
      <c r="L247" s="80">
        <v>247</v>
      </c>
      <c r="M247" s="80"/>
      <c r="N247" s="74"/>
      <c r="O247" s="82" t="s">
        <v>776</v>
      </c>
      <c r="P247" s="82" t="s">
        <v>197</v>
      </c>
      <c r="Q247" s="82" t="s">
        <v>1016</v>
      </c>
      <c r="R247" s="82" t="s">
        <v>466</v>
      </c>
      <c r="S247" s="82" t="s">
        <v>1540</v>
      </c>
      <c r="T247" s="84" t="str">
        <f>HYPERLINK("http://www.youtube.com/channel/UCDtc6LRPWG6BznONo5-2BrA")</f>
        <v>http://www.youtube.com/channel/UCDtc6LRPWG6BznONo5-2BrA</v>
      </c>
      <c r="U247" s="82"/>
      <c r="V247" s="82" t="s">
        <v>1833</v>
      </c>
      <c r="W247" s="84" t="str">
        <f>HYPERLINK("https://www.youtube.com/watch?v=w6BMPN07BOM")</f>
        <v>https://www.youtube.com/watch?v=w6BMPN07BOM</v>
      </c>
      <c r="X247" s="82" t="s">
        <v>1857</v>
      </c>
      <c r="Y247" s="82">
        <v>4</v>
      </c>
      <c r="Z247" s="86">
        <v>44829.79583333333</v>
      </c>
      <c r="AA247" s="86">
        <v>44829.79583333333</v>
      </c>
      <c r="AB247" s="82"/>
      <c r="AC247" s="82"/>
      <c r="AD247" s="82"/>
      <c r="AE247" s="82">
        <v>1</v>
      </c>
      <c r="AF247" s="81">
        <v>2</v>
      </c>
      <c r="AG247" s="81">
        <v>2</v>
      </c>
      <c r="AH247" s="49">
        <v>1</v>
      </c>
      <c r="AI247" s="50">
        <v>50</v>
      </c>
      <c r="AJ247" s="49">
        <v>0</v>
      </c>
      <c r="AK247" s="50">
        <v>0</v>
      </c>
      <c r="AL247" s="49">
        <v>0</v>
      </c>
      <c r="AM247" s="50">
        <v>0</v>
      </c>
      <c r="AN247" s="49">
        <v>1</v>
      </c>
      <c r="AO247" s="50">
        <v>50</v>
      </c>
      <c r="AP247" s="49">
        <v>2</v>
      </c>
    </row>
    <row r="248" spans="1:42" ht="15">
      <c r="A248" s="66" t="s">
        <v>467</v>
      </c>
      <c r="B248" s="66" t="s">
        <v>758</v>
      </c>
      <c r="C248" s="67" t="s">
        <v>774</v>
      </c>
      <c r="D248" s="68">
        <v>3</v>
      </c>
      <c r="E248" s="69"/>
      <c r="F248" s="70">
        <v>40</v>
      </c>
      <c r="G248" s="67"/>
      <c r="H248" s="71"/>
      <c r="I248" s="72"/>
      <c r="J248" s="72"/>
      <c r="K248" s="35" t="s">
        <v>65</v>
      </c>
      <c r="L248" s="80">
        <v>248</v>
      </c>
      <c r="M248" s="80"/>
      <c r="N248" s="74"/>
      <c r="O248" s="82" t="s">
        <v>776</v>
      </c>
      <c r="P248" s="82" t="s">
        <v>197</v>
      </c>
      <c r="Q248" s="82" t="s">
        <v>1017</v>
      </c>
      <c r="R248" s="82" t="s">
        <v>467</v>
      </c>
      <c r="S248" s="82" t="s">
        <v>1541</v>
      </c>
      <c r="T248" s="84" t="str">
        <f>HYPERLINK("http://www.youtube.com/channel/UCFyVBHOSYAkrzkGhEvbkNEQ")</f>
        <v>http://www.youtube.com/channel/UCFyVBHOSYAkrzkGhEvbkNEQ</v>
      </c>
      <c r="U248" s="82"/>
      <c r="V248" s="82" t="s">
        <v>1833</v>
      </c>
      <c r="W248" s="84" t="str">
        <f>HYPERLINK("https://www.youtube.com/watch?v=w6BMPN07BOM")</f>
        <v>https://www.youtube.com/watch?v=w6BMPN07BOM</v>
      </c>
      <c r="X248" s="82" t="s">
        <v>1857</v>
      </c>
      <c r="Y248" s="82">
        <v>14</v>
      </c>
      <c r="Z248" s="86">
        <v>44829.79586805555</v>
      </c>
      <c r="AA248" s="86">
        <v>44829.79586805555</v>
      </c>
      <c r="AB248" s="82"/>
      <c r="AC248" s="82"/>
      <c r="AD248" s="82"/>
      <c r="AE248" s="82">
        <v>1</v>
      </c>
      <c r="AF248" s="81">
        <v>2</v>
      </c>
      <c r="AG248" s="81">
        <v>2</v>
      </c>
      <c r="AH248" s="49">
        <v>0</v>
      </c>
      <c r="AI248" s="50">
        <v>0</v>
      </c>
      <c r="AJ248" s="49">
        <v>0</v>
      </c>
      <c r="AK248" s="50">
        <v>0</v>
      </c>
      <c r="AL248" s="49">
        <v>0</v>
      </c>
      <c r="AM248" s="50">
        <v>0</v>
      </c>
      <c r="AN248" s="49">
        <v>2</v>
      </c>
      <c r="AO248" s="50">
        <v>50</v>
      </c>
      <c r="AP248" s="49">
        <v>4</v>
      </c>
    </row>
    <row r="249" spans="1:42" ht="15">
      <c r="A249" s="66" t="s">
        <v>468</v>
      </c>
      <c r="B249" s="66" t="s">
        <v>758</v>
      </c>
      <c r="C249" s="67" t="s">
        <v>774</v>
      </c>
      <c r="D249" s="68">
        <v>3</v>
      </c>
      <c r="E249" s="69"/>
      <c r="F249" s="70">
        <v>40</v>
      </c>
      <c r="G249" s="67"/>
      <c r="H249" s="71"/>
      <c r="I249" s="72"/>
      <c r="J249" s="72"/>
      <c r="K249" s="35" t="s">
        <v>65</v>
      </c>
      <c r="L249" s="80">
        <v>249</v>
      </c>
      <c r="M249" s="80"/>
      <c r="N249" s="74"/>
      <c r="O249" s="82" t="s">
        <v>776</v>
      </c>
      <c r="P249" s="82" t="s">
        <v>197</v>
      </c>
      <c r="Q249" s="82" t="s">
        <v>1018</v>
      </c>
      <c r="R249" s="82" t="s">
        <v>468</v>
      </c>
      <c r="S249" s="82" t="s">
        <v>1542</v>
      </c>
      <c r="T249" s="84" t="str">
        <f>HYPERLINK("http://www.youtube.com/channel/UCu_BkaIC_61Sr26JlPp7Q8Q")</f>
        <v>http://www.youtube.com/channel/UCu_BkaIC_61Sr26JlPp7Q8Q</v>
      </c>
      <c r="U249" s="82"/>
      <c r="V249" s="82" t="s">
        <v>1833</v>
      </c>
      <c r="W249" s="84" t="str">
        <f>HYPERLINK("https://www.youtube.com/watch?v=w6BMPN07BOM")</f>
        <v>https://www.youtube.com/watch?v=w6BMPN07BOM</v>
      </c>
      <c r="X249" s="82" t="s">
        <v>1857</v>
      </c>
      <c r="Y249" s="82">
        <v>0</v>
      </c>
      <c r="Z249" s="86">
        <v>44829.79667824074</v>
      </c>
      <c r="AA249" s="86">
        <v>44829.79667824074</v>
      </c>
      <c r="AB249" s="82"/>
      <c r="AC249" s="82"/>
      <c r="AD249" s="82"/>
      <c r="AE249" s="82">
        <v>1</v>
      </c>
      <c r="AF249" s="81">
        <v>2</v>
      </c>
      <c r="AG249" s="81">
        <v>2</v>
      </c>
      <c r="AH249" s="49">
        <v>2</v>
      </c>
      <c r="AI249" s="110">
        <v>9.523809523809524</v>
      </c>
      <c r="AJ249" s="49">
        <v>0</v>
      </c>
      <c r="AK249" s="50">
        <v>0</v>
      </c>
      <c r="AL249" s="49">
        <v>0</v>
      </c>
      <c r="AM249" s="50">
        <v>0</v>
      </c>
      <c r="AN249" s="49">
        <v>6</v>
      </c>
      <c r="AO249" s="110">
        <v>28.571428571428573</v>
      </c>
      <c r="AP249" s="49">
        <v>21</v>
      </c>
    </row>
    <row r="250" spans="1:42" ht="15">
      <c r="A250" s="66" t="s">
        <v>469</v>
      </c>
      <c r="B250" s="66" t="s">
        <v>758</v>
      </c>
      <c r="C250" s="67" t="s">
        <v>774</v>
      </c>
      <c r="D250" s="68">
        <v>3</v>
      </c>
      <c r="E250" s="69"/>
      <c r="F250" s="70">
        <v>40</v>
      </c>
      <c r="G250" s="67"/>
      <c r="H250" s="71"/>
      <c r="I250" s="72"/>
      <c r="J250" s="72"/>
      <c r="K250" s="35" t="s">
        <v>65</v>
      </c>
      <c r="L250" s="80">
        <v>250</v>
      </c>
      <c r="M250" s="80"/>
      <c r="N250" s="74"/>
      <c r="O250" s="82" t="s">
        <v>776</v>
      </c>
      <c r="P250" s="82" t="s">
        <v>197</v>
      </c>
      <c r="Q250" s="82" t="s">
        <v>1019</v>
      </c>
      <c r="R250" s="82" t="s">
        <v>469</v>
      </c>
      <c r="S250" s="82" t="s">
        <v>1543</v>
      </c>
      <c r="T250" s="84" t="str">
        <f>HYPERLINK("http://www.youtube.com/channel/UCO0BNEzxeBuFqIwp4AUoIXw")</f>
        <v>http://www.youtube.com/channel/UCO0BNEzxeBuFqIwp4AUoIXw</v>
      </c>
      <c r="U250" s="82"/>
      <c r="V250" s="82" t="s">
        <v>1833</v>
      </c>
      <c r="W250" s="84" t="str">
        <f>HYPERLINK("https://www.youtube.com/watch?v=w6BMPN07BOM")</f>
        <v>https://www.youtube.com/watch?v=w6BMPN07BOM</v>
      </c>
      <c r="X250" s="82" t="s">
        <v>1857</v>
      </c>
      <c r="Y250" s="82">
        <v>2</v>
      </c>
      <c r="Z250" s="86">
        <v>44829.796898148146</v>
      </c>
      <c r="AA250" s="86">
        <v>44829.796898148146</v>
      </c>
      <c r="AB250" s="82"/>
      <c r="AC250" s="82"/>
      <c r="AD250" s="82"/>
      <c r="AE250" s="82">
        <v>1</v>
      </c>
      <c r="AF250" s="81">
        <v>2</v>
      </c>
      <c r="AG250" s="81">
        <v>2</v>
      </c>
      <c r="AH250" s="49">
        <v>0</v>
      </c>
      <c r="AI250" s="50">
        <v>0</v>
      </c>
      <c r="AJ250" s="49">
        <v>0</v>
      </c>
      <c r="AK250" s="50">
        <v>0</v>
      </c>
      <c r="AL250" s="49">
        <v>0</v>
      </c>
      <c r="AM250" s="50">
        <v>0</v>
      </c>
      <c r="AN250" s="49">
        <v>4</v>
      </c>
      <c r="AO250" s="110">
        <v>28.571428571428573</v>
      </c>
      <c r="AP250" s="49">
        <v>14</v>
      </c>
    </row>
    <row r="251" spans="1:42" ht="15">
      <c r="A251" s="66" t="s">
        <v>470</v>
      </c>
      <c r="B251" s="66" t="s">
        <v>758</v>
      </c>
      <c r="C251" s="67" t="s">
        <v>774</v>
      </c>
      <c r="D251" s="68">
        <v>3</v>
      </c>
      <c r="E251" s="69"/>
      <c r="F251" s="70">
        <v>40</v>
      </c>
      <c r="G251" s="67"/>
      <c r="H251" s="71"/>
      <c r="I251" s="72"/>
      <c r="J251" s="72"/>
      <c r="K251" s="35" t="s">
        <v>65</v>
      </c>
      <c r="L251" s="80">
        <v>251</v>
      </c>
      <c r="M251" s="80"/>
      <c r="N251" s="74"/>
      <c r="O251" s="82" t="s">
        <v>776</v>
      </c>
      <c r="P251" s="82" t="s">
        <v>197</v>
      </c>
      <c r="Q251" s="82" t="s">
        <v>1020</v>
      </c>
      <c r="R251" s="82" t="s">
        <v>470</v>
      </c>
      <c r="S251" s="82" t="s">
        <v>1544</v>
      </c>
      <c r="T251" s="84" t="str">
        <f>HYPERLINK("http://www.youtube.com/channel/UCTySEEsEqeKxGjkyv8x2Z6g")</f>
        <v>http://www.youtube.com/channel/UCTySEEsEqeKxGjkyv8x2Z6g</v>
      </c>
      <c r="U251" s="82"/>
      <c r="V251" s="82" t="s">
        <v>1833</v>
      </c>
      <c r="W251" s="84" t="str">
        <f>HYPERLINK("https://www.youtube.com/watch?v=w6BMPN07BOM")</f>
        <v>https://www.youtube.com/watch?v=w6BMPN07BOM</v>
      </c>
      <c r="X251" s="82" t="s">
        <v>1857</v>
      </c>
      <c r="Y251" s="82">
        <v>12</v>
      </c>
      <c r="Z251" s="86">
        <v>44829.79787037037</v>
      </c>
      <c r="AA251" s="86">
        <v>44829.79787037037</v>
      </c>
      <c r="AB251" s="82"/>
      <c r="AC251" s="82"/>
      <c r="AD251" s="82"/>
      <c r="AE251" s="82">
        <v>1</v>
      </c>
      <c r="AF251" s="81">
        <v>2</v>
      </c>
      <c r="AG251" s="81">
        <v>2</v>
      </c>
      <c r="AH251" s="49">
        <v>2</v>
      </c>
      <c r="AI251" s="50">
        <v>25</v>
      </c>
      <c r="AJ251" s="49">
        <v>0</v>
      </c>
      <c r="AK251" s="50">
        <v>0</v>
      </c>
      <c r="AL251" s="49">
        <v>0</v>
      </c>
      <c r="AM251" s="50">
        <v>0</v>
      </c>
      <c r="AN251" s="49">
        <v>3</v>
      </c>
      <c r="AO251" s="50">
        <v>37.5</v>
      </c>
      <c r="AP251" s="49">
        <v>8</v>
      </c>
    </row>
    <row r="252" spans="1:42" ht="15">
      <c r="A252" s="66" t="s">
        <v>471</v>
      </c>
      <c r="B252" s="66" t="s">
        <v>758</v>
      </c>
      <c r="C252" s="67" t="s">
        <v>774</v>
      </c>
      <c r="D252" s="68">
        <v>3</v>
      </c>
      <c r="E252" s="69"/>
      <c r="F252" s="70">
        <v>40</v>
      </c>
      <c r="G252" s="67"/>
      <c r="H252" s="71"/>
      <c r="I252" s="72"/>
      <c r="J252" s="72"/>
      <c r="K252" s="35" t="s">
        <v>65</v>
      </c>
      <c r="L252" s="80">
        <v>252</v>
      </c>
      <c r="M252" s="80"/>
      <c r="N252" s="74"/>
      <c r="O252" s="82" t="s">
        <v>776</v>
      </c>
      <c r="P252" s="82" t="s">
        <v>197</v>
      </c>
      <c r="Q252" s="82" t="s">
        <v>1021</v>
      </c>
      <c r="R252" s="82" t="s">
        <v>471</v>
      </c>
      <c r="S252" s="82" t="s">
        <v>1545</v>
      </c>
      <c r="T252" s="84" t="str">
        <f>HYPERLINK("http://www.youtube.com/channel/UCBmWKEEMwlDz1i-HHKJCeMQ")</f>
        <v>http://www.youtube.com/channel/UCBmWKEEMwlDz1i-HHKJCeMQ</v>
      </c>
      <c r="U252" s="82"/>
      <c r="V252" s="82" t="s">
        <v>1833</v>
      </c>
      <c r="W252" s="84" t="str">
        <f>HYPERLINK("https://www.youtube.com/watch?v=w6BMPN07BOM")</f>
        <v>https://www.youtube.com/watch?v=w6BMPN07BOM</v>
      </c>
      <c r="X252" s="82" t="s">
        <v>1857</v>
      </c>
      <c r="Y252" s="82">
        <v>0</v>
      </c>
      <c r="Z252" s="86">
        <v>44829.79966435185</v>
      </c>
      <c r="AA252" s="86">
        <v>44829.79966435185</v>
      </c>
      <c r="AB252" s="82"/>
      <c r="AC252" s="82"/>
      <c r="AD252" s="82"/>
      <c r="AE252" s="82">
        <v>1</v>
      </c>
      <c r="AF252" s="81">
        <v>2</v>
      </c>
      <c r="AG252" s="81">
        <v>2</v>
      </c>
      <c r="AH252" s="49">
        <v>0</v>
      </c>
      <c r="AI252" s="50">
        <v>0</v>
      </c>
      <c r="AJ252" s="49">
        <v>0</v>
      </c>
      <c r="AK252" s="50">
        <v>0</v>
      </c>
      <c r="AL252" s="49">
        <v>0</v>
      </c>
      <c r="AM252" s="50">
        <v>0</v>
      </c>
      <c r="AN252" s="49">
        <v>7</v>
      </c>
      <c r="AO252" s="110">
        <v>53.84615384615385</v>
      </c>
      <c r="AP252" s="49">
        <v>13</v>
      </c>
    </row>
    <row r="253" spans="1:42" ht="15">
      <c r="A253" s="66" t="s">
        <v>472</v>
      </c>
      <c r="B253" s="66" t="s">
        <v>758</v>
      </c>
      <c r="C253" s="67" t="s">
        <v>774</v>
      </c>
      <c r="D253" s="68">
        <v>3</v>
      </c>
      <c r="E253" s="69"/>
      <c r="F253" s="70">
        <v>40</v>
      </c>
      <c r="G253" s="67"/>
      <c r="H253" s="71"/>
      <c r="I253" s="72"/>
      <c r="J253" s="72"/>
      <c r="K253" s="35" t="s">
        <v>65</v>
      </c>
      <c r="L253" s="80">
        <v>253</v>
      </c>
      <c r="M253" s="80"/>
      <c r="N253" s="74"/>
      <c r="O253" s="82" t="s">
        <v>776</v>
      </c>
      <c r="P253" s="82" t="s">
        <v>197</v>
      </c>
      <c r="Q253" s="82" t="s">
        <v>1022</v>
      </c>
      <c r="R253" s="82" t="s">
        <v>472</v>
      </c>
      <c r="S253" s="82" t="s">
        <v>1546</v>
      </c>
      <c r="T253" s="84" t="str">
        <f>HYPERLINK("http://www.youtube.com/channel/UCesr7dzVRMQZXDhLYOMemdw")</f>
        <v>http://www.youtube.com/channel/UCesr7dzVRMQZXDhLYOMemdw</v>
      </c>
      <c r="U253" s="82"/>
      <c r="V253" s="82" t="s">
        <v>1833</v>
      </c>
      <c r="W253" s="84" t="str">
        <f>HYPERLINK("https://www.youtube.com/watch?v=w6BMPN07BOM")</f>
        <v>https://www.youtube.com/watch?v=w6BMPN07BOM</v>
      </c>
      <c r="X253" s="82" t="s">
        <v>1857</v>
      </c>
      <c r="Y253" s="82">
        <v>17</v>
      </c>
      <c r="Z253" s="86">
        <v>44829.80006944444</v>
      </c>
      <c r="AA253" s="86">
        <v>44829.80006944444</v>
      </c>
      <c r="AB253" s="82"/>
      <c r="AC253" s="82"/>
      <c r="AD253" s="82"/>
      <c r="AE253" s="82">
        <v>1</v>
      </c>
      <c r="AF253" s="81">
        <v>2</v>
      </c>
      <c r="AG253" s="81">
        <v>2</v>
      </c>
      <c r="AH253" s="49">
        <v>3</v>
      </c>
      <c r="AI253" s="110">
        <v>42.857142857142854</v>
      </c>
      <c r="AJ253" s="49">
        <v>0</v>
      </c>
      <c r="AK253" s="50">
        <v>0</v>
      </c>
      <c r="AL253" s="49">
        <v>0</v>
      </c>
      <c r="AM253" s="50">
        <v>0</v>
      </c>
      <c r="AN253" s="49">
        <v>3</v>
      </c>
      <c r="AO253" s="110">
        <v>42.857142857142854</v>
      </c>
      <c r="AP253" s="49">
        <v>7</v>
      </c>
    </row>
    <row r="254" spans="1:42" ht="15">
      <c r="A254" s="66" t="s">
        <v>473</v>
      </c>
      <c r="B254" s="66" t="s">
        <v>758</v>
      </c>
      <c r="C254" s="67" t="s">
        <v>774</v>
      </c>
      <c r="D254" s="68">
        <v>3</v>
      </c>
      <c r="E254" s="69"/>
      <c r="F254" s="70">
        <v>40</v>
      </c>
      <c r="G254" s="67"/>
      <c r="H254" s="71"/>
      <c r="I254" s="72"/>
      <c r="J254" s="72"/>
      <c r="K254" s="35" t="s">
        <v>65</v>
      </c>
      <c r="L254" s="80">
        <v>254</v>
      </c>
      <c r="M254" s="80"/>
      <c r="N254" s="74"/>
      <c r="O254" s="82" t="s">
        <v>776</v>
      </c>
      <c r="P254" s="82" t="s">
        <v>197</v>
      </c>
      <c r="Q254" s="82" t="s">
        <v>1023</v>
      </c>
      <c r="R254" s="82" t="s">
        <v>473</v>
      </c>
      <c r="S254" s="82" t="s">
        <v>1547</v>
      </c>
      <c r="T254" s="84" t="str">
        <f>HYPERLINK("http://www.youtube.com/channel/UCiksh6zhhprJ_1IrsSVhQkw")</f>
        <v>http://www.youtube.com/channel/UCiksh6zhhprJ_1IrsSVhQkw</v>
      </c>
      <c r="U254" s="82"/>
      <c r="V254" s="82" t="s">
        <v>1833</v>
      </c>
      <c r="W254" s="84" t="str">
        <f>HYPERLINK("https://www.youtube.com/watch?v=w6BMPN07BOM")</f>
        <v>https://www.youtube.com/watch?v=w6BMPN07BOM</v>
      </c>
      <c r="X254" s="82" t="s">
        <v>1857</v>
      </c>
      <c r="Y254" s="82">
        <v>3</v>
      </c>
      <c r="Z254" s="86">
        <v>44829.80023148148</v>
      </c>
      <c r="AA254" s="86">
        <v>44829.80023148148</v>
      </c>
      <c r="AB254" s="82"/>
      <c r="AC254" s="82"/>
      <c r="AD254" s="82"/>
      <c r="AE254" s="82">
        <v>1</v>
      </c>
      <c r="AF254" s="81">
        <v>2</v>
      </c>
      <c r="AG254" s="81">
        <v>2</v>
      </c>
      <c r="AH254" s="49">
        <v>0</v>
      </c>
      <c r="AI254" s="50">
        <v>0</v>
      </c>
      <c r="AJ254" s="49">
        <v>1</v>
      </c>
      <c r="AK254" s="50">
        <v>25</v>
      </c>
      <c r="AL254" s="49">
        <v>0</v>
      </c>
      <c r="AM254" s="50">
        <v>0</v>
      </c>
      <c r="AN254" s="49">
        <v>2</v>
      </c>
      <c r="AO254" s="50">
        <v>50</v>
      </c>
      <c r="AP254" s="49">
        <v>4</v>
      </c>
    </row>
    <row r="255" spans="1:42" ht="15">
      <c r="A255" s="66" t="s">
        <v>474</v>
      </c>
      <c r="B255" s="66" t="s">
        <v>758</v>
      </c>
      <c r="C255" s="67" t="s">
        <v>774</v>
      </c>
      <c r="D255" s="68">
        <v>3</v>
      </c>
      <c r="E255" s="69"/>
      <c r="F255" s="70">
        <v>40</v>
      </c>
      <c r="G255" s="67"/>
      <c r="H255" s="71"/>
      <c r="I255" s="72"/>
      <c r="J255" s="72"/>
      <c r="K255" s="35" t="s">
        <v>65</v>
      </c>
      <c r="L255" s="80">
        <v>255</v>
      </c>
      <c r="M255" s="80"/>
      <c r="N255" s="74"/>
      <c r="O255" s="82" t="s">
        <v>776</v>
      </c>
      <c r="P255" s="82" t="s">
        <v>197</v>
      </c>
      <c r="Q255" s="82" t="s">
        <v>1024</v>
      </c>
      <c r="R255" s="82" t="s">
        <v>474</v>
      </c>
      <c r="S255" s="82" t="s">
        <v>1548</v>
      </c>
      <c r="T255" s="84" t="str">
        <f>HYPERLINK("http://www.youtube.com/channel/UCgmhQcKZZmrmT6Iyo-q_TqQ")</f>
        <v>http://www.youtube.com/channel/UCgmhQcKZZmrmT6Iyo-q_TqQ</v>
      </c>
      <c r="U255" s="82"/>
      <c r="V255" s="82" t="s">
        <v>1833</v>
      </c>
      <c r="W255" s="84" t="str">
        <f>HYPERLINK("https://www.youtube.com/watch?v=w6BMPN07BOM")</f>
        <v>https://www.youtube.com/watch?v=w6BMPN07BOM</v>
      </c>
      <c r="X255" s="82" t="s">
        <v>1857</v>
      </c>
      <c r="Y255" s="82">
        <v>1</v>
      </c>
      <c r="Z255" s="86">
        <v>44829.801087962966</v>
      </c>
      <c r="AA255" s="86">
        <v>44829.801087962966</v>
      </c>
      <c r="AB255" s="82"/>
      <c r="AC255" s="82"/>
      <c r="AD255" s="82"/>
      <c r="AE255" s="82">
        <v>1</v>
      </c>
      <c r="AF255" s="81">
        <v>2</v>
      </c>
      <c r="AG255" s="81">
        <v>2</v>
      </c>
      <c r="AH255" s="49">
        <v>0</v>
      </c>
      <c r="AI255" s="50">
        <v>0</v>
      </c>
      <c r="AJ255" s="49">
        <v>1</v>
      </c>
      <c r="AK255" s="50">
        <v>20</v>
      </c>
      <c r="AL255" s="49">
        <v>0</v>
      </c>
      <c r="AM255" s="50">
        <v>0</v>
      </c>
      <c r="AN255" s="49">
        <v>0</v>
      </c>
      <c r="AO255" s="50">
        <v>0</v>
      </c>
      <c r="AP255" s="49">
        <v>5</v>
      </c>
    </row>
    <row r="256" spans="1:42" ht="15">
      <c r="A256" s="66" t="s">
        <v>475</v>
      </c>
      <c r="B256" s="66" t="s">
        <v>758</v>
      </c>
      <c r="C256" s="67" t="s">
        <v>774</v>
      </c>
      <c r="D256" s="68">
        <v>3</v>
      </c>
      <c r="E256" s="69"/>
      <c r="F256" s="70">
        <v>40</v>
      </c>
      <c r="G256" s="67"/>
      <c r="H256" s="71"/>
      <c r="I256" s="72"/>
      <c r="J256" s="72"/>
      <c r="K256" s="35" t="s">
        <v>65</v>
      </c>
      <c r="L256" s="80">
        <v>256</v>
      </c>
      <c r="M256" s="80"/>
      <c r="N256" s="74"/>
      <c r="O256" s="82" t="s">
        <v>776</v>
      </c>
      <c r="P256" s="82" t="s">
        <v>197</v>
      </c>
      <c r="Q256" s="82" t="s">
        <v>1025</v>
      </c>
      <c r="R256" s="82" t="s">
        <v>475</v>
      </c>
      <c r="S256" s="82" t="s">
        <v>1549</v>
      </c>
      <c r="T256" s="84" t="str">
        <f>HYPERLINK("http://www.youtube.com/channel/UC8cuBSCHjs5hqSd8oot3oOw")</f>
        <v>http://www.youtube.com/channel/UC8cuBSCHjs5hqSd8oot3oOw</v>
      </c>
      <c r="U256" s="82"/>
      <c r="V256" s="82" t="s">
        <v>1833</v>
      </c>
      <c r="W256" s="84" t="str">
        <f>HYPERLINK("https://www.youtube.com/watch?v=w6BMPN07BOM")</f>
        <v>https://www.youtube.com/watch?v=w6BMPN07BOM</v>
      </c>
      <c r="X256" s="82" t="s">
        <v>1857</v>
      </c>
      <c r="Y256" s="82">
        <v>2</v>
      </c>
      <c r="Z256" s="86">
        <v>44829.802037037036</v>
      </c>
      <c r="AA256" s="86">
        <v>44829.802037037036</v>
      </c>
      <c r="AB256" s="82"/>
      <c r="AC256" s="82"/>
      <c r="AD256" s="82"/>
      <c r="AE256" s="82">
        <v>1</v>
      </c>
      <c r="AF256" s="81">
        <v>2</v>
      </c>
      <c r="AG256" s="81">
        <v>2</v>
      </c>
      <c r="AH256" s="49">
        <v>0</v>
      </c>
      <c r="AI256" s="50">
        <v>0</v>
      </c>
      <c r="AJ256" s="49">
        <v>0</v>
      </c>
      <c r="AK256" s="50">
        <v>0</v>
      </c>
      <c r="AL256" s="49">
        <v>0</v>
      </c>
      <c r="AM256" s="50">
        <v>0</v>
      </c>
      <c r="AN256" s="49">
        <v>0</v>
      </c>
      <c r="AO256" s="50">
        <v>0</v>
      </c>
      <c r="AP256" s="49">
        <v>4</v>
      </c>
    </row>
    <row r="257" spans="1:42" ht="15">
      <c r="A257" s="66" t="s">
        <v>476</v>
      </c>
      <c r="B257" s="66" t="s">
        <v>758</v>
      </c>
      <c r="C257" s="67" t="s">
        <v>774</v>
      </c>
      <c r="D257" s="68">
        <v>3</v>
      </c>
      <c r="E257" s="69"/>
      <c r="F257" s="70">
        <v>40</v>
      </c>
      <c r="G257" s="67"/>
      <c r="H257" s="71"/>
      <c r="I257" s="72"/>
      <c r="J257" s="72"/>
      <c r="K257" s="35" t="s">
        <v>65</v>
      </c>
      <c r="L257" s="80">
        <v>257</v>
      </c>
      <c r="M257" s="80"/>
      <c r="N257" s="74"/>
      <c r="O257" s="82" t="s">
        <v>776</v>
      </c>
      <c r="P257" s="82" t="s">
        <v>197</v>
      </c>
      <c r="Q257" s="82" t="s">
        <v>1026</v>
      </c>
      <c r="R257" s="82" t="s">
        <v>476</v>
      </c>
      <c r="S257" s="82" t="s">
        <v>1550</v>
      </c>
      <c r="T257" s="84" t="str">
        <f>HYPERLINK("http://www.youtube.com/channel/UCU9uc1YB8hLQ91tsDw4o_Hg")</f>
        <v>http://www.youtube.com/channel/UCU9uc1YB8hLQ91tsDw4o_Hg</v>
      </c>
      <c r="U257" s="82"/>
      <c r="V257" s="82" t="s">
        <v>1833</v>
      </c>
      <c r="W257" s="84" t="str">
        <f>HYPERLINK("https://www.youtube.com/watch?v=w6BMPN07BOM")</f>
        <v>https://www.youtube.com/watch?v=w6BMPN07BOM</v>
      </c>
      <c r="X257" s="82" t="s">
        <v>1857</v>
      </c>
      <c r="Y257" s="82">
        <v>6</v>
      </c>
      <c r="Z257" s="86">
        <v>44829.80302083334</v>
      </c>
      <c r="AA257" s="86">
        <v>44829.80302083334</v>
      </c>
      <c r="AB257" s="82"/>
      <c r="AC257" s="82"/>
      <c r="AD257" s="82"/>
      <c r="AE257" s="82">
        <v>1</v>
      </c>
      <c r="AF257" s="81">
        <v>2</v>
      </c>
      <c r="AG257" s="81">
        <v>2</v>
      </c>
      <c r="AH257" s="49">
        <v>2</v>
      </c>
      <c r="AI257" s="110">
        <v>18.181818181818183</v>
      </c>
      <c r="AJ257" s="49">
        <v>0</v>
      </c>
      <c r="AK257" s="50">
        <v>0</v>
      </c>
      <c r="AL257" s="49">
        <v>0</v>
      </c>
      <c r="AM257" s="50">
        <v>0</v>
      </c>
      <c r="AN257" s="49">
        <v>3</v>
      </c>
      <c r="AO257" s="110">
        <v>27.272727272727273</v>
      </c>
      <c r="AP257" s="49">
        <v>11</v>
      </c>
    </row>
    <row r="258" spans="1:42" ht="15">
      <c r="A258" s="66" t="s">
        <v>477</v>
      </c>
      <c r="B258" s="66" t="s">
        <v>758</v>
      </c>
      <c r="C258" s="67" t="s">
        <v>774</v>
      </c>
      <c r="D258" s="68">
        <v>3</v>
      </c>
      <c r="E258" s="69"/>
      <c r="F258" s="70">
        <v>40</v>
      </c>
      <c r="G258" s="67"/>
      <c r="H258" s="71"/>
      <c r="I258" s="72"/>
      <c r="J258" s="72"/>
      <c r="K258" s="35" t="s">
        <v>65</v>
      </c>
      <c r="L258" s="80">
        <v>258</v>
      </c>
      <c r="M258" s="80"/>
      <c r="N258" s="74"/>
      <c r="O258" s="82" t="s">
        <v>776</v>
      </c>
      <c r="P258" s="82" t="s">
        <v>197</v>
      </c>
      <c r="Q258" s="82" t="s">
        <v>1027</v>
      </c>
      <c r="R258" s="82" t="s">
        <v>477</v>
      </c>
      <c r="S258" s="82" t="s">
        <v>1551</v>
      </c>
      <c r="T258" s="84" t="str">
        <f>HYPERLINK("http://www.youtube.com/channel/UCLaiDqRG0JKXYvcSmQDVsvQ")</f>
        <v>http://www.youtube.com/channel/UCLaiDqRG0JKXYvcSmQDVsvQ</v>
      </c>
      <c r="U258" s="82"/>
      <c r="V258" s="82" t="s">
        <v>1833</v>
      </c>
      <c r="W258" s="84" t="str">
        <f>HYPERLINK("https://www.youtube.com/watch?v=w6BMPN07BOM")</f>
        <v>https://www.youtube.com/watch?v=w6BMPN07BOM</v>
      </c>
      <c r="X258" s="82" t="s">
        <v>1857</v>
      </c>
      <c r="Y258" s="82">
        <v>40</v>
      </c>
      <c r="Z258" s="86">
        <v>44829.804247685184</v>
      </c>
      <c r="AA258" s="86">
        <v>44829.804247685184</v>
      </c>
      <c r="AB258" s="82"/>
      <c r="AC258" s="82"/>
      <c r="AD258" s="82"/>
      <c r="AE258" s="82">
        <v>1</v>
      </c>
      <c r="AF258" s="81">
        <v>2</v>
      </c>
      <c r="AG258" s="81">
        <v>2</v>
      </c>
      <c r="AH258" s="49">
        <v>2</v>
      </c>
      <c r="AI258" s="110">
        <v>4.3478260869565215</v>
      </c>
      <c r="AJ258" s="49">
        <v>1</v>
      </c>
      <c r="AK258" s="110">
        <v>2.1739130434782608</v>
      </c>
      <c r="AL258" s="49">
        <v>0</v>
      </c>
      <c r="AM258" s="50">
        <v>0</v>
      </c>
      <c r="AN258" s="49">
        <v>16</v>
      </c>
      <c r="AO258" s="110">
        <v>34.78260869565217</v>
      </c>
      <c r="AP258" s="49">
        <v>46</v>
      </c>
    </row>
    <row r="259" spans="1:42" ht="15">
      <c r="A259" s="66" t="s">
        <v>478</v>
      </c>
      <c r="B259" s="66" t="s">
        <v>758</v>
      </c>
      <c r="C259" s="67" t="s">
        <v>774</v>
      </c>
      <c r="D259" s="68">
        <v>3</v>
      </c>
      <c r="E259" s="69"/>
      <c r="F259" s="70">
        <v>40</v>
      </c>
      <c r="G259" s="67"/>
      <c r="H259" s="71"/>
      <c r="I259" s="72"/>
      <c r="J259" s="72"/>
      <c r="K259" s="35" t="s">
        <v>65</v>
      </c>
      <c r="L259" s="80">
        <v>259</v>
      </c>
      <c r="M259" s="80"/>
      <c r="N259" s="74"/>
      <c r="O259" s="82" t="s">
        <v>776</v>
      </c>
      <c r="P259" s="82" t="s">
        <v>197</v>
      </c>
      <c r="Q259" s="82" t="s">
        <v>1028</v>
      </c>
      <c r="R259" s="82" t="s">
        <v>478</v>
      </c>
      <c r="S259" s="82" t="s">
        <v>1529</v>
      </c>
      <c r="T259" s="84" t="str">
        <f>HYPERLINK("http://www.youtube.com/channel/UCqCznLnYsBtWdjHdjci_gmg")</f>
        <v>http://www.youtube.com/channel/UCqCznLnYsBtWdjHdjci_gmg</v>
      </c>
      <c r="U259" s="82"/>
      <c r="V259" s="82" t="s">
        <v>1833</v>
      </c>
      <c r="W259" s="84" t="str">
        <f>HYPERLINK("https://www.youtube.com/watch?v=w6BMPN07BOM")</f>
        <v>https://www.youtube.com/watch?v=w6BMPN07BOM</v>
      </c>
      <c r="X259" s="82" t="s">
        <v>1857</v>
      </c>
      <c r="Y259" s="82">
        <v>3</v>
      </c>
      <c r="Z259" s="86">
        <v>44829.80954861111</v>
      </c>
      <c r="AA259" s="86">
        <v>44829.80954861111</v>
      </c>
      <c r="AB259" s="82"/>
      <c r="AC259" s="82"/>
      <c r="AD259" s="82"/>
      <c r="AE259" s="82">
        <v>1</v>
      </c>
      <c r="AF259" s="81">
        <v>2</v>
      </c>
      <c r="AG259" s="81">
        <v>2</v>
      </c>
      <c r="AH259" s="49">
        <v>1</v>
      </c>
      <c r="AI259" s="50">
        <v>6.25</v>
      </c>
      <c r="AJ259" s="49">
        <v>0</v>
      </c>
      <c r="AK259" s="50">
        <v>0</v>
      </c>
      <c r="AL259" s="49">
        <v>0</v>
      </c>
      <c r="AM259" s="50">
        <v>0</v>
      </c>
      <c r="AN259" s="49">
        <v>9</v>
      </c>
      <c r="AO259" s="50">
        <v>56.25</v>
      </c>
      <c r="AP259" s="49">
        <v>16</v>
      </c>
    </row>
    <row r="260" spans="1:42" ht="15">
      <c r="A260" s="66" t="s">
        <v>479</v>
      </c>
      <c r="B260" s="66" t="s">
        <v>758</v>
      </c>
      <c r="C260" s="67" t="s">
        <v>774</v>
      </c>
      <c r="D260" s="68">
        <v>3</v>
      </c>
      <c r="E260" s="69"/>
      <c r="F260" s="70">
        <v>40</v>
      </c>
      <c r="G260" s="67"/>
      <c r="H260" s="71"/>
      <c r="I260" s="72"/>
      <c r="J260" s="72"/>
      <c r="K260" s="35" t="s">
        <v>65</v>
      </c>
      <c r="L260" s="80">
        <v>260</v>
      </c>
      <c r="M260" s="80"/>
      <c r="N260" s="74"/>
      <c r="O260" s="82" t="s">
        <v>776</v>
      </c>
      <c r="P260" s="82" t="s">
        <v>197</v>
      </c>
      <c r="Q260" s="82" t="s">
        <v>1029</v>
      </c>
      <c r="R260" s="82" t="s">
        <v>479</v>
      </c>
      <c r="S260" s="82" t="s">
        <v>1552</v>
      </c>
      <c r="T260" s="84" t="str">
        <f>HYPERLINK("http://www.youtube.com/channel/UCgGbmVKvLW4Ti8UrONXUYgQ")</f>
        <v>http://www.youtube.com/channel/UCgGbmVKvLW4Ti8UrONXUYgQ</v>
      </c>
      <c r="U260" s="82"/>
      <c r="V260" s="82" t="s">
        <v>1833</v>
      </c>
      <c r="W260" s="84" t="str">
        <f>HYPERLINK("https://www.youtube.com/watch?v=w6BMPN07BOM")</f>
        <v>https://www.youtube.com/watch?v=w6BMPN07BOM</v>
      </c>
      <c r="X260" s="82" t="s">
        <v>1857</v>
      </c>
      <c r="Y260" s="82">
        <v>1</v>
      </c>
      <c r="Z260" s="86">
        <v>44829.81034722222</v>
      </c>
      <c r="AA260" s="86">
        <v>44829.81034722222</v>
      </c>
      <c r="AB260" s="82"/>
      <c r="AC260" s="82"/>
      <c r="AD260" s="82"/>
      <c r="AE260" s="82">
        <v>1</v>
      </c>
      <c r="AF260" s="81">
        <v>2</v>
      </c>
      <c r="AG260" s="81">
        <v>2</v>
      </c>
      <c r="AH260" s="49">
        <v>1</v>
      </c>
      <c r="AI260" s="50">
        <v>12.5</v>
      </c>
      <c r="AJ260" s="49">
        <v>0</v>
      </c>
      <c r="AK260" s="50">
        <v>0</v>
      </c>
      <c r="AL260" s="49">
        <v>0</v>
      </c>
      <c r="AM260" s="50">
        <v>0</v>
      </c>
      <c r="AN260" s="49">
        <v>2</v>
      </c>
      <c r="AO260" s="50">
        <v>25</v>
      </c>
      <c r="AP260" s="49">
        <v>8</v>
      </c>
    </row>
    <row r="261" spans="1:42" ht="15">
      <c r="A261" s="66" t="s">
        <v>480</v>
      </c>
      <c r="B261" s="66" t="s">
        <v>758</v>
      </c>
      <c r="C261" s="67" t="s">
        <v>774</v>
      </c>
      <c r="D261" s="68">
        <v>3</v>
      </c>
      <c r="E261" s="69"/>
      <c r="F261" s="70">
        <v>40</v>
      </c>
      <c r="G261" s="67"/>
      <c r="H261" s="71"/>
      <c r="I261" s="72"/>
      <c r="J261" s="72"/>
      <c r="K261" s="35" t="s">
        <v>65</v>
      </c>
      <c r="L261" s="80">
        <v>261</v>
      </c>
      <c r="M261" s="80"/>
      <c r="N261" s="74"/>
      <c r="O261" s="82" t="s">
        <v>776</v>
      </c>
      <c r="P261" s="82" t="s">
        <v>197</v>
      </c>
      <c r="Q261" s="82" t="s">
        <v>1030</v>
      </c>
      <c r="R261" s="82" t="s">
        <v>480</v>
      </c>
      <c r="S261" s="82" t="s">
        <v>1553</v>
      </c>
      <c r="T261" s="84" t="str">
        <f>HYPERLINK("http://www.youtube.com/channel/UCxvf6Oqrp2X6Mf-YqcmxYOQ")</f>
        <v>http://www.youtube.com/channel/UCxvf6Oqrp2X6Mf-YqcmxYOQ</v>
      </c>
      <c r="U261" s="82"/>
      <c r="V261" s="82" t="s">
        <v>1833</v>
      </c>
      <c r="W261" s="84" t="str">
        <f>HYPERLINK("https://www.youtube.com/watch?v=w6BMPN07BOM")</f>
        <v>https://www.youtube.com/watch?v=w6BMPN07BOM</v>
      </c>
      <c r="X261" s="82" t="s">
        <v>1857</v>
      </c>
      <c r="Y261" s="82">
        <v>0</v>
      </c>
      <c r="Z261" s="86">
        <v>44829.8119212963</v>
      </c>
      <c r="AA261" s="86">
        <v>44829.8119212963</v>
      </c>
      <c r="AB261" s="82"/>
      <c r="AC261" s="82"/>
      <c r="AD261" s="82"/>
      <c r="AE261" s="82">
        <v>1</v>
      </c>
      <c r="AF261" s="81">
        <v>2</v>
      </c>
      <c r="AG261" s="81">
        <v>2</v>
      </c>
      <c r="AH261" s="49">
        <v>0</v>
      </c>
      <c r="AI261" s="50">
        <v>0</v>
      </c>
      <c r="AJ261" s="49">
        <v>2</v>
      </c>
      <c r="AK261" s="50">
        <v>25</v>
      </c>
      <c r="AL261" s="49">
        <v>0</v>
      </c>
      <c r="AM261" s="50">
        <v>0</v>
      </c>
      <c r="AN261" s="49">
        <v>3</v>
      </c>
      <c r="AO261" s="50">
        <v>37.5</v>
      </c>
      <c r="AP261" s="49">
        <v>8</v>
      </c>
    </row>
    <row r="262" spans="1:42" ht="15">
      <c r="A262" s="66" t="s">
        <v>481</v>
      </c>
      <c r="B262" s="66" t="s">
        <v>758</v>
      </c>
      <c r="C262" s="67" t="s">
        <v>774</v>
      </c>
      <c r="D262" s="68">
        <v>3</v>
      </c>
      <c r="E262" s="69"/>
      <c r="F262" s="70">
        <v>40</v>
      </c>
      <c r="G262" s="67"/>
      <c r="H262" s="71"/>
      <c r="I262" s="72"/>
      <c r="J262" s="72"/>
      <c r="K262" s="35" t="s">
        <v>65</v>
      </c>
      <c r="L262" s="80">
        <v>262</v>
      </c>
      <c r="M262" s="80"/>
      <c r="N262" s="74"/>
      <c r="O262" s="82" t="s">
        <v>776</v>
      </c>
      <c r="P262" s="82" t="s">
        <v>197</v>
      </c>
      <c r="Q262" s="82" t="s">
        <v>1031</v>
      </c>
      <c r="R262" s="82" t="s">
        <v>481</v>
      </c>
      <c r="S262" s="82" t="s">
        <v>1554</v>
      </c>
      <c r="T262" s="84" t="str">
        <f>HYPERLINK("http://www.youtube.com/channel/UCWIYAN0rYkeGXZPkqSPP2Hw")</f>
        <v>http://www.youtube.com/channel/UCWIYAN0rYkeGXZPkqSPP2Hw</v>
      </c>
      <c r="U262" s="82"/>
      <c r="V262" s="82" t="s">
        <v>1833</v>
      </c>
      <c r="W262" s="84" t="str">
        <f>HYPERLINK("https://www.youtube.com/watch?v=w6BMPN07BOM")</f>
        <v>https://www.youtube.com/watch?v=w6BMPN07BOM</v>
      </c>
      <c r="X262" s="82" t="s">
        <v>1857</v>
      </c>
      <c r="Y262" s="82">
        <v>0</v>
      </c>
      <c r="Z262" s="86">
        <v>44829.81202546296</v>
      </c>
      <c r="AA262" s="86">
        <v>44829.81202546296</v>
      </c>
      <c r="AB262" s="82"/>
      <c r="AC262" s="82"/>
      <c r="AD262" s="82"/>
      <c r="AE262" s="82">
        <v>1</v>
      </c>
      <c r="AF262" s="81">
        <v>2</v>
      </c>
      <c r="AG262" s="81">
        <v>2</v>
      </c>
      <c r="AH262" s="49">
        <v>1</v>
      </c>
      <c r="AI262" s="50">
        <v>25</v>
      </c>
      <c r="AJ262" s="49">
        <v>0</v>
      </c>
      <c r="AK262" s="50">
        <v>0</v>
      </c>
      <c r="AL262" s="49">
        <v>0</v>
      </c>
      <c r="AM262" s="50">
        <v>0</v>
      </c>
      <c r="AN262" s="49">
        <v>1</v>
      </c>
      <c r="AO262" s="50">
        <v>25</v>
      </c>
      <c r="AP262" s="49">
        <v>4</v>
      </c>
    </row>
    <row r="263" spans="1:42" ht="15">
      <c r="A263" s="66" t="s">
        <v>482</v>
      </c>
      <c r="B263" s="66" t="s">
        <v>758</v>
      </c>
      <c r="C263" s="67" t="s">
        <v>774</v>
      </c>
      <c r="D263" s="68">
        <v>3</v>
      </c>
      <c r="E263" s="69"/>
      <c r="F263" s="70">
        <v>40</v>
      </c>
      <c r="G263" s="67"/>
      <c r="H263" s="71"/>
      <c r="I263" s="72"/>
      <c r="J263" s="72"/>
      <c r="K263" s="35" t="s">
        <v>65</v>
      </c>
      <c r="L263" s="80">
        <v>263</v>
      </c>
      <c r="M263" s="80"/>
      <c r="N263" s="74"/>
      <c r="O263" s="82" t="s">
        <v>776</v>
      </c>
      <c r="P263" s="82" t="s">
        <v>197</v>
      </c>
      <c r="Q263" s="82" t="s">
        <v>1032</v>
      </c>
      <c r="R263" s="82" t="s">
        <v>482</v>
      </c>
      <c r="S263" s="82" t="s">
        <v>1555</v>
      </c>
      <c r="T263" s="84" t="str">
        <f>HYPERLINK("http://www.youtube.com/channel/UC0cd_aC-zIv-T6X4Q1uMyBg")</f>
        <v>http://www.youtube.com/channel/UC0cd_aC-zIv-T6X4Q1uMyBg</v>
      </c>
      <c r="U263" s="82"/>
      <c r="V263" s="82" t="s">
        <v>1833</v>
      </c>
      <c r="W263" s="84" t="str">
        <f>HYPERLINK("https://www.youtube.com/watch?v=w6BMPN07BOM")</f>
        <v>https://www.youtube.com/watch?v=w6BMPN07BOM</v>
      </c>
      <c r="X263" s="82" t="s">
        <v>1857</v>
      </c>
      <c r="Y263" s="82">
        <v>8</v>
      </c>
      <c r="Z263" s="86">
        <v>44829.81386574074</v>
      </c>
      <c r="AA263" s="86">
        <v>44829.81386574074</v>
      </c>
      <c r="AB263" s="82"/>
      <c r="AC263" s="82"/>
      <c r="AD263" s="82"/>
      <c r="AE263" s="82">
        <v>1</v>
      </c>
      <c r="AF263" s="81">
        <v>2</v>
      </c>
      <c r="AG263" s="81">
        <v>2</v>
      </c>
      <c r="AH263" s="49">
        <v>0</v>
      </c>
      <c r="AI263" s="50">
        <v>0</v>
      </c>
      <c r="AJ263" s="49">
        <v>0</v>
      </c>
      <c r="AK263" s="50">
        <v>0</v>
      </c>
      <c r="AL263" s="49">
        <v>0</v>
      </c>
      <c r="AM263" s="50">
        <v>0</v>
      </c>
      <c r="AN263" s="49">
        <v>3</v>
      </c>
      <c r="AO263" s="110">
        <v>27.272727272727273</v>
      </c>
      <c r="AP263" s="49">
        <v>11</v>
      </c>
    </row>
    <row r="264" spans="1:42" ht="15">
      <c r="A264" s="66" t="s">
        <v>483</v>
      </c>
      <c r="B264" s="66" t="s">
        <v>758</v>
      </c>
      <c r="C264" s="67" t="s">
        <v>774</v>
      </c>
      <c r="D264" s="68">
        <v>3</v>
      </c>
      <c r="E264" s="69"/>
      <c r="F264" s="70">
        <v>40</v>
      </c>
      <c r="G264" s="67"/>
      <c r="H264" s="71"/>
      <c r="I264" s="72"/>
      <c r="J264" s="72"/>
      <c r="K264" s="35" t="s">
        <v>65</v>
      </c>
      <c r="L264" s="80">
        <v>264</v>
      </c>
      <c r="M264" s="80"/>
      <c r="N264" s="74"/>
      <c r="O264" s="82" t="s">
        <v>776</v>
      </c>
      <c r="P264" s="82" t="s">
        <v>197</v>
      </c>
      <c r="Q264" s="82" t="s">
        <v>1033</v>
      </c>
      <c r="R264" s="82" t="s">
        <v>483</v>
      </c>
      <c r="S264" s="82" t="s">
        <v>1556</v>
      </c>
      <c r="T264" s="84" t="str">
        <f>HYPERLINK("http://www.youtube.com/channel/UCiYgq1Tu6IlmyMhGX5sbT6Q")</f>
        <v>http://www.youtube.com/channel/UCiYgq1Tu6IlmyMhGX5sbT6Q</v>
      </c>
      <c r="U264" s="82"/>
      <c r="V264" s="82" t="s">
        <v>1833</v>
      </c>
      <c r="W264" s="84" t="str">
        <f>HYPERLINK("https://www.youtube.com/watch?v=w6BMPN07BOM")</f>
        <v>https://www.youtube.com/watch?v=w6BMPN07BOM</v>
      </c>
      <c r="X264" s="82" t="s">
        <v>1857</v>
      </c>
      <c r="Y264" s="82">
        <v>1</v>
      </c>
      <c r="Z264" s="86">
        <v>44829.81422453704</v>
      </c>
      <c r="AA264" s="86">
        <v>44829.81422453704</v>
      </c>
      <c r="AB264" s="82"/>
      <c r="AC264" s="82"/>
      <c r="AD264" s="82"/>
      <c r="AE264" s="82">
        <v>1</v>
      </c>
      <c r="AF264" s="81">
        <v>2</v>
      </c>
      <c r="AG264" s="81">
        <v>2</v>
      </c>
      <c r="AH264" s="49">
        <v>1</v>
      </c>
      <c r="AI264" s="50">
        <v>12.5</v>
      </c>
      <c r="AJ264" s="49">
        <v>0</v>
      </c>
      <c r="AK264" s="50">
        <v>0</v>
      </c>
      <c r="AL264" s="49">
        <v>0</v>
      </c>
      <c r="AM264" s="50">
        <v>0</v>
      </c>
      <c r="AN264" s="49">
        <v>3</v>
      </c>
      <c r="AO264" s="50">
        <v>37.5</v>
      </c>
      <c r="AP264" s="49">
        <v>8</v>
      </c>
    </row>
    <row r="265" spans="1:42" ht="15">
      <c r="A265" s="66" t="s">
        <v>484</v>
      </c>
      <c r="B265" s="66" t="s">
        <v>758</v>
      </c>
      <c r="C265" s="67" t="s">
        <v>774</v>
      </c>
      <c r="D265" s="68">
        <v>3</v>
      </c>
      <c r="E265" s="69"/>
      <c r="F265" s="70">
        <v>40</v>
      </c>
      <c r="G265" s="67"/>
      <c r="H265" s="71"/>
      <c r="I265" s="72"/>
      <c r="J265" s="72"/>
      <c r="K265" s="35" t="s">
        <v>65</v>
      </c>
      <c r="L265" s="80">
        <v>265</v>
      </c>
      <c r="M265" s="80"/>
      <c r="N265" s="74"/>
      <c r="O265" s="82" t="s">
        <v>776</v>
      </c>
      <c r="P265" s="82" t="s">
        <v>197</v>
      </c>
      <c r="Q265" s="82" t="s">
        <v>1034</v>
      </c>
      <c r="R265" s="82" t="s">
        <v>484</v>
      </c>
      <c r="S265" s="82" t="s">
        <v>1557</v>
      </c>
      <c r="T265" s="84" t="str">
        <f>HYPERLINK("http://www.youtube.com/channel/UCujfuuCQE7pcm1sqYsXv87g")</f>
        <v>http://www.youtube.com/channel/UCujfuuCQE7pcm1sqYsXv87g</v>
      </c>
      <c r="U265" s="82"/>
      <c r="V265" s="82" t="s">
        <v>1833</v>
      </c>
      <c r="W265" s="84" t="str">
        <f>HYPERLINK("https://www.youtube.com/watch?v=w6BMPN07BOM")</f>
        <v>https://www.youtube.com/watch?v=w6BMPN07BOM</v>
      </c>
      <c r="X265" s="82" t="s">
        <v>1857</v>
      </c>
      <c r="Y265" s="82">
        <v>6</v>
      </c>
      <c r="Z265" s="86">
        <v>44829.81731481481</v>
      </c>
      <c r="AA265" s="86">
        <v>44829.81731481481</v>
      </c>
      <c r="AB265" s="82"/>
      <c r="AC265" s="82"/>
      <c r="AD265" s="82"/>
      <c r="AE265" s="82">
        <v>1</v>
      </c>
      <c r="AF265" s="81">
        <v>2</v>
      </c>
      <c r="AG265" s="81">
        <v>2</v>
      </c>
      <c r="AH265" s="49">
        <v>0</v>
      </c>
      <c r="AI265" s="50">
        <v>0</v>
      </c>
      <c r="AJ265" s="49">
        <v>0</v>
      </c>
      <c r="AK265" s="50">
        <v>0</v>
      </c>
      <c r="AL265" s="49">
        <v>0</v>
      </c>
      <c r="AM265" s="50">
        <v>0</v>
      </c>
      <c r="AN265" s="49">
        <v>8</v>
      </c>
      <c r="AO265" s="50">
        <v>50</v>
      </c>
      <c r="AP265" s="49">
        <v>16</v>
      </c>
    </row>
    <row r="266" spans="1:42" ht="15">
      <c r="A266" s="66" t="s">
        <v>485</v>
      </c>
      <c r="B266" s="66" t="s">
        <v>758</v>
      </c>
      <c r="C266" s="67" t="s">
        <v>774</v>
      </c>
      <c r="D266" s="68">
        <v>3</v>
      </c>
      <c r="E266" s="69"/>
      <c r="F266" s="70">
        <v>40</v>
      </c>
      <c r="G266" s="67"/>
      <c r="H266" s="71"/>
      <c r="I266" s="72"/>
      <c r="J266" s="72"/>
      <c r="K266" s="35" t="s">
        <v>65</v>
      </c>
      <c r="L266" s="80">
        <v>266</v>
      </c>
      <c r="M266" s="80"/>
      <c r="N266" s="74"/>
      <c r="O266" s="82" t="s">
        <v>776</v>
      </c>
      <c r="P266" s="82" t="s">
        <v>197</v>
      </c>
      <c r="Q266" s="82" t="s">
        <v>1035</v>
      </c>
      <c r="R266" s="82" t="s">
        <v>485</v>
      </c>
      <c r="S266" s="82" t="s">
        <v>1558</v>
      </c>
      <c r="T266" s="84" t="str">
        <f>HYPERLINK("http://www.youtube.com/channel/UCARuxXgPYc9hNVFTn5GiaKg")</f>
        <v>http://www.youtube.com/channel/UCARuxXgPYc9hNVFTn5GiaKg</v>
      </c>
      <c r="U266" s="82"/>
      <c r="V266" s="82" t="s">
        <v>1833</v>
      </c>
      <c r="W266" s="84" t="str">
        <f>HYPERLINK("https://www.youtube.com/watch?v=w6BMPN07BOM")</f>
        <v>https://www.youtube.com/watch?v=w6BMPN07BOM</v>
      </c>
      <c r="X266" s="82" t="s">
        <v>1857</v>
      </c>
      <c r="Y266" s="82">
        <v>4</v>
      </c>
      <c r="Z266" s="86">
        <v>44829.81854166667</v>
      </c>
      <c r="AA266" s="86">
        <v>44829.81854166667</v>
      </c>
      <c r="AB266" s="82"/>
      <c r="AC266" s="82"/>
      <c r="AD266" s="82"/>
      <c r="AE266" s="82">
        <v>1</v>
      </c>
      <c r="AF266" s="81">
        <v>2</v>
      </c>
      <c r="AG266" s="81">
        <v>2</v>
      </c>
      <c r="AH266" s="49">
        <v>0</v>
      </c>
      <c r="AI266" s="50">
        <v>0</v>
      </c>
      <c r="AJ266" s="49">
        <v>1</v>
      </c>
      <c r="AK266" s="110">
        <v>3.7037037037037037</v>
      </c>
      <c r="AL266" s="49">
        <v>0</v>
      </c>
      <c r="AM266" s="50">
        <v>0</v>
      </c>
      <c r="AN266" s="49">
        <v>8</v>
      </c>
      <c r="AO266" s="110">
        <v>29.62962962962963</v>
      </c>
      <c r="AP266" s="49">
        <v>27</v>
      </c>
    </row>
    <row r="267" spans="1:42" ht="15">
      <c r="A267" s="66" t="s">
        <v>486</v>
      </c>
      <c r="B267" s="66" t="s">
        <v>758</v>
      </c>
      <c r="C267" s="67" t="s">
        <v>774</v>
      </c>
      <c r="D267" s="68">
        <v>3</v>
      </c>
      <c r="E267" s="69"/>
      <c r="F267" s="70">
        <v>40</v>
      </c>
      <c r="G267" s="67"/>
      <c r="H267" s="71"/>
      <c r="I267" s="72"/>
      <c r="J267" s="72"/>
      <c r="K267" s="35" t="s">
        <v>65</v>
      </c>
      <c r="L267" s="80">
        <v>267</v>
      </c>
      <c r="M267" s="80"/>
      <c r="N267" s="74"/>
      <c r="O267" s="82" t="s">
        <v>776</v>
      </c>
      <c r="P267" s="82" t="s">
        <v>197</v>
      </c>
      <c r="Q267" s="82" t="s">
        <v>1036</v>
      </c>
      <c r="R267" s="82" t="s">
        <v>486</v>
      </c>
      <c r="S267" s="82" t="s">
        <v>1559</v>
      </c>
      <c r="T267" s="84" t="str">
        <f>HYPERLINK("http://www.youtube.com/channel/UCrvqxV3SwriXq9ktQe71N8g")</f>
        <v>http://www.youtube.com/channel/UCrvqxV3SwriXq9ktQe71N8g</v>
      </c>
      <c r="U267" s="82"/>
      <c r="V267" s="82" t="s">
        <v>1833</v>
      </c>
      <c r="W267" s="84" t="str">
        <f>HYPERLINK("https://www.youtube.com/watch?v=w6BMPN07BOM")</f>
        <v>https://www.youtube.com/watch?v=w6BMPN07BOM</v>
      </c>
      <c r="X267" s="82" t="s">
        <v>1857</v>
      </c>
      <c r="Y267" s="82">
        <v>0</v>
      </c>
      <c r="Z267" s="86">
        <v>44829.81993055555</v>
      </c>
      <c r="AA267" s="86">
        <v>44829.81993055555</v>
      </c>
      <c r="AB267" s="82"/>
      <c r="AC267" s="82"/>
      <c r="AD267" s="82"/>
      <c r="AE267" s="82">
        <v>1</v>
      </c>
      <c r="AF267" s="81">
        <v>2</v>
      </c>
      <c r="AG267" s="81">
        <v>2</v>
      </c>
      <c r="AH267" s="49">
        <v>0</v>
      </c>
      <c r="AI267" s="50">
        <v>0</v>
      </c>
      <c r="AJ267" s="49">
        <v>1</v>
      </c>
      <c r="AK267" s="110">
        <v>4.3478260869565215</v>
      </c>
      <c r="AL267" s="49">
        <v>0</v>
      </c>
      <c r="AM267" s="50">
        <v>0</v>
      </c>
      <c r="AN267" s="49">
        <v>7</v>
      </c>
      <c r="AO267" s="110">
        <v>30.434782608695652</v>
      </c>
      <c r="AP267" s="49">
        <v>23</v>
      </c>
    </row>
    <row r="268" spans="1:42" ht="15">
      <c r="A268" s="66" t="s">
        <v>487</v>
      </c>
      <c r="B268" s="66" t="s">
        <v>758</v>
      </c>
      <c r="C268" s="67" t="s">
        <v>774</v>
      </c>
      <c r="D268" s="68">
        <v>3</v>
      </c>
      <c r="E268" s="69"/>
      <c r="F268" s="70">
        <v>40</v>
      </c>
      <c r="G268" s="67"/>
      <c r="H268" s="71"/>
      <c r="I268" s="72"/>
      <c r="J268" s="72"/>
      <c r="K268" s="35" t="s">
        <v>65</v>
      </c>
      <c r="L268" s="80">
        <v>268</v>
      </c>
      <c r="M268" s="80"/>
      <c r="N268" s="74"/>
      <c r="O268" s="82" t="s">
        <v>776</v>
      </c>
      <c r="P268" s="82" t="s">
        <v>197</v>
      </c>
      <c r="Q268" s="82" t="s">
        <v>1037</v>
      </c>
      <c r="R268" s="82" t="s">
        <v>487</v>
      </c>
      <c r="S268" s="82" t="s">
        <v>1560</v>
      </c>
      <c r="T268" s="84" t="str">
        <f>HYPERLINK("http://www.youtube.com/channel/UCxFOzDYX1QkGBYhE4wkV-aA")</f>
        <v>http://www.youtube.com/channel/UCxFOzDYX1QkGBYhE4wkV-aA</v>
      </c>
      <c r="U268" s="82"/>
      <c r="V268" s="82" t="s">
        <v>1833</v>
      </c>
      <c r="W268" s="84" t="str">
        <f>HYPERLINK("https://www.youtube.com/watch?v=w6BMPN07BOM")</f>
        <v>https://www.youtube.com/watch?v=w6BMPN07BOM</v>
      </c>
      <c r="X268" s="82" t="s">
        <v>1857</v>
      </c>
      <c r="Y268" s="82">
        <v>2</v>
      </c>
      <c r="Z268" s="86">
        <v>44829.82100694445</v>
      </c>
      <c r="AA268" s="86">
        <v>44829.82100694445</v>
      </c>
      <c r="AB268" s="82"/>
      <c r="AC268" s="82"/>
      <c r="AD268" s="82"/>
      <c r="AE268" s="82">
        <v>1</v>
      </c>
      <c r="AF268" s="81">
        <v>2</v>
      </c>
      <c r="AG268" s="81">
        <v>2</v>
      </c>
      <c r="AH268" s="49">
        <v>0</v>
      </c>
      <c r="AI268" s="50">
        <v>0</v>
      </c>
      <c r="AJ268" s="49">
        <v>0</v>
      </c>
      <c r="AK268" s="50">
        <v>0</v>
      </c>
      <c r="AL268" s="49">
        <v>0</v>
      </c>
      <c r="AM268" s="50">
        <v>0</v>
      </c>
      <c r="AN268" s="49">
        <v>2</v>
      </c>
      <c r="AO268" s="50">
        <v>100</v>
      </c>
      <c r="AP268" s="49">
        <v>2</v>
      </c>
    </row>
    <row r="269" spans="1:42" ht="15">
      <c r="A269" s="66" t="s">
        <v>488</v>
      </c>
      <c r="B269" s="66" t="s">
        <v>758</v>
      </c>
      <c r="C269" s="67" t="s">
        <v>774</v>
      </c>
      <c r="D269" s="68">
        <v>3</v>
      </c>
      <c r="E269" s="69"/>
      <c r="F269" s="70">
        <v>40</v>
      </c>
      <c r="G269" s="67"/>
      <c r="H269" s="71"/>
      <c r="I269" s="72"/>
      <c r="J269" s="72"/>
      <c r="K269" s="35" t="s">
        <v>65</v>
      </c>
      <c r="L269" s="80">
        <v>269</v>
      </c>
      <c r="M269" s="80"/>
      <c r="N269" s="74"/>
      <c r="O269" s="82" t="s">
        <v>776</v>
      </c>
      <c r="P269" s="82" t="s">
        <v>197</v>
      </c>
      <c r="Q269" s="82" t="s">
        <v>1038</v>
      </c>
      <c r="R269" s="82" t="s">
        <v>488</v>
      </c>
      <c r="S269" s="82" t="s">
        <v>1561</v>
      </c>
      <c r="T269" s="84" t="str">
        <f>HYPERLINK("http://www.youtube.com/channel/UCfj9WRnlzba_26zFp5eVjUw")</f>
        <v>http://www.youtube.com/channel/UCfj9WRnlzba_26zFp5eVjUw</v>
      </c>
      <c r="U269" s="82"/>
      <c r="V269" s="82" t="s">
        <v>1833</v>
      </c>
      <c r="W269" s="84" t="str">
        <f>HYPERLINK("https://www.youtube.com/watch?v=w6BMPN07BOM")</f>
        <v>https://www.youtube.com/watch?v=w6BMPN07BOM</v>
      </c>
      <c r="X269" s="82" t="s">
        <v>1857</v>
      </c>
      <c r="Y269" s="82">
        <v>0</v>
      </c>
      <c r="Z269" s="86">
        <v>44829.82365740741</v>
      </c>
      <c r="AA269" s="86">
        <v>44829.82365740741</v>
      </c>
      <c r="AB269" s="82"/>
      <c r="AC269" s="82"/>
      <c r="AD269" s="82"/>
      <c r="AE269" s="82">
        <v>1</v>
      </c>
      <c r="AF269" s="81">
        <v>2</v>
      </c>
      <c r="AG269" s="81">
        <v>2</v>
      </c>
      <c r="AH269" s="49">
        <v>0</v>
      </c>
      <c r="AI269" s="50">
        <v>0</v>
      </c>
      <c r="AJ269" s="49">
        <v>0</v>
      </c>
      <c r="AK269" s="50">
        <v>0</v>
      </c>
      <c r="AL269" s="49">
        <v>0</v>
      </c>
      <c r="AM269" s="50">
        <v>0</v>
      </c>
      <c r="AN269" s="49">
        <v>3</v>
      </c>
      <c r="AO269" s="50">
        <v>100</v>
      </c>
      <c r="AP269" s="49">
        <v>3</v>
      </c>
    </row>
    <row r="270" spans="1:42" ht="15">
      <c r="A270" s="66" t="s">
        <v>489</v>
      </c>
      <c r="B270" s="66" t="s">
        <v>758</v>
      </c>
      <c r="C270" s="67" t="s">
        <v>774</v>
      </c>
      <c r="D270" s="68">
        <v>3</v>
      </c>
      <c r="E270" s="69"/>
      <c r="F270" s="70">
        <v>40</v>
      </c>
      <c r="G270" s="67"/>
      <c r="H270" s="71"/>
      <c r="I270" s="72"/>
      <c r="J270" s="72"/>
      <c r="K270" s="35" t="s">
        <v>65</v>
      </c>
      <c r="L270" s="80">
        <v>270</v>
      </c>
      <c r="M270" s="80"/>
      <c r="N270" s="74"/>
      <c r="O270" s="82" t="s">
        <v>776</v>
      </c>
      <c r="P270" s="82" t="s">
        <v>197</v>
      </c>
      <c r="Q270" s="82" t="s">
        <v>1039</v>
      </c>
      <c r="R270" s="82" t="s">
        <v>489</v>
      </c>
      <c r="S270" s="82" t="s">
        <v>1562</v>
      </c>
      <c r="T270" s="84" t="str">
        <f>HYPERLINK("http://www.youtube.com/channel/UCCoUV9TjLC98KijS45QgfTw")</f>
        <v>http://www.youtube.com/channel/UCCoUV9TjLC98KijS45QgfTw</v>
      </c>
      <c r="U270" s="82"/>
      <c r="V270" s="82" t="s">
        <v>1833</v>
      </c>
      <c r="W270" s="84" t="str">
        <f>HYPERLINK("https://www.youtube.com/watch?v=w6BMPN07BOM")</f>
        <v>https://www.youtube.com/watch?v=w6BMPN07BOM</v>
      </c>
      <c r="X270" s="82" t="s">
        <v>1857</v>
      </c>
      <c r="Y270" s="82">
        <v>1</v>
      </c>
      <c r="Z270" s="86">
        <v>44829.82806712963</v>
      </c>
      <c r="AA270" s="86">
        <v>44829.82806712963</v>
      </c>
      <c r="AB270" s="82"/>
      <c r="AC270" s="82"/>
      <c r="AD270" s="82"/>
      <c r="AE270" s="82">
        <v>1</v>
      </c>
      <c r="AF270" s="81">
        <v>2</v>
      </c>
      <c r="AG270" s="81">
        <v>2</v>
      </c>
      <c r="AH270" s="49">
        <v>1</v>
      </c>
      <c r="AI270" s="110">
        <v>11.11111111111111</v>
      </c>
      <c r="AJ270" s="49">
        <v>0</v>
      </c>
      <c r="AK270" s="50">
        <v>0</v>
      </c>
      <c r="AL270" s="49">
        <v>0</v>
      </c>
      <c r="AM270" s="50">
        <v>0</v>
      </c>
      <c r="AN270" s="49">
        <v>3</v>
      </c>
      <c r="AO270" s="110">
        <v>33.333333333333336</v>
      </c>
      <c r="AP270" s="49">
        <v>9</v>
      </c>
    </row>
    <row r="271" spans="1:42" ht="15">
      <c r="A271" s="66" t="s">
        <v>490</v>
      </c>
      <c r="B271" s="66" t="s">
        <v>758</v>
      </c>
      <c r="C271" s="67" t="s">
        <v>774</v>
      </c>
      <c r="D271" s="68">
        <v>3</v>
      </c>
      <c r="E271" s="69"/>
      <c r="F271" s="70">
        <v>40</v>
      </c>
      <c r="G271" s="67"/>
      <c r="H271" s="71"/>
      <c r="I271" s="72"/>
      <c r="J271" s="72"/>
      <c r="K271" s="35" t="s">
        <v>65</v>
      </c>
      <c r="L271" s="80">
        <v>271</v>
      </c>
      <c r="M271" s="80"/>
      <c r="N271" s="74"/>
      <c r="O271" s="82" t="s">
        <v>776</v>
      </c>
      <c r="P271" s="82" t="s">
        <v>197</v>
      </c>
      <c r="Q271" s="82" t="s">
        <v>1040</v>
      </c>
      <c r="R271" s="82" t="s">
        <v>490</v>
      </c>
      <c r="S271" s="82" t="s">
        <v>1563</v>
      </c>
      <c r="T271" s="84" t="str">
        <f>HYPERLINK("http://www.youtube.com/channel/UCt4EWW8xBw16DEXh2PsKJCg")</f>
        <v>http://www.youtube.com/channel/UCt4EWW8xBw16DEXh2PsKJCg</v>
      </c>
      <c r="U271" s="82"/>
      <c r="V271" s="82" t="s">
        <v>1833</v>
      </c>
      <c r="W271" s="84" t="str">
        <f>HYPERLINK("https://www.youtube.com/watch?v=w6BMPN07BOM")</f>
        <v>https://www.youtube.com/watch?v=w6BMPN07BOM</v>
      </c>
      <c r="X271" s="82" t="s">
        <v>1857</v>
      </c>
      <c r="Y271" s="82">
        <v>1</v>
      </c>
      <c r="Z271" s="86">
        <v>44829.82826388889</v>
      </c>
      <c r="AA271" s="86">
        <v>44829.82826388889</v>
      </c>
      <c r="AB271" s="82"/>
      <c r="AC271" s="82"/>
      <c r="AD271" s="82"/>
      <c r="AE271" s="82">
        <v>1</v>
      </c>
      <c r="AF271" s="81">
        <v>2</v>
      </c>
      <c r="AG271" s="81">
        <v>2</v>
      </c>
      <c r="AH271" s="49">
        <v>0</v>
      </c>
      <c r="AI271" s="50">
        <v>0</v>
      </c>
      <c r="AJ271" s="49">
        <v>1</v>
      </c>
      <c r="AK271" s="110">
        <v>11.11111111111111</v>
      </c>
      <c r="AL271" s="49">
        <v>0</v>
      </c>
      <c r="AM271" s="50">
        <v>0</v>
      </c>
      <c r="AN271" s="49">
        <v>1</v>
      </c>
      <c r="AO271" s="110">
        <v>11.11111111111111</v>
      </c>
      <c r="AP271" s="49">
        <v>9</v>
      </c>
    </row>
    <row r="272" spans="1:42" ht="15">
      <c r="A272" s="66" t="s">
        <v>491</v>
      </c>
      <c r="B272" s="66" t="s">
        <v>758</v>
      </c>
      <c r="C272" s="67" t="s">
        <v>774</v>
      </c>
      <c r="D272" s="68">
        <v>3</v>
      </c>
      <c r="E272" s="69"/>
      <c r="F272" s="70">
        <v>40</v>
      </c>
      <c r="G272" s="67"/>
      <c r="H272" s="71"/>
      <c r="I272" s="72"/>
      <c r="J272" s="72"/>
      <c r="K272" s="35" t="s">
        <v>65</v>
      </c>
      <c r="L272" s="80">
        <v>272</v>
      </c>
      <c r="M272" s="80"/>
      <c r="N272" s="74"/>
      <c r="O272" s="82" t="s">
        <v>776</v>
      </c>
      <c r="P272" s="82" t="s">
        <v>197</v>
      </c>
      <c r="Q272" s="82" t="s">
        <v>1041</v>
      </c>
      <c r="R272" s="82" t="s">
        <v>491</v>
      </c>
      <c r="S272" s="82" t="s">
        <v>1564</v>
      </c>
      <c r="T272" s="84" t="str">
        <f>HYPERLINK("http://www.youtube.com/channel/UCMAjL0o21SEiBRDgTedgXmw")</f>
        <v>http://www.youtube.com/channel/UCMAjL0o21SEiBRDgTedgXmw</v>
      </c>
      <c r="U272" s="82"/>
      <c r="V272" s="82" t="s">
        <v>1833</v>
      </c>
      <c r="W272" s="84" t="str">
        <f>HYPERLINK("https://www.youtube.com/watch?v=w6BMPN07BOM")</f>
        <v>https://www.youtube.com/watch?v=w6BMPN07BOM</v>
      </c>
      <c r="X272" s="82" t="s">
        <v>1857</v>
      </c>
      <c r="Y272" s="82">
        <v>11</v>
      </c>
      <c r="Z272" s="86">
        <v>44829.82953703704</v>
      </c>
      <c r="AA272" s="86">
        <v>44829.82953703704</v>
      </c>
      <c r="AB272" s="82"/>
      <c r="AC272" s="82"/>
      <c r="AD272" s="82"/>
      <c r="AE272" s="82">
        <v>1</v>
      </c>
      <c r="AF272" s="81">
        <v>2</v>
      </c>
      <c r="AG272" s="81">
        <v>2</v>
      </c>
      <c r="AH272" s="49">
        <v>0</v>
      </c>
      <c r="AI272" s="50">
        <v>0</v>
      </c>
      <c r="AJ272" s="49">
        <v>0</v>
      </c>
      <c r="AK272" s="50">
        <v>0</v>
      </c>
      <c r="AL272" s="49">
        <v>0</v>
      </c>
      <c r="AM272" s="50">
        <v>0</v>
      </c>
      <c r="AN272" s="49">
        <v>12</v>
      </c>
      <c r="AO272" s="50">
        <v>60</v>
      </c>
      <c r="AP272" s="49">
        <v>20</v>
      </c>
    </row>
    <row r="273" spans="1:42" ht="15">
      <c r="A273" s="66" t="s">
        <v>492</v>
      </c>
      <c r="B273" s="66" t="s">
        <v>758</v>
      </c>
      <c r="C273" s="67" t="s">
        <v>774</v>
      </c>
      <c r="D273" s="68">
        <v>3</v>
      </c>
      <c r="E273" s="69"/>
      <c r="F273" s="70">
        <v>40</v>
      </c>
      <c r="G273" s="67"/>
      <c r="H273" s="71"/>
      <c r="I273" s="72"/>
      <c r="J273" s="72"/>
      <c r="K273" s="35" t="s">
        <v>65</v>
      </c>
      <c r="L273" s="80">
        <v>273</v>
      </c>
      <c r="M273" s="80"/>
      <c r="N273" s="74"/>
      <c r="O273" s="82" t="s">
        <v>776</v>
      </c>
      <c r="P273" s="82" t="s">
        <v>197</v>
      </c>
      <c r="Q273" s="82" t="s">
        <v>1042</v>
      </c>
      <c r="R273" s="82" t="s">
        <v>492</v>
      </c>
      <c r="S273" s="82" t="s">
        <v>1565</v>
      </c>
      <c r="T273" s="84" t="str">
        <f>HYPERLINK("http://www.youtube.com/channel/UCtd3wRenfaDiQ3U5zyBkcFg")</f>
        <v>http://www.youtube.com/channel/UCtd3wRenfaDiQ3U5zyBkcFg</v>
      </c>
      <c r="U273" s="82"/>
      <c r="V273" s="82" t="s">
        <v>1833</v>
      </c>
      <c r="W273" s="84" t="str">
        <f>HYPERLINK("https://www.youtube.com/watch?v=w6BMPN07BOM")</f>
        <v>https://www.youtube.com/watch?v=w6BMPN07BOM</v>
      </c>
      <c r="X273" s="82" t="s">
        <v>1857</v>
      </c>
      <c r="Y273" s="82">
        <v>2</v>
      </c>
      <c r="Z273" s="86">
        <v>44829.82971064815</v>
      </c>
      <c r="AA273" s="86">
        <v>44829.82971064815</v>
      </c>
      <c r="AB273" s="82"/>
      <c r="AC273" s="82"/>
      <c r="AD273" s="82"/>
      <c r="AE273" s="82">
        <v>1</v>
      </c>
      <c r="AF273" s="81">
        <v>2</v>
      </c>
      <c r="AG273" s="81">
        <v>2</v>
      </c>
      <c r="AH273" s="49">
        <v>0</v>
      </c>
      <c r="AI273" s="50">
        <v>0</v>
      </c>
      <c r="AJ273" s="49">
        <v>0</v>
      </c>
      <c r="AK273" s="50">
        <v>0</v>
      </c>
      <c r="AL273" s="49">
        <v>0</v>
      </c>
      <c r="AM273" s="50">
        <v>0</v>
      </c>
      <c r="AN273" s="49">
        <v>2</v>
      </c>
      <c r="AO273" s="110">
        <v>28.571428571428573</v>
      </c>
      <c r="AP273" s="49">
        <v>7</v>
      </c>
    </row>
    <row r="274" spans="1:42" ht="15">
      <c r="A274" s="66" t="s">
        <v>493</v>
      </c>
      <c r="B274" s="66" t="s">
        <v>758</v>
      </c>
      <c r="C274" s="67" t="s">
        <v>774</v>
      </c>
      <c r="D274" s="68">
        <v>3</v>
      </c>
      <c r="E274" s="69"/>
      <c r="F274" s="70">
        <v>40</v>
      </c>
      <c r="G274" s="67"/>
      <c r="H274" s="71"/>
      <c r="I274" s="72"/>
      <c r="J274" s="72"/>
      <c r="K274" s="35" t="s">
        <v>65</v>
      </c>
      <c r="L274" s="80">
        <v>274</v>
      </c>
      <c r="M274" s="80"/>
      <c r="N274" s="74"/>
      <c r="O274" s="82" t="s">
        <v>776</v>
      </c>
      <c r="P274" s="82" t="s">
        <v>197</v>
      </c>
      <c r="Q274" s="82" t="s">
        <v>1043</v>
      </c>
      <c r="R274" s="82" t="s">
        <v>493</v>
      </c>
      <c r="S274" s="82" t="s">
        <v>1566</v>
      </c>
      <c r="T274" s="84" t="str">
        <f>HYPERLINK("http://www.youtube.com/channel/UCtdg3sbCGTOLdiGBuFJXmDA")</f>
        <v>http://www.youtube.com/channel/UCtdg3sbCGTOLdiGBuFJXmDA</v>
      </c>
      <c r="U274" s="82"/>
      <c r="V274" s="82" t="s">
        <v>1833</v>
      </c>
      <c r="W274" s="84" t="str">
        <f>HYPERLINK("https://www.youtube.com/watch?v=w6BMPN07BOM")</f>
        <v>https://www.youtube.com/watch?v=w6BMPN07BOM</v>
      </c>
      <c r="X274" s="82" t="s">
        <v>1857</v>
      </c>
      <c r="Y274" s="82">
        <v>2</v>
      </c>
      <c r="Z274" s="86">
        <v>44829.832453703704</v>
      </c>
      <c r="AA274" s="86">
        <v>44829.832453703704</v>
      </c>
      <c r="AB274" s="82"/>
      <c r="AC274" s="82"/>
      <c r="AD274" s="82"/>
      <c r="AE274" s="82">
        <v>1</v>
      </c>
      <c r="AF274" s="81">
        <v>2</v>
      </c>
      <c r="AG274" s="81">
        <v>2</v>
      </c>
      <c r="AH274" s="49">
        <v>3</v>
      </c>
      <c r="AI274" s="110">
        <v>7.142857142857143</v>
      </c>
      <c r="AJ274" s="49">
        <v>0</v>
      </c>
      <c r="AK274" s="50">
        <v>0</v>
      </c>
      <c r="AL274" s="49">
        <v>0</v>
      </c>
      <c r="AM274" s="50">
        <v>0</v>
      </c>
      <c r="AN274" s="49">
        <v>14</v>
      </c>
      <c r="AO274" s="110">
        <v>33.333333333333336</v>
      </c>
      <c r="AP274" s="49">
        <v>42</v>
      </c>
    </row>
    <row r="275" spans="1:42" ht="15">
      <c r="A275" s="66" t="s">
        <v>494</v>
      </c>
      <c r="B275" s="66" t="s">
        <v>758</v>
      </c>
      <c r="C275" s="67" t="s">
        <v>774</v>
      </c>
      <c r="D275" s="68">
        <v>3</v>
      </c>
      <c r="E275" s="69"/>
      <c r="F275" s="70">
        <v>40</v>
      </c>
      <c r="G275" s="67"/>
      <c r="H275" s="71"/>
      <c r="I275" s="72"/>
      <c r="J275" s="72"/>
      <c r="K275" s="35" t="s">
        <v>65</v>
      </c>
      <c r="L275" s="80">
        <v>275</v>
      </c>
      <c r="M275" s="80"/>
      <c r="N275" s="74"/>
      <c r="O275" s="82" t="s">
        <v>776</v>
      </c>
      <c r="P275" s="82" t="s">
        <v>197</v>
      </c>
      <c r="Q275" s="82" t="s">
        <v>1044</v>
      </c>
      <c r="R275" s="82" t="s">
        <v>494</v>
      </c>
      <c r="S275" s="82" t="s">
        <v>1567</v>
      </c>
      <c r="T275" s="84" t="str">
        <f>HYPERLINK("http://www.youtube.com/channel/UCPKnvbtQzhFGp2-XLqNTGTw")</f>
        <v>http://www.youtube.com/channel/UCPKnvbtQzhFGp2-XLqNTGTw</v>
      </c>
      <c r="U275" s="82"/>
      <c r="V275" s="82" t="s">
        <v>1833</v>
      </c>
      <c r="W275" s="84" t="str">
        <f>HYPERLINK("https://www.youtube.com/watch?v=w6BMPN07BOM")</f>
        <v>https://www.youtube.com/watch?v=w6BMPN07BOM</v>
      </c>
      <c r="X275" s="82" t="s">
        <v>1857</v>
      </c>
      <c r="Y275" s="82">
        <v>0</v>
      </c>
      <c r="Z275" s="86">
        <v>44829.83557870371</v>
      </c>
      <c r="AA275" s="86">
        <v>44829.83557870371</v>
      </c>
      <c r="AB275" s="82"/>
      <c r="AC275" s="82"/>
      <c r="AD275" s="82"/>
      <c r="AE275" s="82">
        <v>1</v>
      </c>
      <c r="AF275" s="81">
        <v>2</v>
      </c>
      <c r="AG275" s="81">
        <v>2</v>
      </c>
      <c r="AH275" s="49">
        <v>1</v>
      </c>
      <c r="AI275" s="110">
        <v>7.142857142857143</v>
      </c>
      <c r="AJ275" s="49">
        <v>1</v>
      </c>
      <c r="AK275" s="110">
        <v>7.142857142857143</v>
      </c>
      <c r="AL275" s="49">
        <v>0</v>
      </c>
      <c r="AM275" s="50">
        <v>0</v>
      </c>
      <c r="AN275" s="49">
        <v>8</v>
      </c>
      <c r="AO275" s="110">
        <v>57.142857142857146</v>
      </c>
      <c r="AP275" s="49">
        <v>14</v>
      </c>
    </row>
    <row r="276" spans="1:42" ht="15">
      <c r="A276" s="66" t="s">
        <v>495</v>
      </c>
      <c r="B276" s="66" t="s">
        <v>758</v>
      </c>
      <c r="C276" s="67" t="s">
        <v>774</v>
      </c>
      <c r="D276" s="68">
        <v>3</v>
      </c>
      <c r="E276" s="69"/>
      <c r="F276" s="70">
        <v>40</v>
      </c>
      <c r="G276" s="67"/>
      <c r="H276" s="71"/>
      <c r="I276" s="72"/>
      <c r="J276" s="72"/>
      <c r="K276" s="35" t="s">
        <v>65</v>
      </c>
      <c r="L276" s="80">
        <v>276</v>
      </c>
      <c r="M276" s="80"/>
      <c r="N276" s="74"/>
      <c r="O276" s="82" t="s">
        <v>776</v>
      </c>
      <c r="P276" s="82" t="s">
        <v>197</v>
      </c>
      <c r="Q276" s="82" t="s">
        <v>1045</v>
      </c>
      <c r="R276" s="82" t="s">
        <v>495</v>
      </c>
      <c r="S276" s="82" t="s">
        <v>1568</v>
      </c>
      <c r="T276" s="84" t="str">
        <f>HYPERLINK("http://www.youtube.com/channel/UCu5bxEeqk0-PKsOcTNPM91w")</f>
        <v>http://www.youtube.com/channel/UCu5bxEeqk0-PKsOcTNPM91w</v>
      </c>
      <c r="U276" s="82"/>
      <c r="V276" s="82" t="s">
        <v>1833</v>
      </c>
      <c r="W276" s="84" t="str">
        <f>HYPERLINK("https://www.youtube.com/watch?v=w6BMPN07BOM")</f>
        <v>https://www.youtube.com/watch?v=w6BMPN07BOM</v>
      </c>
      <c r="X276" s="82" t="s">
        <v>1857</v>
      </c>
      <c r="Y276" s="82">
        <v>0</v>
      </c>
      <c r="Z276" s="86">
        <v>44829.83803240741</v>
      </c>
      <c r="AA276" s="86">
        <v>44829.83803240741</v>
      </c>
      <c r="AB276" s="82"/>
      <c r="AC276" s="82"/>
      <c r="AD276" s="82"/>
      <c r="AE276" s="82">
        <v>1</v>
      </c>
      <c r="AF276" s="81">
        <v>2</v>
      </c>
      <c r="AG276" s="81">
        <v>2</v>
      </c>
      <c r="AH276" s="49">
        <v>0</v>
      </c>
      <c r="AI276" s="50">
        <v>0</v>
      </c>
      <c r="AJ276" s="49">
        <v>0</v>
      </c>
      <c r="AK276" s="50">
        <v>0</v>
      </c>
      <c r="AL276" s="49">
        <v>0</v>
      </c>
      <c r="AM276" s="50">
        <v>0</v>
      </c>
      <c r="AN276" s="49">
        <v>2</v>
      </c>
      <c r="AO276" s="110">
        <v>33.333333333333336</v>
      </c>
      <c r="AP276" s="49">
        <v>6</v>
      </c>
    </row>
    <row r="277" spans="1:42" ht="15">
      <c r="A277" s="66" t="s">
        <v>496</v>
      </c>
      <c r="B277" s="66" t="s">
        <v>758</v>
      </c>
      <c r="C277" s="67" t="s">
        <v>774</v>
      </c>
      <c r="D277" s="68">
        <v>3</v>
      </c>
      <c r="E277" s="69"/>
      <c r="F277" s="70">
        <v>40</v>
      </c>
      <c r="G277" s="67"/>
      <c r="H277" s="71"/>
      <c r="I277" s="72"/>
      <c r="J277" s="72"/>
      <c r="K277" s="35" t="s">
        <v>65</v>
      </c>
      <c r="L277" s="80">
        <v>277</v>
      </c>
      <c r="M277" s="80"/>
      <c r="N277" s="74"/>
      <c r="O277" s="82" t="s">
        <v>776</v>
      </c>
      <c r="P277" s="82" t="s">
        <v>197</v>
      </c>
      <c r="Q277" s="82" t="s">
        <v>1046</v>
      </c>
      <c r="R277" s="82" t="s">
        <v>496</v>
      </c>
      <c r="S277" s="82" t="s">
        <v>1569</v>
      </c>
      <c r="T277" s="84" t="str">
        <f>HYPERLINK("http://www.youtube.com/channel/UCABmc2URl-4aM3f3xoV_cKA")</f>
        <v>http://www.youtube.com/channel/UCABmc2URl-4aM3f3xoV_cKA</v>
      </c>
      <c r="U277" s="82"/>
      <c r="V277" s="82" t="s">
        <v>1833</v>
      </c>
      <c r="W277" s="84" t="str">
        <f>HYPERLINK("https://www.youtube.com/watch?v=w6BMPN07BOM")</f>
        <v>https://www.youtube.com/watch?v=w6BMPN07BOM</v>
      </c>
      <c r="X277" s="82" t="s">
        <v>1857</v>
      </c>
      <c r="Y277" s="82">
        <v>0</v>
      </c>
      <c r="Z277" s="86">
        <v>44829.83892361111</v>
      </c>
      <c r="AA277" s="86">
        <v>44829.83892361111</v>
      </c>
      <c r="AB277" s="82"/>
      <c r="AC277" s="82"/>
      <c r="AD277" s="82"/>
      <c r="AE277" s="82">
        <v>1</v>
      </c>
      <c r="AF277" s="81">
        <v>2</v>
      </c>
      <c r="AG277" s="81">
        <v>2</v>
      </c>
      <c r="AH277" s="49">
        <v>1</v>
      </c>
      <c r="AI277" s="110">
        <v>14.285714285714286</v>
      </c>
      <c r="AJ277" s="49">
        <v>0</v>
      </c>
      <c r="AK277" s="50">
        <v>0</v>
      </c>
      <c r="AL277" s="49">
        <v>0</v>
      </c>
      <c r="AM277" s="50">
        <v>0</v>
      </c>
      <c r="AN277" s="49">
        <v>3</v>
      </c>
      <c r="AO277" s="110">
        <v>42.857142857142854</v>
      </c>
      <c r="AP277" s="49">
        <v>7</v>
      </c>
    </row>
    <row r="278" spans="1:42" ht="15">
      <c r="A278" s="66" t="s">
        <v>497</v>
      </c>
      <c r="B278" s="66" t="s">
        <v>758</v>
      </c>
      <c r="C278" s="67" t="s">
        <v>774</v>
      </c>
      <c r="D278" s="68">
        <v>3</v>
      </c>
      <c r="E278" s="69"/>
      <c r="F278" s="70">
        <v>40</v>
      </c>
      <c r="G278" s="67"/>
      <c r="H278" s="71"/>
      <c r="I278" s="72"/>
      <c r="J278" s="72"/>
      <c r="K278" s="35" t="s">
        <v>65</v>
      </c>
      <c r="L278" s="80">
        <v>278</v>
      </c>
      <c r="M278" s="80"/>
      <c r="N278" s="74"/>
      <c r="O278" s="82" t="s">
        <v>776</v>
      </c>
      <c r="P278" s="82" t="s">
        <v>197</v>
      </c>
      <c r="Q278" s="82" t="s">
        <v>1047</v>
      </c>
      <c r="R278" s="82" t="s">
        <v>497</v>
      </c>
      <c r="S278" s="82" t="s">
        <v>1570</v>
      </c>
      <c r="T278" s="84" t="str">
        <f>HYPERLINK("http://www.youtube.com/channel/UChNsjqOlxib_QEjdOrvFoKQ")</f>
        <v>http://www.youtube.com/channel/UChNsjqOlxib_QEjdOrvFoKQ</v>
      </c>
      <c r="U278" s="82"/>
      <c r="V278" s="82" t="s">
        <v>1833</v>
      </c>
      <c r="W278" s="84" t="str">
        <f>HYPERLINK("https://www.youtube.com/watch?v=w6BMPN07BOM")</f>
        <v>https://www.youtube.com/watch?v=w6BMPN07BOM</v>
      </c>
      <c r="X278" s="82" t="s">
        <v>1857</v>
      </c>
      <c r="Y278" s="82">
        <v>2</v>
      </c>
      <c r="Z278" s="86">
        <v>44829.83908564815</v>
      </c>
      <c r="AA278" s="86">
        <v>44829.83908564815</v>
      </c>
      <c r="AB278" s="82"/>
      <c r="AC278" s="82"/>
      <c r="AD278" s="82"/>
      <c r="AE278" s="82">
        <v>1</v>
      </c>
      <c r="AF278" s="81">
        <v>2</v>
      </c>
      <c r="AG278" s="81">
        <v>2</v>
      </c>
      <c r="AH278" s="49">
        <v>0</v>
      </c>
      <c r="AI278" s="50">
        <v>0</v>
      </c>
      <c r="AJ278" s="49">
        <v>0</v>
      </c>
      <c r="AK278" s="50">
        <v>0</v>
      </c>
      <c r="AL278" s="49">
        <v>0</v>
      </c>
      <c r="AM278" s="50">
        <v>0</v>
      </c>
      <c r="AN278" s="49">
        <v>2</v>
      </c>
      <c r="AO278" s="50">
        <v>50</v>
      </c>
      <c r="AP278" s="49">
        <v>4</v>
      </c>
    </row>
    <row r="279" spans="1:42" ht="15">
      <c r="A279" s="66" t="s">
        <v>498</v>
      </c>
      <c r="B279" s="66" t="s">
        <v>758</v>
      </c>
      <c r="C279" s="67" t="s">
        <v>774</v>
      </c>
      <c r="D279" s="68">
        <v>3</v>
      </c>
      <c r="E279" s="69"/>
      <c r="F279" s="70">
        <v>40</v>
      </c>
      <c r="G279" s="67"/>
      <c r="H279" s="71"/>
      <c r="I279" s="72"/>
      <c r="J279" s="72"/>
      <c r="K279" s="35" t="s">
        <v>65</v>
      </c>
      <c r="L279" s="80">
        <v>279</v>
      </c>
      <c r="M279" s="80"/>
      <c r="N279" s="74"/>
      <c r="O279" s="82" t="s">
        <v>776</v>
      </c>
      <c r="P279" s="82" t="s">
        <v>197</v>
      </c>
      <c r="Q279" s="82" t="s">
        <v>1048</v>
      </c>
      <c r="R279" s="82" t="s">
        <v>498</v>
      </c>
      <c r="S279" s="82" t="s">
        <v>1571</v>
      </c>
      <c r="T279" s="84" t="str">
        <f>HYPERLINK("http://www.youtube.com/channel/UCUFw03RsMPzf-FYc8Ro3jLw")</f>
        <v>http://www.youtube.com/channel/UCUFw03RsMPzf-FYc8Ro3jLw</v>
      </c>
      <c r="U279" s="82"/>
      <c r="V279" s="82" t="s">
        <v>1833</v>
      </c>
      <c r="W279" s="84" t="str">
        <f>HYPERLINK("https://www.youtube.com/watch?v=w6BMPN07BOM")</f>
        <v>https://www.youtube.com/watch?v=w6BMPN07BOM</v>
      </c>
      <c r="X279" s="82" t="s">
        <v>1857</v>
      </c>
      <c r="Y279" s="82">
        <v>1</v>
      </c>
      <c r="Z279" s="86">
        <v>44829.84140046296</v>
      </c>
      <c r="AA279" s="86">
        <v>44829.84140046296</v>
      </c>
      <c r="AB279" s="82"/>
      <c r="AC279" s="82"/>
      <c r="AD279" s="82"/>
      <c r="AE279" s="82">
        <v>1</v>
      </c>
      <c r="AF279" s="81">
        <v>2</v>
      </c>
      <c r="AG279" s="81">
        <v>2</v>
      </c>
      <c r="AH279" s="49">
        <v>1</v>
      </c>
      <c r="AI279" s="50">
        <v>20</v>
      </c>
      <c r="AJ279" s="49">
        <v>0</v>
      </c>
      <c r="AK279" s="50">
        <v>0</v>
      </c>
      <c r="AL279" s="49">
        <v>0</v>
      </c>
      <c r="AM279" s="50">
        <v>0</v>
      </c>
      <c r="AN279" s="49">
        <v>2</v>
      </c>
      <c r="AO279" s="50">
        <v>40</v>
      </c>
      <c r="AP279" s="49">
        <v>5</v>
      </c>
    </row>
    <row r="280" spans="1:42" ht="15">
      <c r="A280" s="66" t="s">
        <v>499</v>
      </c>
      <c r="B280" s="66" t="s">
        <v>758</v>
      </c>
      <c r="C280" s="67" t="s">
        <v>774</v>
      </c>
      <c r="D280" s="68">
        <v>3</v>
      </c>
      <c r="E280" s="69"/>
      <c r="F280" s="70">
        <v>40</v>
      </c>
      <c r="G280" s="67"/>
      <c r="H280" s="71"/>
      <c r="I280" s="72"/>
      <c r="J280" s="72"/>
      <c r="K280" s="35" t="s">
        <v>65</v>
      </c>
      <c r="L280" s="80">
        <v>280</v>
      </c>
      <c r="M280" s="80"/>
      <c r="N280" s="74"/>
      <c r="O280" s="82" t="s">
        <v>776</v>
      </c>
      <c r="P280" s="82" t="s">
        <v>197</v>
      </c>
      <c r="Q280" s="82" t="s">
        <v>1049</v>
      </c>
      <c r="R280" s="82" t="s">
        <v>499</v>
      </c>
      <c r="S280" s="82" t="s">
        <v>1572</v>
      </c>
      <c r="T280" s="84" t="str">
        <f>HYPERLINK("http://www.youtube.com/channel/UCoi61Fuq1yLvee1oxpBgpZQ")</f>
        <v>http://www.youtube.com/channel/UCoi61Fuq1yLvee1oxpBgpZQ</v>
      </c>
      <c r="U280" s="82"/>
      <c r="V280" s="82" t="s">
        <v>1833</v>
      </c>
      <c r="W280" s="84" t="str">
        <f>HYPERLINK("https://www.youtube.com/watch?v=w6BMPN07BOM")</f>
        <v>https://www.youtube.com/watch?v=w6BMPN07BOM</v>
      </c>
      <c r="X280" s="82" t="s">
        <v>1857</v>
      </c>
      <c r="Y280" s="82">
        <v>1</v>
      </c>
      <c r="Z280" s="86">
        <v>44829.85402777778</v>
      </c>
      <c r="AA280" s="86">
        <v>44829.85402777778</v>
      </c>
      <c r="AB280" s="82"/>
      <c r="AC280" s="82"/>
      <c r="AD280" s="82"/>
      <c r="AE280" s="82">
        <v>1</v>
      </c>
      <c r="AF280" s="81">
        <v>2</v>
      </c>
      <c r="AG280" s="81">
        <v>2</v>
      </c>
      <c r="AH280" s="49">
        <v>3</v>
      </c>
      <c r="AI280" s="110">
        <v>5.357142857142857</v>
      </c>
      <c r="AJ280" s="49">
        <v>1</v>
      </c>
      <c r="AK280" s="110">
        <v>1.7857142857142858</v>
      </c>
      <c r="AL280" s="49">
        <v>0</v>
      </c>
      <c r="AM280" s="50">
        <v>0</v>
      </c>
      <c r="AN280" s="49">
        <v>25</v>
      </c>
      <c r="AO280" s="110">
        <v>44.642857142857146</v>
      </c>
      <c r="AP280" s="49">
        <v>56</v>
      </c>
    </row>
    <row r="281" spans="1:42" ht="15">
      <c r="A281" s="66" t="s">
        <v>500</v>
      </c>
      <c r="B281" s="66" t="s">
        <v>758</v>
      </c>
      <c r="C281" s="67" t="s">
        <v>774</v>
      </c>
      <c r="D281" s="68">
        <v>3</v>
      </c>
      <c r="E281" s="69"/>
      <c r="F281" s="70">
        <v>40</v>
      </c>
      <c r="G281" s="67"/>
      <c r="H281" s="71"/>
      <c r="I281" s="72"/>
      <c r="J281" s="72"/>
      <c r="K281" s="35" t="s">
        <v>65</v>
      </c>
      <c r="L281" s="80">
        <v>281</v>
      </c>
      <c r="M281" s="80"/>
      <c r="N281" s="74"/>
      <c r="O281" s="82" t="s">
        <v>776</v>
      </c>
      <c r="P281" s="82" t="s">
        <v>197</v>
      </c>
      <c r="Q281" s="82" t="s">
        <v>1050</v>
      </c>
      <c r="R281" s="82" t="s">
        <v>500</v>
      </c>
      <c r="S281" s="82" t="s">
        <v>1573</v>
      </c>
      <c r="T281" s="84" t="str">
        <f>HYPERLINK("http://www.youtube.com/channel/UCcBW5wEyhL7tw8Xgb3VJozw")</f>
        <v>http://www.youtube.com/channel/UCcBW5wEyhL7tw8Xgb3VJozw</v>
      </c>
      <c r="U281" s="82"/>
      <c r="V281" s="82" t="s">
        <v>1833</v>
      </c>
      <c r="W281" s="84" t="str">
        <f>HYPERLINK("https://www.youtube.com/watch?v=w6BMPN07BOM")</f>
        <v>https://www.youtube.com/watch?v=w6BMPN07BOM</v>
      </c>
      <c r="X281" s="82" t="s">
        <v>1857</v>
      </c>
      <c r="Y281" s="82">
        <v>6</v>
      </c>
      <c r="Z281" s="86">
        <v>44829.85978009259</v>
      </c>
      <c r="AA281" s="86">
        <v>44829.85978009259</v>
      </c>
      <c r="AB281" s="82"/>
      <c r="AC281" s="82"/>
      <c r="AD281" s="82"/>
      <c r="AE281" s="82">
        <v>1</v>
      </c>
      <c r="AF281" s="81">
        <v>2</v>
      </c>
      <c r="AG281" s="81">
        <v>2</v>
      </c>
      <c r="AH281" s="49">
        <v>1</v>
      </c>
      <c r="AI281" s="110">
        <v>14.285714285714286</v>
      </c>
      <c r="AJ281" s="49">
        <v>0</v>
      </c>
      <c r="AK281" s="50">
        <v>0</v>
      </c>
      <c r="AL281" s="49">
        <v>0</v>
      </c>
      <c r="AM281" s="50">
        <v>0</v>
      </c>
      <c r="AN281" s="49">
        <v>2</v>
      </c>
      <c r="AO281" s="110">
        <v>28.571428571428573</v>
      </c>
      <c r="AP281" s="49">
        <v>7</v>
      </c>
    </row>
    <row r="282" spans="1:42" ht="15">
      <c r="A282" s="66" t="s">
        <v>501</v>
      </c>
      <c r="B282" s="66" t="s">
        <v>758</v>
      </c>
      <c r="C282" s="67" t="s">
        <v>774</v>
      </c>
      <c r="D282" s="68">
        <v>3</v>
      </c>
      <c r="E282" s="69"/>
      <c r="F282" s="70">
        <v>40</v>
      </c>
      <c r="G282" s="67"/>
      <c r="H282" s="71"/>
      <c r="I282" s="72"/>
      <c r="J282" s="72"/>
      <c r="K282" s="35" t="s">
        <v>65</v>
      </c>
      <c r="L282" s="80">
        <v>282</v>
      </c>
      <c r="M282" s="80"/>
      <c r="N282" s="74"/>
      <c r="O282" s="82" t="s">
        <v>776</v>
      </c>
      <c r="P282" s="82" t="s">
        <v>197</v>
      </c>
      <c r="Q282" s="82" t="s">
        <v>1051</v>
      </c>
      <c r="R282" s="82" t="s">
        <v>501</v>
      </c>
      <c r="S282" s="82" t="s">
        <v>1574</v>
      </c>
      <c r="T282" s="84" t="str">
        <f>HYPERLINK("http://www.youtube.com/channel/UCGLUqQCF5lu-Wt-QHpby0uw")</f>
        <v>http://www.youtube.com/channel/UCGLUqQCF5lu-Wt-QHpby0uw</v>
      </c>
      <c r="U282" s="82"/>
      <c r="V282" s="82" t="s">
        <v>1833</v>
      </c>
      <c r="W282" s="84" t="str">
        <f>HYPERLINK("https://www.youtube.com/watch?v=w6BMPN07BOM")</f>
        <v>https://www.youtube.com/watch?v=w6BMPN07BOM</v>
      </c>
      <c r="X282" s="82" t="s">
        <v>1857</v>
      </c>
      <c r="Y282" s="82">
        <v>0</v>
      </c>
      <c r="Z282" s="86">
        <v>44829.86554398148</v>
      </c>
      <c r="AA282" s="86">
        <v>44829.86554398148</v>
      </c>
      <c r="AB282" s="82"/>
      <c r="AC282" s="82"/>
      <c r="AD282" s="82"/>
      <c r="AE282" s="82">
        <v>1</v>
      </c>
      <c r="AF282" s="81">
        <v>2</v>
      </c>
      <c r="AG282" s="81">
        <v>2</v>
      </c>
      <c r="AH282" s="49">
        <v>0</v>
      </c>
      <c r="AI282" s="50">
        <v>0</v>
      </c>
      <c r="AJ282" s="49">
        <v>0</v>
      </c>
      <c r="AK282" s="50">
        <v>0</v>
      </c>
      <c r="AL282" s="49">
        <v>0</v>
      </c>
      <c r="AM282" s="50">
        <v>0</v>
      </c>
      <c r="AN282" s="49">
        <v>6</v>
      </c>
      <c r="AO282" s="110">
        <v>33.333333333333336</v>
      </c>
      <c r="AP282" s="49">
        <v>18</v>
      </c>
    </row>
    <row r="283" spans="1:42" ht="15">
      <c r="A283" s="66" t="s">
        <v>502</v>
      </c>
      <c r="B283" s="66" t="s">
        <v>758</v>
      </c>
      <c r="C283" s="67" t="s">
        <v>774</v>
      </c>
      <c r="D283" s="68">
        <v>3</v>
      </c>
      <c r="E283" s="69"/>
      <c r="F283" s="70">
        <v>40</v>
      </c>
      <c r="G283" s="67"/>
      <c r="H283" s="71"/>
      <c r="I283" s="72"/>
      <c r="J283" s="72"/>
      <c r="K283" s="35" t="s">
        <v>65</v>
      </c>
      <c r="L283" s="80">
        <v>283</v>
      </c>
      <c r="M283" s="80"/>
      <c r="N283" s="74"/>
      <c r="O283" s="82" t="s">
        <v>776</v>
      </c>
      <c r="P283" s="82" t="s">
        <v>197</v>
      </c>
      <c r="Q283" s="82" t="s">
        <v>1052</v>
      </c>
      <c r="R283" s="82" t="s">
        <v>502</v>
      </c>
      <c r="S283" s="82" t="s">
        <v>1575</v>
      </c>
      <c r="T283" s="84" t="str">
        <f>HYPERLINK("http://www.youtube.com/channel/UCNi6O1MZiQuNEHm1Dxl0ZsQ")</f>
        <v>http://www.youtube.com/channel/UCNi6O1MZiQuNEHm1Dxl0ZsQ</v>
      </c>
      <c r="U283" s="82"/>
      <c r="V283" s="82" t="s">
        <v>1833</v>
      </c>
      <c r="W283" s="84" t="str">
        <f>HYPERLINK("https://www.youtube.com/watch?v=w6BMPN07BOM")</f>
        <v>https://www.youtube.com/watch?v=w6BMPN07BOM</v>
      </c>
      <c r="X283" s="82" t="s">
        <v>1857</v>
      </c>
      <c r="Y283" s="82">
        <v>0</v>
      </c>
      <c r="Z283" s="86">
        <v>44829.86787037037</v>
      </c>
      <c r="AA283" s="86">
        <v>44829.86787037037</v>
      </c>
      <c r="AB283" s="82"/>
      <c r="AC283" s="82"/>
      <c r="AD283" s="82"/>
      <c r="AE283" s="82">
        <v>1</v>
      </c>
      <c r="AF283" s="81">
        <v>2</v>
      </c>
      <c r="AG283" s="81">
        <v>2</v>
      </c>
      <c r="AH283" s="49">
        <v>0</v>
      </c>
      <c r="AI283" s="50">
        <v>0</v>
      </c>
      <c r="AJ283" s="49">
        <v>0</v>
      </c>
      <c r="AK283" s="50">
        <v>0</v>
      </c>
      <c r="AL283" s="49">
        <v>0</v>
      </c>
      <c r="AM283" s="50">
        <v>0</v>
      </c>
      <c r="AN283" s="49">
        <v>6</v>
      </c>
      <c r="AO283" s="110">
        <v>31.57894736842105</v>
      </c>
      <c r="AP283" s="49">
        <v>19</v>
      </c>
    </row>
    <row r="284" spans="1:42" ht="15">
      <c r="A284" s="66" t="s">
        <v>503</v>
      </c>
      <c r="B284" s="66" t="s">
        <v>758</v>
      </c>
      <c r="C284" s="67" t="s">
        <v>774</v>
      </c>
      <c r="D284" s="68">
        <v>3</v>
      </c>
      <c r="E284" s="69"/>
      <c r="F284" s="70">
        <v>40</v>
      </c>
      <c r="G284" s="67"/>
      <c r="H284" s="71"/>
      <c r="I284" s="72"/>
      <c r="J284" s="72"/>
      <c r="K284" s="35" t="s">
        <v>65</v>
      </c>
      <c r="L284" s="80">
        <v>284</v>
      </c>
      <c r="M284" s="80"/>
      <c r="N284" s="74"/>
      <c r="O284" s="82" t="s">
        <v>776</v>
      </c>
      <c r="P284" s="82" t="s">
        <v>197</v>
      </c>
      <c r="Q284" s="82" t="s">
        <v>1053</v>
      </c>
      <c r="R284" s="82" t="s">
        <v>503</v>
      </c>
      <c r="S284" s="82" t="s">
        <v>1576</v>
      </c>
      <c r="T284" s="84" t="str">
        <f>HYPERLINK("http://www.youtube.com/channel/UC52PwLmabCcTtfozOucTlhg")</f>
        <v>http://www.youtube.com/channel/UC52PwLmabCcTtfozOucTlhg</v>
      </c>
      <c r="U284" s="82"/>
      <c r="V284" s="82" t="s">
        <v>1833</v>
      </c>
      <c r="W284" s="84" t="str">
        <f>HYPERLINK("https://www.youtube.com/watch?v=w6BMPN07BOM")</f>
        <v>https://www.youtube.com/watch?v=w6BMPN07BOM</v>
      </c>
      <c r="X284" s="82" t="s">
        <v>1857</v>
      </c>
      <c r="Y284" s="82">
        <v>0</v>
      </c>
      <c r="Z284" s="86">
        <v>44829.87128472222</v>
      </c>
      <c r="AA284" s="86">
        <v>44829.87128472222</v>
      </c>
      <c r="AB284" s="82"/>
      <c r="AC284" s="82"/>
      <c r="AD284" s="82"/>
      <c r="AE284" s="82">
        <v>1</v>
      </c>
      <c r="AF284" s="81">
        <v>2</v>
      </c>
      <c r="AG284" s="81">
        <v>2</v>
      </c>
      <c r="AH284" s="49">
        <v>2</v>
      </c>
      <c r="AI284" s="110">
        <v>14.285714285714286</v>
      </c>
      <c r="AJ284" s="49">
        <v>0</v>
      </c>
      <c r="AK284" s="50">
        <v>0</v>
      </c>
      <c r="AL284" s="49">
        <v>0</v>
      </c>
      <c r="AM284" s="50">
        <v>0</v>
      </c>
      <c r="AN284" s="49">
        <v>6</v>
      </c>
      <c r="AO284" s="110">
        <v>42.857142857142854</v>
      </c>
      <c r="AP284" s="49">
        <v>14</v>
      </c>
    </row>
    <row r="285" spans="1:42" ht="15">
      <c r="A285" s="66" t="s">
        <v>504</v>
      </c>
      <c r="B285" s="66" t="s">
        <v>758</v>
      </c>
      <c r="C285" s="67" t="s">
        <v>774</v>
      </c>
      <c r="D285" s="68">
        <v>3</v>
      </c>
      <c r="E285" s="69"/>
      <c r="F285" s="70">
        <v>40</v>
      </c>
      <c r="G285" s="67"/>
      <c r="H285" s="71"/>
      <c r="I285" s="72"/>
      <c r="J285" s="72"/>
      <c r="K285" s="35" t="s">
        <v>65</v>
      </c>
      <c r="L285" s="80">
        <v>285</v>
      </c>
      <c r="M285" s="80"/>
      <c r="N285" s="74"/>
      <c r="O285" s="82" t="s">
        <v>776</v>
      </c>
      <c r="P285" s="82" t="s">
        <v>197</v>
      </c>
      <c r="Q285" s="82" t="s">
        <v>1054</v>
      </c>
      <c r="R285" s="82" t="s">
        <v>504</v>
      </c>
      <c r="S285" s="82" t="s">
        <v>1577</v>
      </c>
      <c r="T285" s="84" t="str">
        <f>HYPERLINK("http://www.youtube.com/channel/UC2dc3LQHoOgR83z5i2hFMgA")</f>
        <v>http://www.youtube.com/channel/UC2dc3LQHoOgR83z5i2hFMgA</v>
      </c>
      <c r="U285" s="82"/>
      <c r="V285" s="82" t="s">
        <v>1833</v>
      </c>
      <c r="W285" s="84" t="str">
        <f>HYPERLINK("https://www.youtube.com/watch?v=w6BMPN07BOM")</f>
        <v>https://www.youtube.com/watch?v=w6BMPN07BOM</v>
      </c>
      <c r="X285" s="82" t="s">
        <v>1857</v>
      </c>
      <c r="Y285" s="82">
        <v>0</v>
      </c>
      <c r="Z285" s="86">
        <v>44829.872094907405</v>
      </c>
      <c r="AA285" s="86">
        <v>44829.872094907405</v>
      </c>
      <c r="AB285" s="82"/>
      <c r="AC285" s="82"/>
      <c r="AD285" s="82"/>
      <c r="AE285" s="82">
        <v>1</v>
      </c>
      <c r="AF285" s="81">
        <v>2</v>
      </c>
      <c r="AG285" s="81">
        <v>2</v>
      </c>
      <c r="AH285" s="49">
        <v>0</v>
      </c>
      <c r="AI285" s="50">
        <v>0</v>
      </c>
      <c r="AJ285" s="49">
        <v>0</v>
      </c>
      <c r="AK285" s="50">
        <v>0</v>
      </c>
      <c r="AL285" s="49">
        <v>0</v>
      </c>
      <c r="AM285" s="50">
        <v>0</v>
      </c>
      <c r="AN285" s="49">
        <v>3</v>
      </c>
      <c r="AO285" s="50">
        <v>50</v>
      </c>
      <c r="AP285" s="49">
        <v>6</v>
      </c>
    </row>
    <row r="286" spans="1:42" ht="15">
      <c r="A286" s="66" t="s">
        <v>505</v>
      </c>
      <c r="B286" s="66" t="s">
        <v>758</v>
      </c>
      <c r="C286" s="67" t="s">
        <v>774</v>
      </c>
      <c r="D286" s="68">
        <v>3</v>
      </c>
      <c r="E286" s="69"/>
      <c r="F286" s="70">
        <v>40</v>
      </c>
      <c r="G286" s="67"/>
      <c r="H286" s="71"/>
      <c r="I286" s="72"/>
      <c r="J286" s="72"/>
      <c r="K286" s="35" t="s">
        <v>65</v>
      </c>
      <c r="L286" s="80">
        <v>286</v>
      </c>
      <c r="M286" s="80"/>
      <c r="N286" s="74"/>
      <c r="O286" s="82" t="s">
        <v>776</v>
      </c>
      <c r="P286" s="82" t="s">
        <v>197</v>
      </c>
      <c r="Q286" s="82" t="s">
        <v>1055</v>
      </c>
      <c r="R286" s="82" t="s">
        <v>505</v>
      </c>
      <c r="S286" s="82" t="s">
        <v>1578</v>
      </c>
      <c r="T286" s="84" t="str">
        <f>HYPERLINK("http://www.youtube.com/channel/UCUKexRyXS2HSuQvLAhp42Tw")</f>
        <v>http://www.youtube.com/channel/UCUKexRyXS2HSuQvLAhp42Tw</v>
      </c>
      <c r="U286" s="82"/>
      <c r="V286" s="82" t="s">
        <v>1833</v>
      </c>
      <c r="W286" s="84" t="str">
        <f>HYPERLINK("https://www.youtube.com/watch?v=w6BMPN07BOM")</f>
        <v>https://www.youtube.com/watch?v=w6BMPN07BOM</v>
      </c>
      <c r="X286" s="82" t="s">
        <v>1857</v>
      </c>
      <c r="Y286" s="82">
        <v>1</v>
      </c>
      <c r="Z286" s="86">
        <v>44829.876226851855</v>
      </c>
      <c r="AA286" s="86">
        <v>44829.876226851855</v>
      </c>
      <c r="AB286" s="82"/>
      <c r="AC286" s="82"/>
      <c r="AD286" s="82"/>
      <c r="AE286" s="82">
        <v>1</v>
      </c>
      <c r="AF286" s="81">
        <v>2</v>
      </c>
      <c r="AG286" s="81">
        <v>2</v>
      </c>
      <c r="AH286" s="49">
        <v>3</v>
      </c>
      <c r="AI286" s="110">
        <v>10.344827586206897</v>
      </c>
      <c r="AJ286" s="49">
        <v>1</v>
      </c>
      <c r="AK286" s="110">
        <v>3.4482758620689653</v>
      </c>
      <c r="AL286" s="49">
        <v>0</v>
      </c>
      <c r="AM286" s="50">
        <v>0</v>
      </c>
      <c r="AN286" s="49">
        <v>10</v>
      </c>
      <c r="AO286" s="110">
        <v>34.48275862068966</v>
      </c>
      <c r="AP286" s="49">
        <v>29</v>
      </c>
    </row>
    <row r="287" spans="1:42" ht="15">
      <c r="A287" s="66" t="s">
        <v>506</v>
      </c>
      <c r="B287" s="66" t="s">
        <v>758</v>
      </c>
      <c r="C287" s="67" t="s">
        <v>774</v>
      </c>
      <c r="D287" s="68">
        <v>3</v>
      </c>
      <c r="E287" s="69"/>
      <c r="F287" s="70">
        <v>40</v>
      </c>
      <c r="G287" s="67"/>
      <c r="H287" s="71"/>
      <c r="I287" s="72"/>
      <c r="J287" s="72"/>
      <c r="K287" s="35" t="s">
        <v>65</v>
      </c>
      <c r="L287" s="80">
        <v>287</v>
      </c>
      <c r="M287" s="80"/>
      <c r="N287" s="74"/>
      <c r="O287" s="82" t="s">
        <v>776</v>
      </c>
      <c r="P287" s="82" t="s">
        <v>197</v>
      </c>
      <c r="Q287" s="82" t="s">
        <v>1056</v>
      </c>
      <c r="R287" s="82" t="s">
        <v>506</v>
      </c>
      <c r="S287" s="82" t="s">
        <v>1579</v>
      </c>
      <c r="T287" s="84" t="str">
        <f>HYPERLINK("http://www.youtube.com/channel/UC60nwKcOgEyf80YUuCLLdJQ")</f>
        <v>http://www.youtube.com/channel/UC60nwKcOgEyf80YUuCLLdJQ</v>
      </c>
      <c r="U287" s="82"/>
      <c r="V287" s="82" t="s">
        <v>1833</v>
      </c>
      <c r="W287" s="84" t="str">
        <f>HYPERLINK("https://www.youtube.com/watch?v=w6BMPN07BOM")</f>
        <v>https://www.youtube.com/watch?v=w6BMPN07BOM</v>
      </c>
      <c r="X287" s="82" t="s">
        <v>1857</v>
      </c>
      <c r="Y287" s="82">
        <v>0</v>
      </c>
      <c r="Z287" s="86">
        <v>44829.88447916666</v>
      </c>
      <c r="AA287" s="86">
        <v>44829.88447916666</v>
      </c>
      <c r="AB287" s="82"/>
      <c r="AC287" s="82"/>
      <c r="AD287" s="82"/>
      <c r="AE287" s="82">
        <v>1</v>
      </c>
      <c r="AF287" s="81">
        <v>2</v>
      </c>
      <c r="AG287" s="81">
        <v>2</v>
      </c>
      <c r="AH287" s="49">
        <v>0</v>
      </c>
      <c r="AI287" s="50">
        <v>0</v>
      </c>
      <c r="AJ287" s="49">
        <v>1</v>
      </c>
      <c r="AK287" s="110">
        <v>7.142857142857143</v>
      </c>
      <c r="AL287" s="49">
        <v>0</v>
      </c>
      <c r="AM287" s="50">
        <v>0</v>
      </c>
      <c r="AN287" s="49">
        <v>6</v>
      </c>
      <c r="AO287" s="110">
        <v>42.857142857142854</v>
      </c>
      <c r="AP287" s="49">
        <v>14</v>
      </c>
    </row>
    <row r="288" spans="1:42" ht="15">
      <c r="A288" s="66" t="s">
        <v>507</v>
      </c>
      <c r="B288" s="66" t="s">
        <v>758</v>
      </c>
      <c r="C288" s="67" t="s">
        <v>774</v>
      </c>
      <c r="D288" s="68">
        <v>3</v>
      </c>
      <c r="E288" s="69"/>
      <c r="F288" s="70">
        <v>40</v>
      </c>
      <c r="G288" s="67"/>
      <c r="H288" s="71"/>
      <c r="I288" s="72"/>
      <c r="J288" s="72"/>
      <c r="K288" s="35" t="s">
        <v>65</v>
      </c>
      <c r="L288" s="80">
        <v>288</v>
      </c>
      <c r="M288" s="80"/>
      <c r="N288" s="74"/>
      <c r="O288" s="82" t="s">
        <v>776</v>
      </c>
      <c r="P288" s="82" t="s">
        <v>197</v>
      </c>
      <c r="Q288" s="82" t="s">
        <v>1057</v>
      </c>
      <c r="R288" s="82" t="s">
        <v>507</v>
      </c>
      <c r="S288" s="82" t="s">
        <v>1580</v>
      </c>
      <c r="T288" s="84" t="str">
        <f>HYPERLINK("http://www.youtube.com/channel/UCGtoANzUVfayDBzkfHamfpw")</f>
        <v>http://www.youtube.com/channel/UCGtoANzUVfayDBzkfHamfpw</v>
      </c>
      <c r="U288" s="82"/>
      <c r="V288" s="82" t="s">
        <v>1833</v>
      </c>
      <c r="W288" s="84" t="str">
        <f>HYPERLINK("https://www.youtube.com/watch?v=w6BMPN07BOM")</f>
        <v>https://www.youtube.com/watch?v=w6BMPN07BOM</v>
      </c>
      <c r="X288" s="82" t="s">
        <v>1857</v>
      </c>
      <c r="Y288" s="82">
        <v>1</v>
      </c>
      <c r="Z288" s="86">
        <v>44829.886296296296</v>
      </c>
      <c r="AA288" s="86">
        <v>44829.886296296296</v>
      </c>
      <c r="AB288" s="82"/>
      <c r="AC288" s="82"/>
      <c r="AD288" s="82"/>
      <c r="AE288" s="82">
        <v>1</v>
      </c>
      <c r="AF288" s="81">
        <v>2</v>
      </c>
      <c r="AG288" s="81">
        <v>2</v>
      </c>
      <c r="AH288" s="49">
        <v>2</v>
      </c>
      <c r="AI288" s="50">
        <v>8</v>
      </c>
      <c r="AJ288" s="49">
        <v>1</v>
      </c>
      <c r="AK288" s="50">
        <v>4</v>
      </c>
      <c r="AL288" s="49">
        <v>0</v>
      </c>
      <c r="AM288" s="50">
        <v>0</v>
      </c>
      <c r="AN288" s="49">
        <v>7</v>
      </c>
      <c r="AO288" s="50">
        <v>28</v>
      </c>
      <c r="AP288" s="49">
        <v>25</v>
      </c>
    </row>
    <row r="289" spans="1:42" ht="15">
      <c r="A289" s="66" t="s">
        <v>508</v>
      </c>
      <c r="B289" s="66" t="s">
        <v>758</v>
      </c>
      <c r="C289" s="67" t="s">
        <v>774</v>
      </c>
      <c r="D289" s="68">
        <v>3</v>
      </c>
      <c r="E289" s="69"/>
      <c r="F289" s="70">
        <v>40</v>
      </c>
      <c r="G289" s="67"/>
      <c r="H289" s="71"/>
      <c r="I289" s="72"/>
      <c r="J289" s="72"/>
      <c r="K289" s="35" t="s">
        <v>65</v>
      </c>
      <c r="L289" s="80">
        <v>289</v>
      </c>
      <c r="M289" s="80"/>
      <c r="N289" s="74"/>
      <c r="O289" s="82" t="s">
        <v>776</v>
      </c>
      <c r="P289" s="82" t="s">
        <v>197</v>
      </c>
      <c r="Q289" s="82" t="s">
        <v>1058</v>
      </c>
      <c r="R289" s="82" t="s">
        <v>508</v>
      </c>
      <c r="S289" s="82" t="s">
        <v>1581</v>
      </c>
      <c r="T289" s="84" t="str">
        <f>HYPERLINK("http://www.youtube.com/channel/UCfmVMwdFkCFdmflzgwXtOCg")</f>
        <v>http://www.youtube.com/channel/UCfmVMwdFkCFdmflzgwXtOCg</v>
      </c>
      <c r="U289" s="82"/>
      <c r="V289" s="82" t="s">
        <v>1833</v>
      </c>
      <c r="W289" s="84" t="str">
        <f>HYPERLINK("https://www.youtube.com/watch?v=w6BMPN07BOM")</f>
        <v>https://www.youtube.com/watch?v=w6BMPN07BOM</v>
      </c>
      <c r="X289" s="82" t="s">
        <v>1857</v>
      </c>
      <c r="Y289" s="82">
        <v>6</v>
      </c>
      <c r="Z289" s="86">
        <v>44829.90194444444</v>
      </c>
      <c r="AA289" s="86">
        <v>44829.90194444444</v>
      </c>
      <c r="AB289" s="82"/>
      <c r="AC289" s="82"/>
      <c r="AD289" s="82"/>
      <c r="AE289" s="82">
        <v>1</v>
      </c>
      <c r="AF289" s="81">
        <v>2</v>
      </c>
      <c r="AG289" s="81">
        <v>2</v>
      </c>
      <c r="AH289" s="49">
        <v>2</v>
      </c>
      <c r="AI289" s="110">
        <v>28.571428571428573</v>
      </c>
      <c r="AJ289" s="49">
        <v>0</v>
      </c>
      <c r="AK289" s="50">
        <v>0</v>
      </c>
      <c r="AL289" s="49">
        <v>0</v>
      </c>
      <c r="AM289" s="50">
        <v>0</v>
      </c>
      <c r="AN289" s="49">
        <v>3</v>
      </c>
      <c r="AO289" s="110">
        <v>42.857142857142854</v>
      </c>
      <c r="AP289" s="49">
        <v>7</v>
      </c>
    </row>
    <row r="290" spans="1:42" ht="15">
      <c r="A290" s="66" t="s">
        <v>509</v>
      </c>
      <c r="B290" s="66" t="s">
        <v>758</v>
      </c>
      <c r="C290" s="67" t="s">
        <v>774</v>
      </c>
      <c r="D290" s="68">
        <v>3</v>
      </c>
      <c r="E290" s="69"/>
      <c r="F290" s="70">
        <v>40</v>
      </c>
      <c r="G290" s="67"/>
      <c r="H290" s="71"/>
      <c r="I290" s="72"/>
      <c r="J290" s="72"/>
      <c r="K290" s="35" t="s">
        <v>65</v>
      </c>
      <c r="L290" s="80">
        <v>290</v>
      </c>
      <c r="M290" s="80"/>
      <c r="N290" s="74"/>
      <c r="O290" s="82" t="s">
        <v>776</v>
      </c>
      <c r="P290" s="82" t="s">
        <v>197</v>
      </c>
      <c r="Q290" s="82" t="s">
        <v>1059</v>
      </c>
      <c r="R290" s="82" t="s">
        <v>509</v>
      </c>
      <c r="S290" s="82" t="s">
        <v>1582</v>
      </c>
      <c r="T290" s="84" t="str">
        <f>HYPERLINK("http://www.youtube.com/channel/UCOLKv4Q4IiYXK3q_0K76qlA")</f>
        <v>http://www.youtube.com/channel/UCOLKv4Q4IiYXK3q_0K76qlA</v>
      </c>
      <c r="U290" s="82"/>
      <c r="V290" s="82" t="s">
        <v>1833</v>
      </c>
      <c r="W290" s="84" t="str">
        <f>HYPERLINK("https://www.youtube.com/watch?v=w6BMPN07BOM")</f>
        <v>https://www.youtube.com/watch?v=w6BMPN07BOM</v>
      </c>
      <c r="X290" s="82" t="s">
        <v>1857</v>
      </c>
      <c r="Y290" s="82">
        <v>0</v>
      </c>
      <c r="Z290" s="86">
        <v>44829.903599537036</v>
      </c>
      <c r="AA290" s="86">
        <v>44829.903599537036</v>
      </c>
      <c r="AB290" s="82"/>
      <c r="AC290" s="82"/>
      <c r="AD290" s="82"/>
      <c r="AE290" s="82">
        <v>1</v>
      </c>
      <c r="AF290" s="81">
        <v>2</v>
      </c>
      <c r="AG290" s="81">
        <v>2</v>
      </c>
      <c r="AH290" s="49">
        <v>1</v>
      </c>
      <c r="AI290" s="110">
        <v>16.666666666666668</v>
      </c>
      <c r="AJ290" s="49">
        <v>0</v>
      </c>
      <c r="AK290" s="50">
        <v>0</v>
      </c>
      <c r="AL290" s="49">
        <v>0</v>
      </c>
      <c r="AM290" s="50">
        <v>0</v>
      </c>
      <c r="AN290" s="49">
        <v>2</v>
      </c>
      <c r="AO290" s="110">
        <v>33.333333333333336</v>
      </c>
      <c r="AP290" s="49">
        <v>6</v>
      </c>
    </row>
    <row r="291" spans="1:42" ht="15">
      <c r="A291" s="66" t="s">
        <v>510</v>
      </c>
      <c r="B291" s="66" t="s">
        <v>758</v>
      </c>
      <c r="C291" s="67" t="s">
        <v>774</v>
      </c>
      <c r="D291" s="68">
        <v>3</v>
      </c>
      <c r="E291" s="69"/>
      <c r="F291" s="70">
        <v>40</v>
      </c>
      <c r="G291" s="67"/>
      <c r="H291" s="71"/>
      <c r="I291" s="72"/>
      <c r="J291" s="72"/>
      <c r="K291" s="35" t="s">
        <v>65</v>
      </c>
      <c r="L291" s="80">
        <v>291</v>
      </c>
      <c r="M291" s="80"/>
      <c r="N291" s="74"/>
      <c r="O291" s="82" t="s">
        <v>776</v>
      </c>
      <c r="P291" s="82" t="s">
        <v>197</v>
      </c>
      <c r="Q291" s="82" t="s">
        <v>1060</v>
      </c>
      <c r="R291" s="82" t="s">
        <v>510</v>
      </c>
      <c r="S291" s="82" t="s">
        <v>1583</v>
      </c>
      <c r="T291" s="84" t="str">
        <f>HYPERLINK("http://www.youtube.com/channel/UCvi6nnSst0EXfRUa7ABdRNg")</f>
        <v>http://www.youtube.com/channel/UCvi6nnSst0EXfRUa7ABdRNg</v>
      </c>
      <c r="U291" s="82"/>
      <c r="V291" s="82" t="s">
        <v>1833</v>
      </c>
      <c r="W291" s="84" t="str">
        <f>HYPERLINK("https://www.youtube.com/watch?v=w6BMPN07BOM")</f>
        <v>https://www.youtube.com/watch?v=w6BMPN07BOM</v>
      </c>
      <c r="X291" s="82" t="s">
        <v>1857</v>
      </c>
      <c r="Y291" s="82">
        <v>4</v>
      </c>
      <c r="Z291" s="86">
        <v>44829.93952546296</v>
      </c>
      <c r="AA291" s="86">
        <v>44829.93952546296</v>
      </c>
      <c r="AB291" s="82"/>
      <c r="AC291" s="82"/>
      <c r="AD291" s="82"/>
      <c r="AE291" s="82">
        <v>1</v>
      </c>
      <c r="AF291" s="81">
        <v>2</v>
      </c>
      <c r="AG291" s="81">
        <v>2</v>
      </c>
      <c r="AH291" s="49">
        <v>0</v>
      </c>
      <c r="AI291" s="50">
        <v>0</v>
      </c>
      <c r="AJ291" s="49">
        <v>3</v>
      </c>
      <c r="AK291" s="110">
        <v>11.538461538461538</v>
      </c>
      <c r="AL291" s="49">
        <v>0</v>
      </c>
      <c r="AM291" s="50">
        <v>0</v>
      </c>
      <c r="AN291" s="49">
        <v>8</v>
      </c>
      <c r="AO291" s="110">
        <v>30.76923076923077</v>
      </c>
      <c r="AP291" s="49">
        <v>26</v>
      </c>
    </row>
    <row r="292" spans="1:42" ht="15">
      <c r="A292" s="66" t="s">
        <v>511</v>
      </c>
      <c r="B292" s="66" t="s">
        <v>758</v>
      </c>
      <c r="C292" s="67" t="s">
        <v>774</v>
      </c>
      <c r="D292" s="68">
        <v>3</v>
      </c>
      <c r="E292" s="69"/>
      <c r="F292" s="70">
        <v>40</v>
      </c>
      <c r="G292" s="67"/>
      <c r="H292" s="71"/>
      <c r="I292" s="72"/>
      <c r="J292" s="72"/>
      <c r="K292" s="35" t="s">
        <v>65</v>
      </c>
      <c r="L292" s="80">
        <v>292</v>
      </c>
      <c r="M292" s="80"/>
      <c r="N292" s="74"/>
      <c r="O292" s="82" t="s">
        <v>776</v>
      </c>
      <c r="P292" s="82" t="s">
        <v>197</v>
      </c>
      <c r="Q292" s="82" t="s">
        <v>1061</v>
      </c>
      <c r="R292" s="82" t="s">
        <v>511</v>
      </c>
      <c r="S292" s="82" t="s">
        <v>1584</v>
      </c>
      <c r="T292" s="84" t="str">
        <f>HYPERLINK("http://www.youtube.com/channel/UCw2Q_WsvOnhMcBQ4qWtl5iA")</f>
        <v>http://www.youtube.com/channel/UCw2Q_WsvOnhMcBQ4qWtl5iA</v>
      </c>
      <c r="U292" s="82"/>
      <c r="V292" s="82" t="s">
        <v>1833</v>
      </c>
      <c r="W292" s="84" t="str">
        <f>HYPERLINK("https://www.youtube.com/watch?v=w6BMPN07BOM")</f>
        <v>https://www.youtube.com/watch?v=w6BMPN07BOM</v>
      </c>
      <c r="X292" s="82" t="s">
        <v>1857</v>
      </c>
      <c r="Y292" s="82">
        <v>0</v>
      </c>
      <c r="Z292" s="86">
        <v>44829.94021990741</v>
      </c>
      <c r="AA292" s="86">
        <v>44829.94021990741</v>
      </c>
      <c r="AB292" s="82"/>
      <c r="AC292" s="82"/>
      <c r="AD292" s="82"/>
      <c r="AE292" s="82">
        <v>1</v>
      </c>
      <c r="AF292" s="81">
        <v>2</v>
      </c>
      <c r="AG292" s="81">
        <v>2</v>
      </c>
      <c r="AH292" s="49">
        <v>0</v>
      </c>
      <c r="AI292" s="50">
        <v>0</v>
      </c>
      <c r="AJ292" s="49">
        <v>0</v>
      </c>
      <c r="AK292" s="50">
        <v>0</v>
      </c>
      <c r="AL292" s="49">
        <v>0</v>
      </c>
      <c r="AM292" s="50">
        <v>0</v>
      </c>
      <c r="AN292" s="49">
        <v>6</v>
      </c>
      <c r="AO292" s="110">
        <v>54.54545454545455</v>
      </c>
      <c r="AP292" s="49">
        <v>11</v>
      </c>
    </row>
    <row r="293" spans="1:42" ht="15">
      <c r="A293" s="66" t="s">
        <v>512</v>
      </c>
      <c r="B293" s="66" t="s">
        <v>758</v>
      </c>
      <c r="C293" s="67" t="s">
        <v>774</v>
      </c>
      <c r="D293" s="68">
        <v>3</v>
      </c>
      <c r="E293" s="69"/>
      <c r="F293" s="70">
        <v>40</v>
      </c>
      <c r="G293" s="67"/>
      <c r="H293" s="71"/>
      <c r="I293" s="72"/>
      <c r="J293" s="72"/>
      <c r="K293" s="35" t="s">
        <v>65</v>
      </c>
      <c r="L293" s="80">
        <v>293</v>
      </c>
      <c r="M293" s="80"/>
      <c r="N293" s="74"/>
      <c r="O293" s="82" t="s">
        <v>776</v>
      </c>
      <c r="P293" s="82" t="s">
        <v>197</v>
      </c>
      <c r="Q293" s="82" t="s">
        <v>1062</v>
      </c>
      <c r="R293" s="82" t="s">
        <v>512</v>
      </c>
      <c r="S293" s="82" t="s">
        <v>1585</v>
      </c>
      <c r="T293" s="84" t="str">
        <f>HYPERLINK("http://www.youtube.com/channel/UC1KoxDzK1bD1Jry2R87oOpg")</f>
        <v>http://www.youtube.com/channel/UC1KoxDzK1bD1Jry2R87oOpg</v>
      </c>
      <c r="U293" s="82"/>
      <c r="V293" s="82" t="s">
        <v>1833</v>
      </c>
      <c r="W293" s="84" t="str">
        <f>HYPERLINK("https://www.youtube.com/watch?v=w6BMPN07BOM")</f>
        <v>https://www.youtube.com/watch?v=w6BMPN07BOM</v>
      </c>
      <c r="X293" s="82" t="s">
        <v>1857</v>
      </c>
      <c r="Y293" s="82">
        <v>0</v>
      </c>
      <c r="Z293" s="86">
        <v>44829.95075231481</v>
      </c>
      <c r="AA293" s="86">
        <v>44829.95075231481</v>
      </c>
      <c r="AB293" s="82"/>
      <c r="AC293" s="82"/>
      <c r="AD293" s="82"/>
      <c r="AE293" s="82">
        <v>1</v>
      </c>
      <c r="AF293" s="81">
        <v>2</v>
      </c>
      <c r="AG293" s="81">
        <v>2</v>
      </c>
      <c r="AH293" s="49">
        <v>1</v>
      </c>
      <c r="AI293" s="110">
        <v>1.9230769230769231</v>
      </c>
      <c r="AJ293" s="49">
        <v>2</v>
      </c>
      <c r="AK293" s="110">
        <v>3.8461538461538463</v>
      </c>
      <c r="AL293" s="49">
        <v>0</v>
      </c>
      <c r="AM293" s="50">
        <v>0</v>
      </c>
      <c r="AN293" s="49">
        <v>20</v>
      </c>
      <c r="AO293" s="110">
        <v>38.46153846153846</v>
      </c>
      <c r="AP293" s="49">
        <v>52</v>
      </c>
    </row>
    <row r="294" spans="1:42" ht="15">
      <c r="A294" s="66" t="s">
        <v>513</v>
      </c>
      <c r="B294" s="66" t="s">
        <v>758</v>
      </c>
      <c r="C294" s="67" t="s">
        <v>774</v>
      </c>
      <c r="D294" s="68">
        <v>3</v>
      </c>
      <c r="E294" s="69"/>
      <c r="F294" s="70">
        <v>40</v>
      </c>
      <c r="G294" s="67"/>
      <c r="H294" s="71"/>
      <c r="I294" s="72"/>
      <c r="J294" s="72"/>
      <c r="K294" s="35" t="s">
        <v>65</v>
      </c>
      <c r="L294" s="80">
        <v>294</v>
      </c>
      <c r="M294" s="80"/>
      <c r="N294" s="74"/>
      <c r="O294" s="82" t="s">
        <v>776</v>
      </c>
      <c r="P294" s="82" t="s">
        <v>197</v>
      </c>
      <c r="Q294" s="82" t="s">
        <v>1063</v>
      </c>
      <c r="R294" s="82" t="s">
        <v>513</v>
      </c>
      <c r="S294" s="82" t="s">
        <v>1586</v>
      </c>
      <c r="T294" s="84" t="str">
        <f>HYPERLINK("http://www.youtube.com/channel/UC85CHtE35ZdwXAmQWUbeMTQ")</f>
        <v>http://www.youtube.com/channel/UC85CHtE35ZdwXAmQWUbeMTQ</v>
      </c>
      <c r="U294" s="82"/>
      <c r="V294" s="82" t="s">
        <v>1833</v>
      </c>
      <c r="W294" s="84" t="str">
        <f>HYPERLINK("https://www.youtube.com/watch?v=w6BMPN07BOM")</f>
        <v>https://www.youtube.com/watch?v=w6BMPN07BOM</v>
      </c>
      <c r="X294" s="82" t="s">
        <v>1857</v>
      </c>
      <c r="Y294" s="82">
        <v>2</v>
      </c>
      <c r="Z294" s="86">
        <v>44829.95119212963</v>
      </c>
      <c r="AA294" s="86">
        <v>44829.95119212963</v>
      </c>
      <c r="AB294" s="82"/>
      <c r="AC294" s="82"/>
      <c r="AD294" s="82"/>
      <c r="AE294" s="82">
        <v>1</v>
      </c>
      <c r="AF294" s="81">
        <v>2</v>
      </c>
      <c r="AG294" s="81">
        <v>2</v>
      </c>
      <c r="AH294" s="49">
        <v>1</v>
      </c>
      <c r="AI294" s="50">
        <v>20</v>
      </c>
      <c r="AJ294" s="49">
        <v>0</v>
      </c>
      <c r="AK294" s="50">
        <v>0</v>
      </c>
      <c r="AL294" s="49">
        <v>0</v>
      </c>
      <c r="AM294" s="50">
        <v>0</v>
      </c>
      <c r="AN294" s="49">
        <v>2</v>
      </c>
      <c r="AO294" s="50">
        <v>40</v>
      </c>
      <c r="AP294" s="49">
        <v>5</v>
      </c>
    </row>
    <row r="295" spans="1:42" ht="15">
      <c r="A295" s="66" t="s">
        <v>514</v>
      </c>
      <c r="B295" s="66" t="s">
        <v>758</v>
      </c>
      <c r="C295" s="67" t="s">
        <v>774</v>
      </c>
      <c r="D295" s="68">
        <v>3</v>
      </c>
      <c r="E295" s="69"/>
      <c r="F295" s="70">
        <v>40</v>
      </c>
      <c r="G295" s="67"/>
      <c r="H295" s="71"/>
      <c r="I295" s="72"/>
      <c r="J295" s="72"/>
      <c r="K295" s="35" t="s">
        <v>65</v>
      </c>
      <c r="L295" s="80">
        <v>295</v>
      </c>
      <c r="M295" s="80"/>
      <c r="N295" s="74"/>
      <c r="O295" s="82" t="s">
        <v>776</v>
      </c>
      <c r="P295" s="82" t="s">
        <v>197</v>
      </c>
      <c r="Q295" s="82" t="s">
        <v>1064</v>
      </c>
      <c r="R295" s="82" t="s">
        <v>514</v>
      </c>
      <c r="S295" s="82" t="s">
        <v>1587</v>
      </c>
      <c r="T295" s="84" t="str">
        <f>HYPERLINK("http://www.youtube.com/channel/UCS0sR5VZi4XH6lTASBzAEVA")</f>
        <v>http://www.youtube.com/channel/UCS0sR5VZi4XH6lTASBzAEVA</v>
      </c>
      <c r="U295" s="82"/>
      <c r="V295" s="82" t="s">
        <v>1833</v>
      </c>
      <c r="W295" s="84" t="str">
        <f>HYPERLINK("https://www.youtube.com/watch?v=w6BMPN07BOM")</f>
        <v>https://www.youtube.com/watch?v=w6BMPN07BOM</v>
      </c>
      <c r="X295" s="82" t="s">
        <v>1857</v>
      </c>
      <c r="Y295" s="82">
        <v>4</v>
      </c>
      <c r="Z295" s="86">
        <v>44829.96194444445</v>
      </c>
      <c r="AA295" s="86">
        <v>44829.96194444445</v>
      </c>
      <c r="AB295" s="82"/>
      <c r="AC295" s="82"/>
      <c r="AD295" s="82"/>
      <c r="AE295" s="82">
        <v>1</v>
      </c>
      <c r="AF295" s="81">
        <v>2</v>
      </c>
      <c r="AG295" s="81">
        <v>2</v>
      </c>
      <c r="AH295" s="49">
        <v>1</v>
      </c>
      <c r="AI295" s="110">
        <v>2.7777777777777777</v>
      </c>
      <c r="AJ295" s="49">
        <v>3</v>
      </c>
      <c r="AK295" s="110">
        <v>8.333333333333334</v>
      </c>
      <c r="AL295" s="49">
        <v>0</v>
      </c>
      <c r="AM295" s="50">
        <v>0</v>
      </c>
      <c r="AN295" s="49">
        <v>10</v>
      </c>
      <c r="AO295" s="110">
        <v>27.77777777777778</v>
      </c>
      <c r="AP295" s="49">
        <v>36</v>
      </c>
    </row>
    <row r="296" spans="1:42" ht="15">
      <c r="A296" s="66" t="s">
        <v>515</v>
      </c>
      <c r="B296" s="66" t="s">
        <v>758</v>
      </c>
      <c r="C296" s="67" t="s">
        <v>774</v>
      </c>
      <c r="D296" s="68">
        <v>3</v>
      </c>
      <c r="E296" s="69"/>
      <c r="F296" s="70">
        <v>40</v>
      </c>
      <c r="G296" s="67"/>
      <c r="H296" s="71"/>
      <c r="I296" s="72"/>
      <c r="J296" s="72"/>
      <c r="K296" s="35" t="s">
        <v>65</v>
      </c>
      <c r="L296" s="80">
        <v>296</v>
      </c>
      <c r="M296" s="80"/>
      <c r="N296" s="74"/>
      <c r="O296" s="82" t="s">
        <v>776</v>
      </c>
      <c r="P296" s="82" t="s">
        <v>197</v>
      </c>
      <c r="Q296" s="82" t="s">
        <v>1065</v>
      </c>
      <c r="R296" s="82" t="s">
        <v>515</v>
      </c>
      <c r="S296" s="82" t="s">
        <v>1588</v>
      </c>
      <c r="T296" s="84" t="str">
        <f>HYPERLINK("http://www.youtube.com/channel/UCCuzh05wf-gk9iAFFSe7n-A")</f>
        <v>http://www.youtube.com/channel/UCCuzh05wf-gk9iAFFSe7n-A</v>
      </c>
      <c r="U296" s="82"/>
      <c r="V296" s="82" t="s">
        <v>1833</v>
      </c>
      <c r="W296" s="84" t="str">
        <f>HYPERLINK("https://www.youtube.com/watch?v=w6BMPN07BOM")</f>
        <v>https://www.youtube.com/watch?v=w6BMPN07BOM</v>
      </c>
      <c r="X296" s="82" t="s">
        <v>1857</v>
      </c>
      <c r="Y296" s="82">
        <v>1</v>
      </c>
      <c r="Z296" s="86">
        <v>44829.962002314816</v>
      </c>
      <c r="AA296" s="86">
        <v>44829.962002314816</v>
      </c>
      <c r="AB296" s="82"/>
      <c r="AC296" s="82"/>
      <c r="AD296" s="82"/>
      <c r="AE296" s="82">
        <v>1</v>
      </c>
      <c r="AF296" s="81">
        <v>2</v>
      </c>
      <c r="AG296" s="81">
        <v>2</v>
      </c>
      <c r="AH296" s="49">
        <v>2</v>
      </c>
      <c r="AI296" s="110">
        <v>13.333333333333334</v>
      </c>
      <c r="AJ296" s="49">
        <v>0</v>
      </c>
      <c r="AK296" s="50">
        <v>0</v>
      </c>
      <c r="AL296" s="49">
        <v>0</v>
      </c>
      <c r="AM296" s="50">
        <v>0</v>
      </c>
      <c r="AN296" s="49">
        <v>8</v>
      </c>
      <c r="AO296" s="110">
        <v>53.333333333333336</v>
      </c>
      <c r="AP296" s="49">
        <v>15</v>
      </c>
    </row>
    <row r="297" spans="1:42" ht="15">
      <c r="A297" s="66" t="s">
        <v>516</v>
      </c>
      <c r="B297" s="66" t="s">
        <v>758</v>
      </c>
      <c r="C297" s="67" t="s">
        <v>774</v>
      </c>
      <c r="D297" s="68">
        <v>3</v>
      </c>
      <c r="E297" s="69"/>
      <c r="F297" s="70">
        <v>40</v>
      </c>
      <c r="G297" s="67"/>
      <c r="H297" s="71"/>
      <c r="I297" s="72"/>
      <c r="J297" s="72"/>
      <c r="K297" s="35" t="s">
        <v>65</v>
      </c>
      <c r="L297" s="80">
        <v>297</v>
      </c>
      <c r="M297" s="80"/>
      <c r="N297" s="74"/>
      <c r="O297" s="82" t="s">
        <v>776</v>
      </c>
      <c r="P297" s="82" t="s">
        <v>197</v>
      </c>
      <c r="Q297" s="82" t="s">
        <v>1066</v>
      </c>
      <c r="R297" s="82" t="s">
        <v>516</v>
      </c>
      <c r="S297" s="82" t="s">
        <v>1589</v>
      </c>
      <c r="T297" s="84" t="str">
        <f>HYPERLINK("http://www.youtube.com/channel/UCHVYjdjDomgr-b-IKIwgMOQ")</f>
        <v>http://www.youtube.com/channel/UCHVYjdjDomgr-b-IKIwgMOQ</v>
      </c>
      <c r="U297" s="82"/>
      <c r="V297" s="82" t="s">
        <v>1833</v>
      </c>
      <c r="W297" s="84" t="str">
        <f>HYPERLINK("https://www.youtube.com/watch?v=w6BMPN07BOM")</f>
        <v>https://www.youtube.com/watch?v=w6BMPN07BOM</v>
      </c>
      <c r="X297" s="82" t="s">
        <v>1857</v>
      </c>
      <c r="Y297" s="82">
        <v>2</v>
      </c>
      <c r="Z297" s="86">
        <v>44829.99040509259</v>
      </c>
      <c r="AA297" s="86">
        <v>44829.99040509259</v>
      </c>
      <c r="AB297" s="82"/>
      <c r="AC297" s="82"/>
      <c r="AD297" s="82"/>
      <c r="AE297" s="82">
        <v>1</v>
      </c>
      <c r="AF297" s="81">
        <v>2</v>
      </c>
      <c r="AG297" s="81">
        <v>2</v>
      </c>
      <c r="AH297" s="49">
        <v>1</v>
      </c>
      <c r="AI297" s="110">
        <v>4.3478260869565215</v>
      </c>
      <c r="AJ297" s="49">
        <v>1</v>
      </c>
      <c r="AK297" s="110">
        <v>4.3478260869565215</v>
      </c>
      <c r="AL297" s="49">
        <v>0</v>
      </c>
      <c r="AM297" s="50">
        <v>0</v>
      </c>
      <c r="AN297" s="49">
        <v>12</v>
      </c>
      <c r="AO297" s="110">
        <v>52.17391304347826</v>
      </c>
      <c r="AP297" s="49">
        <v>23</v>
      </c>
    </row>
    <row r="298" spans="1:42" ht="15">
      <c r="A298" s="66" t="s">
        <v>517</v>
      </c>
      <c r="B298" s="66" t="s">
        <v>758</v>
      </c>
      <c r="C298" s="67" t="s">
        <v>774</v>
      </c>
      <c r="D298" s="68">
        <v>3</v>
      </c>
      <c r="E298" s="69"/>
      <c r="F298" s="70">
        <v>40</v>
      </c>
      <c r="G298" s="67"/>
      <c r="H298" s="71"/>
      <c r="I298" s="72"/>
      <c r="J298" s="72"/>
      <c r="K298" s="35" t="s">
        <v>65</v>
      </c>
      <c r="L298" s="80">
        <v>298</v>
      </c>
      <c r="M298" s="80"/>
      <c r="N298" s="74"/>
      <c r="O298" s="82" t="s">
        <v>776</v>
      </c>
      <c r="P298" s="82" t="s">
        <v>197</v>
      </c>
      <c r="Q298" s="82" t="s">
        <v>1067</v>
      </c>
      <c r="R298" s="82" t="s">
        <v>517</v>
      </c>
      <c r="S298" s="82" t="s">
        <v>1590</v>
      </c>
      <c r="T298" s="84" t="str">
        <f>HYPERLINK("http://www.youtube.com/channel/UCZOEY-B9NCIiCzv2-3UoLcQ")</f>
        <v>http://www.youtube.com/channel/UCZOEY-B9NCIiCzv2-3UoLcQ</v>
      </c>
      <c r="U298" s="82"/>
      <c r="V298" s="82" t="s">
        <v>1833</v>
      </c>
      <c r="W298" s="84" t="str">
        <f>HYPERLINK("https://www.youtube.com/watch?v=w6BMPN07BOM")</f>
        <v>https://www.youtube.com/watch?v=w6BMPN07BOM</v>
      </c>
      <c r="X298" s="82" t="s">
        <v>1857</v>
      </c>
      <c r="Y298" s="82">
        <v>0</v>
      </c>
      <c r="Z298" s="86">
        <v>44829.994363425925</v>
      </c>
      <c r="AA298" s="86">
        <v>44829.994363425925</v>
      </c>
      <c r="AB298" s="82"/>
      <c r="AC298" s="82"/>
      <c r="AD298" s="82"/>
      <c r="AE298" s="82">
        <v>1</v>
      </c>
      <c r="AF298" s="81">
        <v>2</v>
      </c>
      <c r="AG298" s="81">
        <v>2</v>
      </c>
      <c r="AH298" s="49">
        <v>0</v>
      </c>
      <c r="AI298" s="50">
        <v>0</v>
      </c>
      <c r="AJ298" s="49">
        <v>0</v>
      </c>
      <c r="AK298" s="50">
        <v>0</v>
      </c>
      <c r="AL298" s="49">
        <v>0</v>
      </c>
      <c r="AM298" s="50">
        <v>0</v>
      </c>
      <c r="AN298" s="49">
        <v>0</v>
      </c>
      <c r="AO298" s="50">
        <v>0</v>
      </c>
      <c r="AP298" s="49">
        <v>6</v>
      </c>
    </row>
    <row r="299" spans="1:42" ht="15">
      <c r="A299" s="66" t="s">
        <v>518</v>
      </c>
      <c r="B299" s="66" t="s">
        <v>758</v>
      </c>
      <c r="C299" s="67" t="s">
        <v>774</v>
      </c>
      <c r="D299" s="68">
        <v>3</v>
      </c>
      <c r="E299" s="69"/>
      <c r="F299" s="70">
        <v>40</v>
      </c>
      <c r="G299" s="67"/>
      <c r="H299" s="71"/>
      <c r="I299" s="72"/>
      <c r="J299" s="72"/>
      <c r="K299" s="35" t="s">
        <v>65</v>
      </c>
      <c r="L299" s="80">
        <v>299</v>
      </c>
      <c r="M299" s="80"/>
      <c r="N299" s="74"/>
      <c r="O299" s="82" t="s">
        <v>776</v>
      </c>
      <c r="P299" s="82" t="s">
        <v>197</v>
      </c>
      <c r="Q299" s="82" t="s">
        <v>1068</v>
      </c>
      <c r="R299" s="82" t="s">
        <v>518</v>
      </c>
      <c r="S299" s="82" t="s">
        <v>1591</v>
      </c>
      <c r="T299" s="84" t="str">
        <f>HYPERLINK("http://www.youtube.com/channel/UCsHFIY1wJaSdx7y-yS-fQQg")</f>
        <v>http://www.youtube.com/channel/UCsHFIY1wJaSdx7y-yS-fQQg</v>
      </c>
      <c r="U299" s="82"/>
      <c r="V299" s="82" t="s">
        <v>1833</v>
      </c>
      <c r="W299" s="84" t="str">
        <f>HYPERLINK("https://www.youtube.com/watch?v=w6BMPN07BOM")</f>
        <v>https://www.youtube.com/watch?v=w6BMPN07BOM</v>
      </c>
      <c r="X299" s="82" t="s">
        <v>1857</v>
      </c>
      <c r="Y299" s="82">
        <v>2</v>
      </c>
      <c r="Z299" s="86">
        <v>44829.998564814814</v>
      </c>
      <c r="AA299" s="86">
        <v>44829.998564814814</v>
      </c>
      <c r="AB299" s="82"/>
      <c r="AC299" s="82"/>
      <c r="AD299" s="82"/>
      <c r="AE299" s="82">
        <v>1</v>
      </c>
      <c r="AF299" s="81">
        <v>2</v>
      </c>
      <c r="AG299" s="81">
        <v>2</v>
      </c>
      <c r="AH299" s="49">
        <v>2</v>
      </c>
      <c r="AI299" s="110">
        <v>16.666666666666668</v>
      </c>
      <c r="AJ299" s="49">
        <v>0</v>
      </c>
      <c r="AK299" s="50">
        <v>0</v>
      </c>
      <c r="AL299" s="49">
        <v>0</v>
      </c>
      <c r="AM299" s="50">
        <v>0</v>
      </c>
      <c r="AN299" s="49">
        <v>5</v>
      </c>
      <c r="AO299" s="110">
        <v>41.666666666666664</v>
      </c>
      <c r="AP299" s="49">
        <v>12</v>
      </c>
    </row>
    <row r="300" spans="1:42" ht="15">
      <c r="A300" s="66" t="s">
        <v>519</v>
      </c>
      <c r="B300" s="66" t="s">
        <v>758</v>
      </c>
      <c r="C300" s="67" t="s">
        <v>774</v>
      </c>
      <c r="D300" s="68">
        <v>3</v>
      </c>
      <c r="E300" s="69"/>
      <c r="F300" s="70">
        <v>40</v>
      </c>
      <c r="G300" s="67"/>
      <c r="H300" s="71"/>
      <c r="I300" s="72"/>
      <c r="J300" s="72"/>
      <c r="K300" s="35" t="s">
        <v>65</v>
      </c>
      <c r="L300" s="80">
        <v>300</v>
      </c>
      <c r="M300" s="80"/>
      <c r="N300" s="74"/>
      <c r="O300" s="82" t="s">
        <v>776</v>
      </c>
      <c r="P300" s="82" t="s">
        <v>197</v>
      </c>
      <c r="Q300" s="82" t="s">
        <v>1069</v>
      </c>
      <c r="R300" s="82" t="s">
        <v>519</v>
      </c>
      <c r="S300" s="82" t="s">
        <v>1592</v>
      </c>
      <c r="T300" s="84" t="str">
        <f>HYPERLINK("http://www.youtube.com/channel/UC2MXgtSiyIQqSB8OpqVEfkQ")</f>
        <v>http://www.youtube.com/channel/UC2MXgtSiyIQqSB8OpqVEfkQ</v>
      </c>
      <c r="U300" s="82"/>
      <c r="V300" s="82" t="s">
        <v>1833</v>
      </c>
      <c r="W300" s="84" t="str">
        <f>HYPERLINK("https://www.youtube.com/watch?v=w6BMPN07BOM")</f>
        <v>https://www.youtube.com/watch?v=w6BMPN07BOM</v>
      </c>
      <c r="X300" s="82" t="s">
        <v>1857</v>
      </c>
      <c r="Y300" s="82">
        <v>0</v>
      </c>
      <c r="Z300" s="86">
        <v>44830.0093287037</v>
      </c>
      <c r="AA300" s="86">
        <v>44830.0093287037</v>
      </c>
      <c r="AB300" s="82"/>
      <c r="AC300" s="82"/>
      <c r="AD300" s="82"/>
      <c r="AE300" s="82">
        <v>1</v>
      </c>
      <c r="AF300" s="81">
        <v>2</v>
      </c>
      <c r="AG300" s="81">
        <v>2</v>
      </c>
      <c r="AH300" s="49">
        <v>0</v>
      </c>
      <c r="AI300" s="50">
        <v>0</v>
      </c>
      <c r="AJ300" s="49">
        <v>0</v>
      </c>
      <c r="AK300" s="50">
        <v>0</v>
      </c>
      <c r="AL300" s="49">
        <v>0</v>
      </c>
      <c r="AM300" s="50">
        <v>0</v>
      </c>
      <c r="AN300" s="49">
        <v>2</v>
      </c>
      <c r="AO300" s="110">
        <v>18.181818181818183</v>
      </c>
      <c r="AP300" s="49">
        <v>11</v>
      </c>
    </row>
    <row r="301" spans="1:42" ht="15">
      <c r="A301" s="66" t="s">
        <v>520</v>
      </c>
      <c r="B301" s="66" t="s">
        <v>758</v>
      </c>
      <c r="C301" s="67" t="s">
        <v>774</v>
      </c>
      <c r="D301" s="68">
        <v>3</v>
      </c>
      <c r="E301" s="69"/>
      <c r="F301" s="70">
        <v>40</v>
      </c>
      <c r="G301" s="67"/>
      <c r="H301" s="71"/>
      <c r="I301" s="72"/>
      <c r="J301" s="72"/>
      <c r="K301" s="35" t="s">
        <v>65</v>
      </c>
      <c r="L301" s="80">
        <v>301</v>
      </c>
      <c r="M301" s="80"/>
      <c r="N301" s="74"/>
      <c r="O301" s="82" t="s">
        <v>776</v>
      </c>
      <c r="P301" s="82" t="s">
        <v>197</v>
      </c>
      <c r="Q301" s="82" t="s">
        <v>1070</v>
      </c>
      <c r="R301" s="82" t="s">
        <v>520</v>
      </c>
      <c r="S301" s="82" t="s">
        <v>1593</v>
      </c>
      <c r="T301" s="84" t="str">
        <f>HYPERLINK("http://www.youtube.com/channel/UCRYpWX1y1pgRq1EFqKz-HDA")</f>
        <v>http://www.youtube.com/channel/UCRYpWX1y1pgRq1EFqKz-HDA</v>
      </c>
      <c r="U301" s="82"/>
      <c r="V301" s="82" t="s">
        <v>1833</v>
      </c>
      <c r="W301" s="84" t="str">
        <f>HYPERLINK("https://www.youtube.com/watch?v=w6BMPN07BOM")</f>
        <v>https://www.youtube.com/watch?v=w6BMPN07BOM</v>
      </c>
      <c r="X301" s="82" t="s">
        <v>1857</v>
      </c>
      <c r="Y301" s="82">
        <v>0</v>
      </c>
      <c r="Z301" s="86">
        <v>44830.03569444444</v>
      </c>
      <c r="AA301" s="86">
        <v>44830.03569444444</v>
      </c>
      <c r="AB301" s="82"/>
      <c r="AC301" s="82"/>
      <c r="AD301" s="82"/>
      <c r="AE301" s="82">
        <v>1</v>
      </c>
      <c r="AF301" s="81">
        <v>2</v>
      </c>
      <c r="AG301" s="81">
        <v>2</v>
      </c>
      <c r="AH301" s="49">
        <v>1</v>
      </c>
      <c r="AI301" s="110">
        <v>33.333333333333336</v>
      </c>
      <c r="AJ301" s="49">
        <v>0</v>
      </c>
      <c r="AK301" s="50">
        <v>0</v>
      </c>
      <c r="AL301" s="49">
        <v>0</v>
      </c>
      <c r="AM301" s="50">
        <v>0</v>
      </c>
      <c r="AN301" s="49">
        <v>0</v>
      </c>
      <c r="AO301" s="50">
        <v>0</v>
      </c>
      <c r="AP301" s="49">
        <v>3</v>
      </c>
    </row>
    <row r="302" spans="1:42" ht="15">
      <c r="A302" s="66" t="s">
        <v>521</v>
      </c>
      <c r="B302" s="66" t="s">
        <v>758</v>
      </c>
      <c r="C302" s="67" t="s">
        <v>774</v>
      </c>
      <c r="D302" s="68">
        <v>3</v>
      </c>
      <c r="E302" s="69"/>
      <c r="F302" s="70">
        <v>40</v>
      </c>
      <c r="G302" s="67"/>
      <c r="H302" s="71"/>
      <c r="I302" s="72"/>
      <c r="J302" s="72"/>
      <c r="K302" s="35" t="s">
        <v>65</v>
      </c>
      <c r="L302" s="80">
        <v>302</v>
      </c>
      <c r="M302" s="80"/>
      <c r="N302" s="74"/>
      <c r="O302" s="82" t="s">
        <v>776</v>
      </c>
      <c r="P302" s="82" t="s">
        <v>197</v>
      </c>
      <c r="Q302" s="82" t="s">
        <v>1071</v>
      </c>
      <c r="R302" s="82" t="s">
        <v>521</v>
      </c>
      <c r="S302" s="82" t="s">
        <v>1594</v>
      </c>
      <c r="T302" s="84" t="str">
        <f>HYPERLINK("http://www.youtube.com/channel/UCwe--ARnPExOnY_Vp2L_7wQ")</f>
        <v>http://www.youtube.com/channel/UCwe--ARnPExOnY_Vp2L_7wQ</v>
      </c>
      <c r="U302" s="82"/>
      <c r="V302" s="82" t="s">
        <v>1833</v>
      </c>
      <c r="W302" s="84" t="str">
        <f>HYPERLINK("https://www.youtube.com/watch?v=w6BMPN07BOM")</f>
        <v>https://www.youtube.com/watch?v=w6BMPN07BOM</v>
      </c>
      <c r="X302" s="82" t="s">
        <v>1857</v>
      </c>
      <c r="Y302" s="82">
        <v>0</v>
      </c>
      <c r="Z302" s="86">
        <v>44830.05861111111</v>
      </c>
      <c r="AA302" s="86">
        <v>44830.05861111111</v>
      </c>
      <c r="AB302" s="82"/>
      <c r="AC302" s="82"/>
      <c r="AD302" s="82"/>
      <c r="AE302" s="82">
        <v>1</v>
      </c>
      <c r="AF302" s="81">
        <v>2</v>
      </c>
      <c r="AG302" s="81">
        <v>2</v>
      </c>
      <c r="AH302" s="49">
        <v>1</v>
      </c>
      <c r="AI302" s="110">
        <v>3.5714285714285716</v>
      </c>
      <c r="AJ302" s="49">
        <v>0</v>
      </c>
      <c r="AK302" s="50">
        <v>0</v>
      </c>
      <c r="AL302" s="49">
        <v>0</v>
      </c>
      <c r="AM302" s="50">
        <v>0</v>
      </c>
      <c r="AN302" s="49">
        <v>10</v>
      </c>
      <c r="AO302" s="110">
        <v>35.714285714285715</v>
      </c>
      <c r="AP302" s="49">
        <v>28</v>
      </c>
    </row>
    <row r="303" spans="1:42" ht="15">
      <c r="A303" s="66" t="s">
        <v>522</v>
      </c>
      <c r="B303" s="66" t="s">
        <v>758</v>
      </c>
      <c r="C303" s="67" t="s">
        <v>774</v>
      </c>
      <c r="D303" s="68">
        <v>3</v>
      </c>
      <c r="E303" s="69"/>
      <c r="F303" s="70">
        <v>40</v>
      </c>
      <c r="G303" s="67"/>
      <c r="H303" s="71"/>
      <c r="I303" s="72"/>
      <c r="J303" s="72"/>
      <c r="K303" s="35" t="s">
        <v>65</v>
      </c>
      <c r="L303" s="80">
        <v>303</v>
      </c>
      <c r="M303" s="80"/>
      <c r="N303" s="74"/>
      <c r="O303" s="82" t="s">
        <v>776</v>
      </c>
      <c r="P303" s="82" t="s">
        <v>197</v>
      </c>
      <c r="Q303" s="82" t="s">
        <v>1072</v>
      </c>
      <c r="R303" s="82" t="s">
        <v>522</v>
      </c>
      <c r="S303" s="82" t="s">
        <v>1595</v>
      </c>
      <c r="T303" s="84" t="str">
        <f>HYPERLINK("http://www.youtube.com/channel/UC2XCZCn1_IKgmCS0pBoRiqQ")</f>
        <v>http://www.youtube.com/channel/UC2XCZCn1_IKgmCS0pBoRiqQ</v>
      </c>
      <c r="U303" s="82"/>
      <c r="V303" s="82" t="s">
        <v>1833</v>
      </c>
      <c r="W303" s="84" t="str">
        <f>HYPERLINK("https://www.youtube.com/watch?v=w6BMPN07BOM")</f>
        <v>https://www.youtube.com/watch?v=w6BMPN07BOM</v>
      </c>
      <c r="X303" s="82" t="s">
        <v>1857</v>
      </c>
      <c r="Y303" s="82">
        <v>7</v>
      </c>
      <c r="Z303" s="86">
        <v>44830.060069444444</v>
      </c>
      <c r="AA303" s="86">
        <v>44830.060069444444</v>
      </c>
      <c r="AB303" s="82"/>
      <c r="AC303" s="82"/>
      <c r="AD303" s="82"/>
      <c r="AE303" s="82">
        <v>1</v>
      </c>
      <c r="AF303" s="81">
        <v>2</v>
      </c>
      <c r="AG303" s="81">
        <v>2</v>
      </c>
      <c r="AH303" s="49">
        <v>3</v>
      </c>
      <c r="AI303" s="110">
        <v>7.142857142857143</v>
      </c>
      <c r="AJ303" s="49">
        <v>2</v>
      </c>
      <c r="AK303" s="110">
        <v>4.761904761904762</v>
      </c>
      <c r="AL303" s="49">
        <v>0</v>
      </c>
      <c r="AM303" s="50">
        <v>0</v>
      </c>
      <c r="AN303" s="49">
        <v>15</v>
      </c>
      <c r="AO303" s="110">
        <v>35.714285714285715</v>
      </c>
      <c r="AP303" s="49">
        <v>42</v>
      </c>
    </row>
    <row r="304" spans="1:42" ht="15">
      <c r="A304" s="66" t="s">
        <v>523</v>
      </c>
      <c r="B304" s="66" t="s">
        <v>758</v>
      </c>
      <c r="C304" s="67" t="s">
        <v>774</v>
      </c>
      <c r="D304" s="68">
        <v>3</v>
      </c>
      <c r="E304" s="69"/>
      <c r="F304" s="70">
        <v>40</v>
      </c>
      <c r="G304" s="67"/>
      <c r="H304" s="71"/>
      <c r="I304" s="72"/>
      <c r="J304" s="72"/>
      <c r="K304" s="35" t="s">
        <v>65</v>
      </c>
      <c r="L304" s="80">
        <v>304</v>
      </c>
      <c r="M304" s="80"/>
      <c r="N304" s="74"/>
      <c r="O304" s="82" t="s">
        <v>776</v>
      </c>
      <c r="P304" s="82" t="s">
        <v>197</v>
      </c>
      <c r="Q304" s="82" t="s">
        <v>1073</v>
      </c>
      <c r="R304" s="82" t="s">
        <v>523</v>
      </c>
      <c r="S304" s="82" t="s">
        <v>1596</v>
      </c>
      <c r="T304" s="84" t="str">
        <f>HYPERLINK("http://www.youtube.com/channel/UCPlu0BIOe0bLj6FHhmNTfmg")</f>
        <v>http://www.youtube.com/channel/UCPlu0BIOe0bLj6FHhmNTfmg</v>
      </c>
      <c r="U304" s="82"/>
      <c r="V304" s="82" t="s">
        <v>1833</v>
      </c>
      <c r="W304" s="84" t="str">
        <f>HYPERLINK("https://www.youtube.com/watch?v=w6BMPN07BOM")</f>
        <v>https://www.youtube.com/watch?v=w6BMPN07BOM</v>
      </c>
      <c r="X304" s="82" t="s">
        <v>1857</v>
      </c>
      <c r="Y304" s="82">
        <v>0</v>
      </c>
      <c r="Z304" s="86">
        <v>44830.103055555555</v>
      </c>
      <c r="AA304" s="86">
        <v>44830.103055555555</v>
      </c>
      <c r="AB304" s="82"/>
      <c r="AC304" s="82"/>
      <c r="AD304" s="82"/>
      <c r="AE304" s="82">
        <v>1</v>
      </c>
      <c r="AF304" s="81">
        <v>2</v>
      </c>
      <c r="AG304" s="81">
        <v>2</v>
      </c>
      <c r="AH304" s="49">
        <v>3</v>
      </c>
      <c r="AI304" s="50">
        <v>20</v>
      </c>
      <c r="AJ304" s="49">
        <v>1</v>
      </c>
      <c r="AK304" s="110">
        <v>6.666666666666667</v>
      </c>
      <c r="AL304" s="49">
        <v>0</v>
      </c>
      <c r="AM304" s="50">
        <v>0</v>
      </c>
      <c r="AN304" s="49">
        <v>3</v>
      </c>
      <c r="AO304" s="50">
        <v>20</v>
      </c>
      <c r="AP304" s="49">
        <v>15</v>
      </c>
    </row>
    <row r="305" spans="1:42" ht="15">
      <c r="A305" s="66" t="s">
        <v>524</v>
      </c>
      <c r="B305" s="66" t="s">
        <v>758</v>
      </c>
      <c r="C305" s="67" t="s">
        <v>774</v>
      </c>
      <c r="D305" s="68">
        <v>3</v>
      </c>
      <c r="E305" s="69"/>
      <c r="F305" s="70">
        <v>40</v>
      </c>
      <c r="G305" s="67"/>
      <c r="H305" s="71"/>
      <c r="I305" s="72"/>
      <c r="J305" s="72"/>
      <c r="K305" s="35" t="s">
        <v>65</v>
      </c>
      <c r="L305" s="80">
        <v>305</v>
      </c>
      <c r="M305" s="80"/>
      <c r="N305" s="74"/>
      <c r="O305" s="82" t="s">
        <v>776</v>
      </c>
      <c r="P305" s="82" t="s">
        <v>197</v>
      </c>
      <c r="Q305" s="82" t="s">
        <v>1074</v>
      </c>
      <c r="R305" s="82" t="s">
        <v>524</v>
      </c>
      <c r="S305" s="82" t="s">
        <v>1597</v>
      </c>
      <c r="T305" s="84" t="str">
        <f>HYPERLINK("http://www.youtube.com/channel/UCIXfPkm15RnXl0xsXHUCwUA")</f>
        <v>http://www.youtube.com/channel/UCIXfPkm15RnXl0xsXHUCwUA</v>
      </c>
      <c r="U305" s="82"/>
      <c r="V305" s="82" t="s">
        <v>1833</v>
      </c>
      <c r="W305" s="84" t="str">
        <f>HYPERLINK("https://www.youtube.com/watch?v=w6BMPN07BOM")</f>
        <v>https://www.youtube.com/watch?v=w6BMPN07BOM</v>
      </c>
      <c r="X305" s="82" t="s">
        <v>1857</v>
      </c>
      <c r="Y305" s="82">
        <v>0</v>
      </c>
      <c r="Z305" s="86">
        <v>44830.13684027778</v>
      </c>
      <c r="AA305" s="86">
        <v>44830.13684027778</v>
      </c>
      <c r="AB305" s="82"/>
      <c r="AC305" s="82"/>
      <c r="AD305" s="82"/>
      <c r="AE305" s="82">
        <v>1</v>
      </c>
      <c r="AF305" s="81">
        <v>2</v>
      </c>
      <c r="AG305" s="81">
        <v>2</v>
      </c>
      <c r="AH305" s="49">
        <v>1</v>
      </c>
      <c r="AI305" s="110">
        <v>5.2631578947368425</v>
      </c>
      <c r="AJ305" s="49">
        <v>1</v>
      </c>
      <c r="AK305" s="110">
        <v>5.2631578947368425</v>
      </c>
      <c r="AL305" s="49">
        <v>0</v>
      </c>
      <c r="AM305" s="50">
        <v>0</v>
      </c>
      <c r="AN305" s="49">
        <v>6</v>
      </c>
      <c r="AO305" s="110">
        <v>31.57894736842105</v>
      </c>
      <c r="AP305" s="49">
        <v>19</v>
      </c>
    </row>
    <row r="306" spans="1:42" ht="15">
      <c r="A306" s="66" t="s">
        <v>525</v>
      </c>
      <c r="B306" s="66" t="s">
        <v>758</v>
      </c>
      <c r="C306" s="67" t="s">
        <v>774</v>
      </c>
      <c r="D306" s="68">
        <v>3</v>
      </c>
      <c r="E306" s="69"/>
      <c r="F306" s="70">
        <v>40</v>
      </c>
      <c r="G306" s="67"/>
      <c r="H306" s="71"/>
      <c r="I306" s="72"/>
      <c r="J306" s="72"/>
      <c r="K306" s="35" t="s">
        <v>65</v>
      </c>
      <c r="L306" s="80">
        <v>306</v>
      </c>
      <c r="M306" s="80"/>
      <c r="N306" s="74"/>
      <c r="O306" s="82" t="s">
        <v>776</v>
      </c>
      <c r="P306" s="82" t="s">
        <v>197</v>
      </c>
      <c r="Q306" s="82" t="s">
        <v>1075</v>
      </c>
      <c r="R306" s="82" t="s">
        <v>525</v>
      </c>
      <c r="S306" s="82" t="s">
        <v>1598</v>
      </c>
      <c r="T306" s="84" t="str">
        <f>HYPERLINK("http://www.youtube.com/channel/UC0x0VgqRbjvhrXwv9Rok8Ug")</f>
        <v>http://www.youtube.com/channel/UC0x0VgqRbjvhrXwv9Rok8Ug</v>
      </c>
      <c r="U306" s="82"/>
      <c r="V306" s="82" t="s">
        <v>1833</v>
      </c>
      <c r="W306" s="84" t="str">
        <f>HYPERLINK("https://www.youtube.com/watch?v=w6BMPN07BOM")</f>
        <v>https://www.youtube.com/watch?v=w6BMPN07BOM</v>
      </c>
      <c r="X306" s="82" t="s">
        <v>1857</v>
      </c>
      <c r="Y306" s="82">
        <v>0</v>
      </c>
      <c r="Z306" s="86">
        <v>44830.1499537037</v>
      </c>
      <c r="AA306" s="86">
        <v>44830.1499537037</v>
      </c>
      <c r="AB306" s="82"/>
      <c r="AC306" s="82"/>
      <c r="AD306" s="82"/>
      <c r="AE306" s="82">
        <v>1</v>
      </c>
      <c r="AF306" s="81">
        <v>2</v>
      </c>
      <c r="AG306" s="81">
        <v>2</v>
      </c>
      <c r="AH306" s="49">
        <v>1</v>
      </c>
      <c r="AI306" s="110">
        <v>8.333333333333334</v>
      </c>
      <c r="AJ306" s="49">
        <v>0</v>
      </c>
      <c r="AK306" s="50">
        <v>0</v>
      </c>
      <c r="AL306" s="49">
        <v>0</v>
      </c>
      <c r="AM306" s="50">
        <v>0</v>
      </c>
      <c r="AN306" s="49">
        <v>3</v>
      </c>
      <c r="AO306" s="50">
        <v>25</v>
      </c>
      <c r="AP306" s="49">
        <v>12</v>
      </c>
    </row>
    <row r="307" spans="1:42" ht="15">
      <c r="A307" s="66" t="s">
        <v>526</v>
      </c>
      <c r="B307" s="66" t="s">
        <v>758</v>
      </c>
      <c r="C307" s="67" t="s">
        <v>774</v>
      </c>
      <c r="D307" s="68">
        <v>3</v>
      </c>
      <c r="E307" s="69"/>
      <c r="F307" s="70">
        <v>40</v>
      </c>
      <c r="G307" s="67"/>
      <c r="H307" s="71"/>
      <c r="I307" s="72"/>
      <c r="J307" s="72"/>
      <c r="K307" s="35" t="s">
        <v>65</v>
      </c>
      <c r="L307" s="80">
        <v>307</v>
      </c>
      <c r="M307" s="80"/>
      <c r="N307" s="74"/>
      <c r="O307" s="82" t="s">
        <v>776</v>
      </c>
      <c r="P307" s="82" t="s">
        <v>197</v>
      </c>
      <c r="Q307" s="82" t="s">
        <v>1076</v>
      </c>
      <c r="R307" s="82" t="s">
        <v>526</v>
      </c>
      <c r="S307" s="82" t="s">
        <v>1599</v>
      </c>
      <c r="T307" s="84" t="str">
        <f>HYPERLINK("http://www.youtube.com/channel/UC3An_2PVJi6_m53_Vy9CXQg")</f>
        <v>http://www.youtube.com/channel/UC3An_2PVJi6_m53_Vy9CXQg</v>
      </c>
      <c r="U307" s="82"/>
      <c r="V307" s="82" t="s">
        <v>1833</v>
      </c>
      <c r="W307" s="84" t="str">
        <f>HYPERLINK("https://www.youtube.com/watch?v=w6BMPN07BOM")</f>
        <v>https://www.youtube.com/watch?v=w6BMPN07BOM</v>
      </c>
      <c r="X307" s="82" t="s">
        <v>1857</v>
      </c>
      <c r="Y307" s="82">
        <v>2</v>
      </c>
      <c r="Z307" s="86">
        <v>44830.16688657407</v>
      </c>
      <c r="AA307" s="86">
        <v>44830.16688657407</v>
      </c>
      <c r="AB307" s="82"/>
      <c r="AC307" s="82"/>
      <c r="AD307" s="82"/>
      <c r="AE307" s="82">
        <v>1</v>
      </c>
      <c r="AF307" s="81">
        <v>2</v>
      </c>
      <c r="AG307" s="81">
        <v>2</v>
      </c>
      <c r="AH307" s="49">
        <v>4</v>
      </c>
      <c r="AI307" s="110">
        <v>11.764705882352942</v>
      </c>
      <c r="AJ307" s="49">
        <v>0</v>
      </c>
      <c r="AK307" s="50">
        <v>0</v>
      </c>
      <c r="AL307" s="49">
        <v>0</v>
      </c>
      <c r="AM307" s="50">
        <v>0</v>
      </c>
      <c r="AN307" s="49">
        <v>8</v>
      </c>
      <c r="AO307" s="110">
        <v>23.529411764705884</v>
      </c>
      <c r="AP307" s="49">
        <v>34</v>
      </c>
    </row>
    <row r="308" spans="1:42" ht="15">
      <c r="A308" s="66" t="s">
        <v>527</v>
      </c>
      <c r="B308" s="66" t="s">
        <v>758</v>
      </c>
      <c r="C308" s="67" t="s">
        <v>774</v>
      </c>
      <c r="D308" s="68">
        <v>3</v>
      </c>
      <c r="E308" s="69"/>
      <c r="F308" s="70">
        <v>40</v>
      </c>
      <c r="G308" s="67"/>
      <c r="H308" s="71"/>
      <c r="I308" s="72"/>
      <c r="J308" s="72"/>
      <c r="K308" s="35" t="s">
        <v>65</v>
      </c>
      <c r="L308" s="80">
        <v>308</v>
      </c>
      <c r="M308" s="80"/>
      <c r="N308" s="74"/>
      <c r="O308" s="82" t="s">
        <v>776</v>
      </c>
      <c r="P308" s="82" t="s">
        <v>197</v>
      </c>
      <c r="Q308" s="82" t="s">
        <v>1077</v>
      </c>
      <c r="R308" s="82" t="s">
        <v>527</v>
      </c>
      <c r="S308" s="82" t="s">
        <v>1600</v>
      </c>
      <c r="T308" s="84" t="str">
        <f>HYPERLINK("http://www.youtube.com/channel/UC1RjMuYdlHLhY5W1g-VxiIw")</f>
        <v>http://www.youtube.com/channel/UC1RjMuYdlHLhY5W1g-VxiIw</v>
      </c>
      <c r="U308" s="82"/>
      <c r="V308" s="82" t="s">
        <v>1833</v>
      </c>
      <c r="W308" s="84" t="str">
        <f>HYPERLINK("https://www.youtube.com/watch?v=w6BMPN07BOM")</f>
        <v>https://www.youtube.com/watch?v=w6BMPN07BOM</v>
      </c>
      <c r="X308" s="82" t="s">
        <v>1857</v>
      </c>
      <c r="Y308" s="82">
        <v>0</v>
      </c>
      <c r="Z308" s="86">
        <v>44830.1684375</v>
      </c>
      <c r="AA308" s="86">
        <v>44830.1684375</v>
      </c>
      <c r="AB308" s="82"/>
      <c r="AC308" s="82"/>
      <c r="AD308" s="82"/>
      <c r="AE308" s="82">
        <v>1</v>
      </c>
      <c r="AF308" s="81">
        <v>2</v>
      </c>
      <c r="AG308" s="81">
        <v>2</v>
      </c>
      <c r="AH308" s="49">
        <v>1</v>
      </c>
      <c r="AI308" s="110">
        <v>7.142857142857143</v>
      </c>
      <c r="AJ308" s="49">
        <v>0</v>
      </c>
      <c r="AK308" s="50">
        <v>0</v>
      </c>
      <c r="AL308" s="49">
        <v>0</v>
      </c>
      <c r="AM308" s="50">
        <v>0</v>
      </c>
      <c r="AN308" s="49">
        <v>6</v>
      </c>
      <c r="AO308" s="110">
        <v>42.857142857142854</v>
      </c>
      <c r="AP308" s="49">
        <v>14</v>
      </c>
    </row>
    <row r="309" spans="1:42" ht="15">
      <c r="A309" s="66" t="s">
        <v>528</v>
      </c>
      <c r="B309" s="66" t="s">
        <v>758</v>
      </c>
      <c r="C309" s="67" t="s">
        <v>774</v>
      </c>
      <c r="D309" s="68">
        <v>3</v>
      </c>
      <c r="E309" s="69"/>
      <c r="F309" s="70">
        <v>40</v>
      </c>
      <c r="G309" s="67"/>
      <c r="H309" s="71"/>
      <c r="I309" s="72"/>
      <c r="J309" s="72"/>
      <c r="K309" s="35" t="s">
        <v>65</v>
      </c>
      <c r="L309" s="80">
        <v>309</v>
      </c>
      <c r="M309" s="80"/>
      <c r="N309" s="74"/>
      <c r="O309" s="82" t="s">
        <v>776</v>
      </c>
      <c r="P309" s="82" t="s">
        <v>197</v>
      </c>
      <c r="Q309" s="82" t="s">
        <v>1078</v>
      </c>
      <c r="R309" s="82" t="s">
        <v>528</v>
      </c>
      <c r="S309" s="82" t="s">
        <v>1601</v>
      </c>
      <c r="T309" s="84" t="str">
        <f>HYPERLINK("http://www.youtube.com/channel/UChBdqGo4sPZ6AFTlwKNcZtQ")</f>
        <v>http://www.youtube.com/channel/UChBdqGo4sPZ6AFTlwKNcZtQ</v>
      </c>
      <c r="U309" s="82"/>
      <c r="V309" s="82" t="s">
        <v>1833</v>
      </c>
      <c r="W309" s="84" t="str">
        <f>HYPERLINK("https://www.youtube.com/watch?v=w6BMPN07BOM")</f>
        <v>https://www.youtube.com/watch?v=w6BMPN07BOM</v>
      </c>
      <c r="X309" s="82" t="s">
        <v>1857</v>
      </c>
      <c r="Y309" s="82">
        <v>0</v>
      </c>
      <c r="Z309" s="86">
        <v>44830.1691087963</v>
      </c>
      <c r="AA309" s="86">
        <v>44830.1691087963</v>
      </c>
      <c r="AB309" s="82"/>
      <c r="AC309" s="82"/>
      <c r="AD309" s="82"/>
      <c r="AE309" s="82">
        <v>1</v>
      </c>
      <c r="AF309" s="81">
        <v>2</v>
      </c>
      <c r="AG309" s="81">
        <v>2</v>
      </c>
      <c r="AH309" s="49">
        <v>2</v>
      </c>
      <c r="AI309" s="110">
        <v>4.081632653061225</v>
      </c>
      <c r="AJ309" s="49">
        <v>1</v>
      </c>
      <c r="AK309" s="110">
        <v>2.0408163265306123</v>
      </c>
      <c r="AL309" s="49">
        <v>0</v>
      </c>
      <c r="AM309" s="50">
        <v>0</v>
      </c>
      <c r="AN309" s="49">
        <v>13</v>
      </c>
      <c r="AO309" s="110">
        <v>26.53061224489796</v>
      </c>
      <c r="AP309" s="49">
        <v>49</v>
      </c>
    </row>
    <row r="310" spans="1:42" ht="15">
      <c r="A310" s="66" t="s">
        <v>529</v>
      </c>
      <c r="B310" s="66" t="s">
        <v>758</v>
      </c>
      <c r="C310" s="67" t="s">
        <v>774</v>
      </c>
      <c r="D310" s="68">
        <v>3</v>
      </c>
      <c r="E310" s="69"/>
      <c r="F310" s="70">
        <v>40</v>
      </c>
      <c r="G310" s="67"/>
      <c r="H310" s="71"/>
      <c r="I310" s="72"/>
      <c r="J310" s="72"/>
      <c r="K310" s="35" t="s">
        <v>65</v>
      </c>
      <c r="L310" s="80">
        <v>310</v>
      </c>
      <c r="M310" s="80"/>
      <c r="N310" s="74"/>
      <c r="O310" s="82" t="s">
        <v>776</v>
      </c>
      <c r="P310" s="82" t="s">
        <v>197</v>
      </c>
      <c r="Q310" s="82" t="s">
        <v>1079</v>
      </c>
      <c r="R310" s="82" t="s">
        <v>529</v>
      </c>
      <c r="S310" s="82" t="s">
        <v>1602</v>
      </c>
      <c r="T310" s="84" t="str">
        <f>HYPERLINK("http://www.youtube.com/channel/UCDdn22Yp255BtuMhXUI4Z8g")</f>
        <v>http://www.youtube.com/channel/UCDdn22Yp255BtuMhXUI4Z8g</v>
      </c>
      <c r="U310" s="82"/>
      <c r="V310" s="82" t="s">
        <v>1833</v>
      </c>
      <c r="W310" s="84" t="str">
        <f>HYPERLINK("https://www.youtube.com/watch?v=w6BMPN07BOM")</f>
        <v>https://www.youtube.com/watch?v=w6BMPN07BOM</v>
      </c>
      <c r="X310" s="82" t="s">
        <v>1857</v>
      </c>
      <c r="Y310" s="82">
        <v>0</v>
      </c>
      <c r="Z310" s="86">
        <v>44830.20222222222</v>
      </c>
      <c r="AA310" s="86">
        <v>44830.20222222222</v>
      </c>
      <c r="AB310" s="82"/>
      <c r="AC310" s="82"/>
      <c r="AD310" s="82"/>
      <c r="AE310" s="82">
        <v>1</v>
      </c>
      <c r="AF310" s="81">
        <v>2</v>
      </c>
      <c r="AG310" s="81">
        <v>2</v>
      </c>
      <c r="AH310" s="49">
        <v>0</v>
      </c>
      <c r="AI310" s="50">
        <v>0</v>
      </c>
      <c r="AJ310" s="49">
        <v>1</v>
      </c>
      <c r="AK310" s="50">
        <v>20</v>
      </c>
      <c r="AL310" s="49">
        <v>0</v>
      </c>
      <c r="AM310" s="50">
        <v>0</v>
      </c>
      <c r="AN310" s="49">
        <v>3</v>
      </c>
      <c r="AO310" s="50">
        <v>60</v>
      </c>
      <c r="AP310" s="49">
        <v>5</v>
      </c>
    </row>
    <row r="311" spans="1:42" ht="15">
      <c r="A311" s="66" t="s">
        <v>530</v>
      </c>
      <c r="B311" s="66" t="s">
        <v>758</v>
      </c>
      <c r="C311" s="67" t="s">
        <v>774</v>
      </c>
      <c r="D311" s="68">
        <v>3</v>
      </c>
      <c r="E311" s="69"/>
      <c r="F311" s="70">
        <v>40</v>
      </c>
      <c r="G311" s="67"/>
      <c r="H311" s="71"/>
      <c r="I311" s="72"/>
      <c r="J311" s="72"/>
      <c r="K311" s="35" t="s">
        <v>65</v>
      </c>
      <c r="L311" s="80">
        <v>311</v>
      </c>
      <c r="M311" s="80"/>
      <c r="N311" s="74"/>
      <c r="O311" s="82" t="s">
        <v>776</v>
      </c>
      <c r="P311" s="82" t="s">
        <v>197</v>
      </c>
      <c r="Q311" s="82" t="s">
        <v>1080</v>
      </c>
      <c r="R311" s="82" t="s">
        <v>530</v>
      </c>
      <c r="S311" s="82" t="s">
        <v>1603</v>
      </c>
      <c r="T311" s="84" t="str">
        <f>HYPERLINK("http://www.youtube.com/channel/UCn5WjdukLtDvVWFuGt60utA")</f>
        <v>http://www.youtube.com/channel/UCn5WjdukLtDvVWFuGt60utA</v>
      </c>
      <c r="U311" s="82"/>
      <c r="V311" s="82" t="s">
        <v>1833</v>
      </c>
      <c r="W311" s="84" t="str">
        <f>HYPERLINK("https://www.youtube.com/watch?v=w6BMPN07BOM")</f>
        <v>https://www.youtube.com/watch?v=w6BMPN07BOM</v>
      </c>
      <c r="X311" s="82" t="s">
        <v>1857</v>
      </c>
      <c r="Y311" s="82">
        <v>1</v>
      </c>
      <c r="Z311" s="86">
        <v>44830.271574074075</v>
      </c>
      <c r="AA311" s="86">
        <v>44830.271574074075</v>
      </c>
      <c r="AB311" s="82"/>
      <c r="AC311" s="82"/>
      <c r="AD311" s="82"/>
      <c r="AE311" s="82">
        <v>1</v>
      </c>
      <c r="AF311" s="81">
        <v>2</v>
      </c>
      <c r="AG311" s="81">
        <v>2</v>
      </c>
      <c r="AH311" s="49">
        <v>0</v>
      </c>
      <c r="AI311" s="50">
        <v>0</v>
      </c>
      <c r="AJ311" s="49">
        <v>1</v>
      </c>
      <c r="AK311" s="110">
        <v>3.8461538461538463</v>
      </c>
      <c r="AL311" s="49">
        <v>0</v>
      </c>
      <c r="AM311" s="50">
        <v>0</v>
      </c>
      <c r="AN311" s="49">
        <v>7</v>
      </c>
      <c r="AO311" s="110">
        <v>26.923076923076923</v>
      </c>
      <c r="AP311" s="49">
        <v>26</v>
      </c>
    </row>
    <row r="312" spans="1:42" ht="15">
      <c r="A312" s="66" t="s">
        <v>531</v>
      </c>
      <c r="B312" s="66" t="s">
        <v>758</v>
      </c>
      <c r="C312" s="67" t="s">
        <v>774</v>
      </c>
      <c r="D312" s="68">
        <v>3</v>
      </c>
      <c r="E312" s="69"/>
      <c r="F312" s="70">
        <v>40</v>
      </c>
      <c r="G312" s="67"/>
      <c r="H312" s="71"/>
      <c r="I312" s="72"/>
      <c r="J312" s="72"/>
      <c r="K312" s="35" t="s">
        <v>65</v>
      </c>
      <c r="L312" s="80">
        <v>312</v>
      </c>
      <c r="M312" s="80"/>
      <c r="N312" s="74"/>
      <c r="O312" s="82" t="s">
        <v>776</v>
      </c>
      <c r="P312" s="82" t="s">
        <v>197</v>
      </c>
      <c r="Q312" s="82" t="s">
        <v>1081</v>
      </c>
      <c r="R312" s="82" t="s">
        <v>531</v>
      </c>
      <c r="S312" s="82" t="s">
        <v>1604</v>
      </c>
      <c r="T312" s="84" t="str">
        <f>HYPERLINK("http://www.youtube.com/channel/UCeny1kXHNej3GZK8_7Kph6g")</f>
        <v>http://www.youtube.com/channel/UCeny1kXHNej3GZK8_7Kph6g</v>
      </c>
      <c r="U312" s="82"/>
      <c r="V312" s="82" t="s">
        <v>1833</v>
      </c>
      <c r="W312" s="84" t="str">
        <f>HYPERLINK("https://www.youtube.com/watch?v=w6BMPN07BOM")</f>
        <v>https://www.youtube.com/watch?v=w6BMPN07BOM</v>
      </c>
      <c r="X312" s="82" t="s">
        <v>1857</v>
      </c>
      <c r="Y312" s="82">
        <v>0</v>
      </c>
      <c r="Z312" s="86">
        <v>44830.34722222222</v>
      </c>
      <c r="AA312" s="86">
        <v>44830.34722222222</v>
      </c>
      <c r="AB312" s="82"/>
      <c r="AC312" s="82"/>
      <c r="AD312" s="82"/>
      <c r="AE312" s="82">
        <v>1</v>
      </c>
      <c r="AF312" s="81">
        <v>2</v>
      </c>
      <c r="AG312" s="81">
        <v>2</v>
      </c>
      <c r="AH312" s="49">
        <v>1</v>
      </c>
      <c r="AI312" s="110">
        <v>2.272727272727273</v>
      </c>
      <c r="AJ312" s="49">
        <v>5</v>
      </c>
      <c r="AK312" s="110">
        <v>11.363636363636363</v>
      </c>
      <c r="AL312" s="49">
        <v>0</v>
      </c>
      <c r="AM312" s="50">
        <v>0</v>
      </c>
      <c r="AN312" s="49">
        <v>17</v>
      </c>
      <c r="AO312" s="110">
        <v>38.63636363636363</v>
      </c>
      <c r="AP312" s="49">
        <v>44</v>
      </c>
    </row>
    <row r="313" spans="1:42" ht="15">
      <c r="A313" s="66" t="s">
        <v>532</v>
      </c>
      <c r="B313" s="66" t="s">
        <v>758</v>
      </c>
      <c r="C313" s="67" t="s">
        <v>774</v>
      </c>
      <c r="D313" s="68">
        <v>3</v>
      </c>
      <c r="E313" s="69"/>
      <c r="F313" s="70">
        <v>40</v>
      </c>
      <c r="G313" s="67"/>
      <c r="H313" s="71"/>
      <c r="I313" s="72"/>
      <c r="J313" s="72"/>
      <c r="K313" s="35" t="s">
        <v>65</v>
      </c>
      <c r="L313" s="80">
        <v>313</v>
      </c>
      <c r="M313" s="80"/>
      <c r="N313" s="74"/>
      <c r="O313" s="82" t="s">
        <v>776</v>
      </c>
      <c r="P313" s="82" t="s">
        <v>197</v>
      </c>
      <c r="Q313" s="82" t="s">
        <v>1082</v>
      </c>
      <c r="R313" s="82" t="s">
        <v>532</v>
      </c>
      <c r="S313" s="82" t="s">
        <v>1605</v>
      </c>
      <c r="T313" s="84" t="str">
        <f>HYPERLINK("http://www.youtube.com/channel/UCY_f8CubB1vYpCO0uinoshg")</f>
        <v>http://www.youtube.com/channel/UCY_f8CubB1vYpCO0uinoshg</v>
      </c>
      <c r="U313" s="82"/>
      <c r="V313" s="82" t="s">
        <v>1833</v>
      </c>
      <c r="W313" s="84" t="str">
        <f>HYPERLINK("https://www.youtube.com/watch?v=w6BMPN07BOM")</f>
        <v>https://www.youtube.com/watch?v=w6BMPN07BOM</v>
      </c>
      <c r="X313" s="82" t="s">
        <v>1857</v>
      </c>
      <c r="Y313" s="82">
        <v>0</v>
      </c>
      <c r="Z313" s="86">
        <v>44830.34899305556</v>
      </c>
      <c r="AA313" s="86">
        <v>44830.34899305556</v>
      </c>
      <c r="AB313" s="82"/>
      <c r="AC313" s="82"/>
      <c r="AD313" s="82"/>
      <c r="AE313" s="82">
        <v>1</v>
      </c>
      <c r="AF313" s="81">
        <v>2</v>
      </c>
      <c r="AG313" s="81">
        <v>2</v>
      </c>
      <c r="AH313" s="49">
        <v>1</v>
      </c>
      <c r="AI313" s="50">
        <v>12.5</v>
      </c>
      <c r="AJ313" s="49">
        <v>0</v>
      </c>
      <c r="AK313" s="50">
        <v>0</v>
      </c>
      <c r="AL313" s="49">
        <v>0</v>
      </c>
      <c r="AM313" s="50">
        <v>0</v>
      </c>
      <c r="AN313" s="49">
        <v>1</v>
      </c>
      <c r="AO313" s="50">
        <v>12.5</v>
      </c>
      <c r="AP313" s="49">
        <v>8</v>
      </c>
    </row>
    <row r="314" spans="1:42" ht="15">
      <c r="A314" s="66" t="s">
        <v>533</v>
      </c>
      <c r="B314" s="66" t="s">
        <v>758</v>
      </c>
      <c r="C314" s="67" t="s">
        <v>774</v>
      </c>
      <c r="D314" s="68">
        <v>3</v>
      </c>
      <c r="E314" s="69"/>
      <c r="F314" s="70">
        <v>40</v>
      </c>
      <c r="G314" s="67"/>
      <c r="H314" s="71"/>
      <c r="I314" s="72"/>
      <c r="J314" s="72"/>
      <c r="K314" s="35" t="s">
        <v>65</v>
      </c>
      <c r="L314" s="80">
        <v>314</v>
      </c>
      <c r="M314" s="80"/>
      <c r="N314" s="74"/>
      <c r="O314" s="82" t="s">
        <v>776</v>
      </c>
      <c r="P314" s="82" t="s">
        <v>197</v>
      </c>
      <c r="Q314" s="82" t="s">
        <v>1083</v>
      </c>
      <c r="R314" s="82" t="s">
        <v>533</v>
      </c>
      <c r="S314" s="82" t="s">
        <v>1606</v>
      </c>
      <c r="T314" s="84" t="str">
        <f>HYPERLINK("http://www.youtube.com/channel/UChTneikb8bEyKX42QLXaC6w")</f>
        <v>http://www.youtube.com/channel/UChTneikb8bEyKX42QLXaC6w</v>
      </c>
      <c r="U314" s="82"/>
      <c r="V314" s="82" t="s">
        <v>1833</v>
      </c>
      <c r="W314" s="84" t="str">
        <f>HYPERLINK("https://www.youtube.com/watch?v=w6BMPN07BOM")</f>
        <v>https://www.youtube.com/watch?v=w6BMPN07BOM</v>
      </c>
      <c r="X314" s="82" t="s">
        <v>1857</v>
      </c>
      <c r="Y314" s="82">
        <v>0</v>
      </c>
      <c r="Z314" s="86">
        <v>44830.360451388886</v>
      </c>
      <c r="AA314" s="86">
        <v>44830.360451388886</v>
      </c>
      <c r="AB314" s="82"/>
      <c r="AC314" s="82"/>
      <c r="AD314" s="82"/>
      <c r="AE314" s="82">
        <v>1</v>
      </c>
      <c r="AF314" s="81">
        <v>2</v>
      </c>
      <c r="AG314" s="81">
        <v>2</v>
      </c>
      <c r="AH314" s="49">
        <v>10</v>
      </c>
      <c r="AI314" s="110">
        <v>7.936507936507937</v>
      </c>
      <c r="AJ314" s="49">
        <v>5</v>
      </c>
      <c r="AK314" s="110">
        <v>3.9682539682539684</v>
      </c>
      <c r="AL314" s="49">
        <v>0</v>
      </c>
      <c r="AM314" s="50">
        <v>0</v>
      </c>
      <c r="AN314" s="49">
        <v>32</v>
      </c>
      <c r="AO314" s="110">
        <v>25.396825396825395</v>
      </c>
      <c r="AP314" s="49">
        <v>126</v>
      </c>
    </row>
    <row r="315" spans="1:42" ht="15">
      <c r="A315" s="66" t="s">
        <v>534</v>
      </c>
      <c r="B315" s="66" t="s">
        <v>758</v>
      </c>
      <c r="C315" s="67" t="s">
        <v>774</v>
      </c>
      <c r="D315" s="68">
        <v>3</v>
      </c>
      <c r="E315" s="69"/>
      <c r="F315" s="70">
        <v>40</v>
      </c>
      <c r="G315" s="67"/>
      <c r="H315" s="71"/>
      <c r="I315" s="72"/>
      <c r="J315" s="72"/>
      <c r="K315" s="35" t="s">
        <v>65</v>
      </c>
      <c r="L315" s="80">
        <v>315</v>
      </c>
      <c r="M315" s="80"/>
      <c r="N315" s="74"/>
      <c r="O315" s="82" t="s">
        <v>776</v>
      </c>
      <c r="P315" s="82" t="s">
        <v>197</v>
      </c>
      <c r="Q315" s="82" t="s">
        <v>1084</v>
      </c>
      <c r="R315" s="82" t="s">
        <v>534</v>
      </c>
      <c r="S315" s="82" t="s">
        <v>1607</v>
      </c>
      <c r="T315" s="84" t="str">
        <f>HYPERLINK("http://www.youtube.com/channel/UCDDw7eSJd7dzdCN553OKRNg")</f>
        <v>http://www.youtube.com/channel/UCDDw7eSJd7dzdCN553OKRNg</v>
      </c>
      <c r="U315" s="82"/>
      <c r="V315" s="82" t="s">
        <v>1833</v>
      </c>
      <c r="W315" s="84" t="str">
        <f>HYPERLINK("https://www.youtube.com/watch?v=w6BMPN07BOM")</f>
        <v>https://www.youtube.com/watch?v=w6BMPN07BOM</v>
      </c>
      <c r="X315" s="82" t="s">
        <v>1857</v>
      </c>
      <c r="Y315" s="82">
        <v>0</v>
      </c>
      <c r="Z315" s="86">
        <v>44830.475590277776</v>
      </c>
      <c r="AA315" s="86">
        <v>44830.475590277776</v>
      </c>
      <c r="AB315" s="82"/>
      <c r="AC315" s="82"/>
      <c r="AD315" s="82"/>
      <c r="AE315" s="82">
        <v>1</v>
      </c>
      <c r="AF315" s="81">
        <v>2</v>
      </c>
      <c r="AG315" s="81">
        <v>2</v>
      </c>
      <c r="AH315" s="49">
        <v>0</v>
      </c>
      <c r="AI315" s="50">
        <v>0</v>
      </c>
      <c r="AJ315" s="49">
        <v>0</v>
      </c>
      <c r="AK315" s="50">
        <v>0</v>
      </c>
      <c r="AL315" s="49">
        <v>0</v>
      </c>
      <c r="AM315" s="50">
        <v>0</v>
      </c>
      <c r="AN315" s="49">
        <v>3</v>
      </c>
      <c r="AO315" s="110">
        <v>42.857142857142854</v>
      </c>
      <c r="AP315" s="49">
        <v>7</v>
      </c>
    </row>
    <row r="316" spans="1:42" ht="15">
      <c r="A316" s="66" t="s">
        <v>535</v>
      </c>
      <c r="B316" s="66" t="s">
        <v>758</v>
      </c>
      <c r="C316" s="67" t="s">
        <v>774</v>
      </c>
      <c r="D316" s="68">
        <v>3</v>
      </c>
      <c r="E316" s="69"/>
      <c r="F316" s="70">
        <v>40</v>
      </c>
      <c r="G316" s="67"/>
      <c r="H316" s="71"/>
      <c r="I316" s="72"/>
      <c r="J316" s="72"/>
      <c r="K316" s="35" t="s">
        <v>65</v>
      </c>
      <c r="L316" s="80">
        <v>316</v>
      </c>
      <c r="M316" s="80"/>
      <c r="N316" s="74"/>
      <c r="O316" s="82" t="s">
        <v>776</v>
      </c>
      <c r="P316" s="82" t="s">
        <v>197</v>
      </c>
      <c r="Q316" s="82" t="s">
        <v>1085</v>
      </c>
      <c r="R316" s="82" t="s">
        <v>535</v>
      </c>
      <c r="S316" s="82" t="s">
        <v>1608</v>
      </c>
      <c r="T316" s="84" t="str">
        <f>HYPERLINK("http://www.youtube.com/channel/UCxpMnjRpAeeBDm7U_Xnz5oQ")</f>
        <v>http://www.youtube.com/channel/UCxpMnjRpAeeBDm7U_Xnz5oQ</v>
      </c>
      <c r="U316" s="82"/>
      <c r="V316" s="82" t="s">
        <v>1833</v>
      </c>
      <c r="W316" s="84" t="str">
        <f>HYPERLINK("https://www.youtube.com/watch?v=w6BMPN07BOM")</f>
        <v>https://www.youtube.com/watch?v=w6BMPN07BOM</v>
      </c>
      <c r="X316" s="82" t="s">
        <v>1857</v>
      </c>
      <c r="Y316" s="82">
        <v>0</v>
      </c>
      <c r="Z316" s="86">
        <v>44830.536990740744</v>
      </c>
      <c r="AA316" s="86">
        <v>44830.536990740744</v>
      </c>
      <c r="AB316" s="82"/>
      <c r="AC316" s="82"/>
      <c r="AD316" s="82"/>
      <c r="AE316" s="82">
        <v>1</v>
      </c>
      <c r="AF316" s="81">
        <v>2</v>
      </c>
      <c r="AG316" s="81">
        <v>2</v>
      </c>
      <c r="AH316" s="49">
        <v>3</v>
      </c>
      <c r="AI316" s="110">
        <v>21.428571428571427</v>
      </c>
      <c r="AJ316" s="49">
        <v>0</v>
      </c>
      <c r="AK316" s="50">
        <v>0</v>
      </c>
      <c r="AL316" s="49">
        <v>0</v>
      </c>
      <c r="AM316" s="50">
        <v>0</v>
      </c>
      <c r="AN316" s="49">
        <v>3</v>
      </c>
      <c r="AO316" s="110">
        <v>21.428571428571427</v>
      </c>
      <c r="AP316" s="49">
        <v>14</v>
      </c>
    </row>
    <row r="317" spans="1:42" ht="15">
      <c r="A317" s="66" t="s">
        <v>536</v>
      </c>
      <c r="B317" s="66" t="s">
        <v>758</v>
      </c>
      <c r="C317" s="67" t="s">
        <v>774</v>
      </c>
      <c r="D317" s="68">
        <v>3</v>
      </c>
      <c r="E317" s="69"/>
      <c r="F317" s="70">
        <v>40</v>
      </c>
      <c r="G317" s="67"/>
      <c r="H317" s="71"/>
      <c r="I317" s="72"/>
      <c r="J317" s="72"/>
      <c r="K317" s="35" t="s">
        <v>65</v>
      </c>
      <c r="L317" s="80">
        <v>317</v>
      </c>
      <c r="M317" s="80"/>
      <c r="N317" s="74"/>
      <c r="O317" s="82" t="s">
        <v>776</v>
      </c>
      <c r="P317" s="82" t="s">
        <v>197</v>
      </c>
      <c r="Q317" s="82" t="s">
        <v>1086</v>
      </c>
      <c r="R317" s="82" t="s">
        <v>536</v>
      </c>
      <c r="S317" s="82" t="s">
        <v>1609</v>
      </c>
      <c r="T317" s="84" t="str">
        <f>HYPERLINK("http://www.youtube.com/channel/UCj-WYwt4bJi553Z7gxmVkdg")</f>
        <v>http://www.youtube.com/channel/UCj-WYwt4bJi553Z7gxmVkdg</v>
      </c>
      <c r="U317" s="82"/>
      <c r="V317" s="82" t="s">
        <v>1833</v>
      </c>
      <c r="W317" s="84" t="str">
        <f>HYPERLINK("https://www.youtube.com/watch?v=w6BMPN07BOM")</f>
        <v>https://www.youtube.com/watch?v=w6BMPN07BOM</v>
      </c>
      <c r="X317" s="82" t="s">
        <v>1857</v>
      </c>
      <c r="Y317" s="82">
        <v>1</v>
      </c>
      <c r="Z317" s="86">
        <v>44830.59815972222</v>
      </c>
      <c r="AA317" s="86">
        <v>44830.59815972222</v>
      </c>
      <c r="AB317" s="82"/>
      <c r="AC317" s="82"/>
      <c r="AD317" s="82"/>
      <c r="AE317" s="82">
        <v>1</v>
      </c>
      <c r="AF317" s="81">
        <v>2</v>
      </c>
      <c r="AG317" s="81">
        <v>2</v>
      </c>
      <c r="AH317" s="49">
        <v>0</v>
      </c>
      <c r="AI317" s="50">
        <v>0</v>
      </c>
      <c r="AJ317" s="49">
        <v>2</v>
      </c>
      <c r="AK317" s="110">
        <v>15.384615384615385</v>
      </c>
      <c r="AL317" s="49">
        <v>0</v>
      </c>
      <c r="AM317" s="50">
        <v>0</v>
      </c>
      <c r="AN317" s="49">
        <v>6</v>
      </c>
      <c r="AO317" s="110">
        <v>46.15384615384615</v>
      </c>
      <c r="AP317" s="49">
        <v>13</v>
      </c>
    </row>
    <row r="318" spans="1:42" ht="15">
      <c r="A318" s="66" t="s">
        <v>537</v>
      </c>
      <c r="B318" s="66" t="s">
        <v>758</v>
      </c>
      <c r="C318" s="67" t="s">
        <v>774</v>
      </c>
      <c r="D318" s="68">
        <v>3</v>
      </c>
      <c r="E318" s="69"/>
      <c r="F318" s="70">
        <v>40</v>
      </c>
      <c r="G318" s="67"/>
      <c r="H318" s="71"/>
      <c r="I318" s="72"/>
      <c r="J318" s="72"/>
      <c r="K318" s="35" t="s">
        <v>65</v>
      </c>
      <c r="L318" s="80">
        <v>318</v>
      </c>
      <c r="M318" s="80"/>
      <c r="N318" s="74"/>
      <c r="O318" s="82" t="s">
        <v>776</v>
      </c>
      <c r="P318" s="82" t="s">
        <v>197</v>
      </c>
      <c r="Q318" s="82" t="s">
        <v>1087</v>
      </c>
      <c r="R318" s="82" t="s">
        <v>537</v>
      </c>
      <c r="S318" s="82" t="s">
        <v>1610</v>
      </c>
      <c r="T318" s="84" t="str">
        <f>HYPERLINK("http://www.youtube.com/channel/UC6lD2NFMaWFc0hNmkkrWCbw")</f>
        <v>http://www.youtube.com/channel/UC6lD2NFMaWFc0hNmkkrWCbw</v>
      </c>
      <c r="U318" s="82"/>
      <c r="V318" s="82" t="s">
        <v>1833</v>
      </c>
      <c r="W318" s="84" t="str">
        <f>HYPERLINK("https://www.youtube.com/watch?v=w6BMPN07BOM")</f>
        <v>https://www.youtube.com/watch?v=w6BMPN07BOM</v>
      </c>
      <c r="X318" s="82" t="s">
        <v>1857</v>
      </c>
      <c r="Y318" s="82">
        <v>0</v>
      </c>
      <c r="Z318" s="86">
        <v>44830.71674768518</v>
      </c>
      <c r="AA318" s="86">
        <v>44830.71674768518</v>
      </c>
      <c r="AB318" s="82"/>
      <c r="AC318" s="82"/>
      <c r="AD318" s="82"/>
      <c r="AE318" s="82">
        <v>1</v>
      </c>
      <c r="AF318" s="81">
        <v>2</v>
      </c>
      <c r="AG318" s="81">
        <v>2</v>
      </c>
      <c r="AH318" s="49">
        <v>2</v>
      </c>
      <c r="AI318" s="110">
        <v>2.247191011235955</v>
      </c>
      <c r="AJ318" s="49">
        <v>11</v>
      </c>
      <c r="AK318" s="110">
        <v>12.359550561797754</v>
      </c>
      <c r="AL318" s="49">
        <v>0</v>
      </c>
      <c r="AM318" s="50">
        <v>0</v>
      </c>
      <c r="AN318" s="49">
        <v>27</v>
      </c>
      <c r="AO318" s="110">
        <v>30.337078651685392</v>
      </c>
      <c r="AP318" s="49">
        <v>89</v>
      </c>
    </row>
    <row r="319" spans="1:42" ht="15">
      <c r="A319" s="66" t="s">
        <v>538</v>
      </c>
      <c r="B319" s="66" t="s">
        <v>758</v>
      </c>
      <c r="C319" s="67" t="s">
        <v>774</v>
      </c>
      <c r="D319" s="68">
        <v>3</v>
      </c>
      <c r="E319" s="69"/>
      <c r="F319" s="70">
        <v>40</v>
      </c>
      <c r="G319" s="67"/>
      <c r="H319" s="71"/>
      <c r="I319" s="72"/>
      <c r="J319" s="72"/>
      <c r="K319" s="35" t="s">
        <v>65</v>
      </c>
      <c r="L319" s="80">
        <v>319</v>
      </c>
      <c r="M319" s="80"/>
      <c r="N319" s="74"/>
      <c r="O319" s="82" t="s">
        <v>776</v>
      </c>
      <c r="P319" s="82" t="s">
        <v>197</v>
      </c>
      <c r="Q319" s="82" t="s">
        <v>1088</v>
      </c>
      <c r="R319" s="82" t="s">
        <v>538</v>
      </c>
      <c r="S319" s="82" t="s">
        <v>1611</v>
      </c>
      <c r="T319" s="84" t="str">
        <f>HYPERLINK("http://www.youtube.com/channel/UCP_xYiAKfXb29oobdthFl5g")</f>
        <v>http://www.youtube.com/channel/UCP_xYiAKfXb29oobdthFl5g</v>
      </c>
      <c r="U319" s="82"/>
      <c r="V319" s="82" t="s">
        <v>1833</v>
      </c>
      <c r="W319" s="84" t="str">
        <f>HYPERLINK("https://www.youtube.com/watch?v=w6BMPN07BOM")</f>
        <v>https://www.youtube.com/watch?v=w6BMPN07BOM</v>
      </c>
      <c r="X319" s="82" t="s">
        <v>1857</v>
      </c>
      <c r="Y319" s="82">
        <v>0</v>
      </c>
      <c r="Z319" s="86">
        <v>44830.79613425926</v>
      </c>
      <c r="AA319" s="86">
        <v>44830.79613425926</v>
      </c>
      <c r="AB319" s="82"/>
      <c r="AC319" s="82"/>
      <c r="AD319" s="82"/>
      <c r="AE319" s="82">
        <v>1</v>
      </c>
      <c r="AF319" s="81">
        <v>2</v>
      </c>
      <c r="AG319" s="81">
        <v>2</v>
      </c>
      <c r="AH319" s="49">
        <v>5</v>
      </c>
      <c r="AI319" s="110">
        <v>20.833333333333332</v>
      </c>
      <c r="AJ319" s="49">
        <v>0</v>
      </c>
      <c r="AK319" s="50">
        <v>0</v>
      </c>
      <c r="AL319" s="49">
        <v>0</v>
      </c>
      <c r="AM319" s="50">
        <v>0</v>
      </c>
      <c r="AN319" s="49">
        <v>12</v>
      </c>
      <c r="AO319" s="50">
        <v>50</v>
      </c>
      <c r="AP319" s="49">
        <v>24</v>
      </c>
    </row>
    <row r="320" spans="1:42" ht="15">
      <c r="A320" s="66" t="s">
        <v>539</v>
      </c>
      <c r="B320" s="66" t="s">
        <v>758</v>
      </c>
      <c r="C320" s="67" t="s">
        <v>774</v>
      </c>
      <c r="D320" s="68">
        <v>3</v>
      </c>
      <c r="E320" s="69"/>
      <c r="F320" s="70">
        <v>40</v>
      </c>
      <c r="G320" s="67"/>
      <c r="H320" s="71"/>
      <c r="I320" s="72"/>
      <c r="J320" s="72"/>
      <c r="K320" s="35" t="s">
        <v>65</v>
      </c>
      <c r="L320" s="80">
        <v>320</v>
      </c>
      <c r="M320" s="80"/>
      <c r="N320" s="74"/>
      <c r="O320" s="82" t="s">
        <v>776</v>
      </c>
      <c r="P320" s="82" t="s">
        <v>197</v>
      </c>
      <c r="Q320" s="82" t="s">
        <v>1089</v>
      </c>
      <c r="R320" s="82" t="s">
        <v>539</v>
      </c>
      <c r="S320" s="82" t="s">
        <v>1612</v>
      </c>
      <c r="T320" s="84" t="str">
        <f>HYPERLINK("http://www.youtube.com/channel/UCARWkLSLOR-GQryrSWnDCrw")</f>
        <v>http://www.youtube.com/channel/UCARWkLSLOR-GQryrSWnDCrw</v>
      </c>
      <c r="U320" s="82"/>
      <c r="V320" s="82" t="s">
        <v>1833</v>
      </c>
      <c r="W320" s="84" t="str">
        <f>HYPERLINK("https://www.youtube.com/watch?v=w6BMPN07BOM")</f>
        <v>https://www.youtube.com/watch?v=w6BMPN07BOM</v>
      </c>
      <c r="X320" s="82" t="s">
        <v>1857</v>
      </c>
      <c r="Y320" s="82">
        <v>1</v>
      </c>
      <c r="Z320" s="86">
        <v>44831.33194444444</v>
      </c>
      <c r="AA320" s="86">
        <v>44831.33194444444</v>
      </c>
      <c r="AB320" s="82"/>
      <c r="AC320" s="82"/>
      <c r="AD320" s="82"/>
      <c r="AE320" s="82">
        <v>1</v>
      </c>
      <c r="AF320" s="81">
        <v>2</v>
      </c>
      <c r="AG320" s="81">
        <v>2</v>
      </c>
      <c r="AH320" s="49">
        <v>0</v>
      </c>
      <c r="AI320" s="50">
        <v>0</v>
      </c>
      <c r="AJ320" s="49">
        <v>0</v>
      </c>
      <c r="AK320" s="50">
        <v>0</v>
      </c>
      <c r="AL320" s="49">
        <v>0</v>
      </c>
      <c r="AM320" s="50">
        <v>0</v>
      </c>
      <c r="AN320" s="49">
        <v>6</v>
      </c>
      <c r="AO320" s="110">
        <v>42.857142857142854</v>
      </c>
      <c r="AP320" s="49">
        <v>14</v>
      </c>
    </row>
    <row r="321" spans="1:42" ht="15">
      <c r="A321" s="66" t="s">
        <v>540</v>
      </c>
      <c r="B321" s="66" t="s">
        <v>636</v>
      </c>
      <c r="C321" s="67" t="s">
        <v>774</v>
      </c>
      <c r="D321" s="68">
        <v>3</v>
      </c>
      <c r="E321" s="69"/>
      <c r="F321" s="70">
        <v>40</v>
      </c>
      <c r="G321" s="67"/>
      <c r="H321" s="71"/>
      <c r="I321" s="72"/>
      <c r="J321" s="72"/>
      <c r="K321" s="35" t="s">
        <v>65</v>
      </c>
      <c r="L321" s="80">
        <v>321</v>
      </c>
      <c r="M321" s="80"/>
      <c r="N321" s="74"/>
      <c r="O321" s="82" t="s">
        <v>776</v>
      </c>
      <c r="P321" s="82" t="s">
        <v>197</v>
      </c>
      <c r="Q321" s="82" t="s">
        <v>1090</v>
      </c>
      <c r="R321" s="82" t="s">
        <v>540</v>
      </c>
      <c r="S321" s="82" t="s">
        <v>1613</v>
      </c>
      <c r="T321" s="84" t="str">
        <f>HYPERLINK("http://www.youtube.com/channel/UCV-irmO6xulXU7e2GS2WuHQ")</f>
        <v>http://www.youtube.com/channel/UCV-irmO6xulXU7e2GS2WuHQ</v>
      </c>
      <c r="U321" s="82"/>
      <c r="V321" s="82" t="s">
        <v>1834</v>
      </c>
      <c r="W321" s="84" t="str">
        <f>HYPERLINK("https://www.youtube.com/watch?v=V4-3xDi_Ems")</f>
        <v>https://www.youtube.com/watch?v=V4-3xDi_Ems</v>
      </c>
      <c r="X321" s="82" t="s">
        <v>1857</v>
      </c>
      <c r="Y321" s="82">
        <v>0</v>
      </c>
      <c r="Z321" s="86">
        <v>44936.98506944445</v>
      </c>
      <c r="AA321" s="86">
        <v>44936.98506944445</v>
      </c>
      <c r="AB321" s="82"/>
      <c r="AC321" s="82"/>
      <c r="AD321" s="82"/>
      <c r="AE321" s="82">
        <v>1</v>
      </c>
      <c r="AF321" s="81">
        <v>1</v>
      </c>
      <c r="AG321" s="81">
        <v>1</v>
      </c>
      <c r="AH321" s="49">
        <v>2</v>
      </c>
      <c r="AI321" s="110">
        <v>6.896551724137931</v>
      </c>
      <c r="AJ321" s="49">
        <v>0</v>
      </c>
      <c r="AK321" s="50">
        <v>0</v>
      </c>
      <c r="AL321" s="49">
        <v>0</v>
      </c>
      <c r="AM321" s="50">
        <v>0</v>
      </c>
      <c r="AN321" s="49">
        <v>11</v>
      </c>
      <c r="AO321" s="110">
        <v>37.93103448275862</v>
      </c>
      <c r="AP321" s="49">
        <v>29</v>
      </c>
    </row>
    <row r="322" spans="1:42" ht="15">
      <c r="A322" s="66" t="s">
        <v>541</v>
      </c>
      <c r="B322" s="66" t="s">
        <v>636</v>
      </c>
      <c r="C322" s="67" t="s">
        <v>774</v>
      </c>
      <c r="D322" s="68">
        <v>3</v>
      </c>
      <c r="E322" s="69"/>
      <c r="F322" s="70">
        <v>40</v>
      </c>
      <c r="G322" s="67"/>
      <c r="H322" s="71"/>
      <c r="I322" s="72"/>
      <c r="J322" s="72"/>
      <c r="K322" s="35" t="s">
        <v>65</v>
      </c>
      <c r="L322" s="80">
        <v>322</v>
      </c>
      <c r="M322" s="80"/>
      <c r="N322" s="74"/>
      <c r="O322" s="82" t="s">
        <v>776</v>
      </c>
      <c r="P322" s="82" t="s">
        <v>197</v>
      </c>
      <c r="Q322" s="82" t="s">
        <v>1091</v>
      </c>
      <c r="R322" s="82" t="s">
        <v>541</v>
      </c>
      <c r="S322" s="82" t="s">
        <v>1614</v>
      </c>
      <c r="T322" s="84" t="str">
        <f>HYPERLINK("http://www.youtube.com/channel/UCQHtvGiBmW4XIe-21DWpCkw")</f>
        <v>http://www.youtube.com/channel/UCQHtvGiBmW4XIe-21DWpCkw</v>
      </c>
      <c r="U322" s="82"/>
      <c r="V322" s="82" t="s">
        <v>1834</v>
      </c>
      <c r="W322" s="84" t="str">
        <f>HYPERLINK("https://www.youtube.com/watch?v=V4-3xDi_Ems")</f>
        <v>https://www.youtube.com/watch?v=V4-3xDi_Ems</v>
      </c>
      <c r="X322" s="82" t="s">
        <v>1857</v>
      </c>
      <c r="Y322" s="82">
        <v>0</v>
      </c>
      <c r="Z322" s="86">
        <v>44944.95912037037</v>
      </c>
      <c r="AA322" s="86">
        <v>44944.95912037037</v>
      </c>
      <c r="AB322" s="82"/>
      <c r="AC322" s="82"/>
      <c r="AD322" s="82"/>
      <c r="AE322" s="82">
        <v>1</v>
      </c>
      <c r="AF322" s="81">
        <v>1</v>
      </c>
      <c r="AG322" s="81">
        <v>1</v>
      </c>
      <c r="AH322" s="49">
        <v>0</v>
      </c>
      <c r="AI322" s="50">
        <v>0</v>
      </c>
      <c r="AJ322" s="49">
        <v>2</v>
      </c>
      <c r="AK322" s="110">
        <v>9.090909090909092</v>
      </c>
      <c r="AL322" s="49">
        <v>0</v>
      </c>
      <c r="AM322" s="50">
        <v>0</v>
      </c>
      <c r="AN322" s="49">
        <v>3</v>
      </c>
      <c r="AO322" s="110">
        <v>13.636363636363637</v>
      </c>
      <c r="AP322" s="49">
        <v>22</v>
      </c>
    </row>
    <row r="323" spans="1:42" ht="15">
      <c r="A323" s="66" t="s">
        <v>542</v>
      </c>
      <c r="B323" s="66" t="s">
        <v>636</v>
      </c>
      <c r="C323" s="67" t="s">
        <v>774</v>
      </c>
      <c r="D323" s="68">
        <v>3</v>
      </c>
      <c r="E323" s="69"/>
      <c r="F323" s="70">
        <v>40</v>
      </c>
      <c r="G323" s="67"/>
      <c r="H323" s="71"/>
      <c r="I323" s="72"/>
      <c r="J323" s="72"/>
      <c r="K323" s="35" t="s">
        <v>65</v>
      </c>
      <c r="L323" s="80">
        <v>323</v>
      </c>
      <c r="M323" s="80"/>
      <c r="N323" s="74"/>
      <c r="O323" s="82" t="s">
        <v>776</v>
      </c>
      <c r="P323" s="82" t="s">
        <v>197</v>
      </c>
      <c r="Q323" s="82" t="s">
        <v>1092</v>
      </c>
      <c r="R323" s="82" t="s">
        <v>542</v>
      </c>
      <c r="S323" s="82" t="s">
        <v>1615</v>
      </c>
      <c r="T323" s="84" t="str">
        <f>HYPERLINK("http://www.youtube.com/channel/UCJOKlAVIaKm625Qa1D3apdg")</f>
        <v>http://www.youtube.com/channel/UCJOKlAVIaKm625Qa1D3apdg</v>
      </c>
      <c r="U323" s="82"/>
      <c r="V323" s="82" t="s">
        <v>1834</v>
      </c>
      <c r="W323" s="84" t="str">
        <f>HYPERLINK("https://www.youtube.com/watch?v=V4-3xDi_Ems")</f>
        <v>https://www.youtube.com/watch?v=V4-3xDi_Ems</v>
      </c>
      <c r="X323" s="82" t="s">
        <v>1857</v>
      </c>
      <c r="Y323" s="82">
        <v>0</v>
      </c>
      <c r="Z323" s="86">
        <v>44945.36577546296</v>
      </c>
      <c r="AA323" s="86">
        <v>44945.36577546296</v>
      </c>
      <c r="AB323" s="82"/>
      <c r="AC323" s="82"/>
      <c r="AD323" s="82"/>
      <c r="AE323" s="82">
        <v>1</v>
      </c>
      <c r="AF323" s="81">
        <v>1</v>
      </c>
      <c r="AG323" s="81">
        <v>1</v>
      </c>
      <c r="AH323" s="49">
        <v>1</v>
      </c>
      <c r="AI323" s="50">
        <v>12.5</v>
      </c>
      <c r="AJ323" s="49">
        <v>0</v>
      </c>
      <c r="AK323" s="50">
        <v>0</v>
      </c>
      <c r="AL323" s="49">
        <v>0</v>
      </c>
      <c r="AM323" s="50">
        <v>0</v>
      </c>
      <c r="AN323" s="49">
        <v>4</v>
      </c>
      <c r="AO323" s="50">
        <v>50</v>
      </c>
      <c r="AP323" s="49">
        <v>8</v>
      </c>
    </row>
    <row r="324" spans="1:42" ht="15">
      <c r="A324" s="66" t="s">
        <v>543</v>
      </c>
      <c r="B324" s="66" t="s">
        <v>636</v>
      </c>
      <c r="C324" s="67" t="s">
        <v>774</v>
      </c>
      <c r="D324" s="68">
        <v>3</v>
      </c>
      <c r="E324" s="69"/>
      <c r="F324" s="70">
        <v>40</v>
      </c>
      <c r="G324" s="67"/>
      <c r="H324" s="71"/>
      <c r="I324" s="72"/>
      <c r="J324" s="72"/>
      <c r="K324" s="35" t="s">
        <v>65</v>
      </c>
      <c r="L324" s="80">
        <v>324</v>
      </c>
      <c r="M324" s="80"/>
      <c r="N324" s="74"/>
      <c r="O324" s="82" t="s">
        <v>776</v>
      </c>
      <c r="P324" s="82" t="s">
        <v>197</v>
      </c>
      <c r="Q324" s="82" t="s">
        <v>1093</v>
      </c>
      <c r="R324" s="82" t="s">
        <v>543</v>
      </c>
      <c r="S324" s="82" t="s">
        <v>1616</v>
      </c>
      <c r="T324" s="84" t="str">
        <f>HYPERLINK("http://www.youtube.com/channel/UCcN_x86Rnu0epComA-hiO8w")</f>
        <v>http://www.youtube.com/channel/UCcN_x86Rnu0epComA-hiO8w</v>
      </c>
      <c r="U324" s="82"/>
      <c r="V324" s="82" t="s">
        <v>1834</v>
      </c>
      <c r="W324" s="84" t="str">
        <f>HYPERLINK("https://www.youtube.com/watch?v=V4-3xDi_Ems")</f>
        <v>https://www.youtube.com/watch?v=V4-3xDi_Ems</v>
      </c>
      <c r="X324" s="82" t="s">
        <v>1857</v>
      </c>
      <c r="Y324" s="82">
        <v>0</v>
      </c>
      <c r="Z324" s="86">
        <v>44949.97818287037</v>
      </c>
      <c r="AA324" s="86">
        <v>44949.97818287037</v>
      </c>
      <c r="AB324" s="82"/>
      <c r="AC324" s="82"/>
      <c r="AD324" s="82"/>
      <c r="AE324" s="82">
        <v>1</v>
      </c>
      <c r="AF324" s="81">
        <v>1</v>
      </c>
      <c r="AG324" s="81">
        <v>1</v>
      </c>
      <c r="AH324" s="49">
        <v>1</v>
      </c>
      <c r="AI324" s="50">
        <v>3.125</v>
      </c>
      <c r="AJ324" s="49">
        <v>0</v>
      </c>
      <c r="AK324" s="50">
        <v>0</v>
      </c>
      <c r="AL324" s="49">
        <v>0</v>
      </c>
      <c r="AM324" s="50">
        <v>0</v>
      </c>
      <c r="AN324" s="49">
        <v>7</v>
      </c>
      <c r="AO324" s="50">
        <v>21.875</v>
      </c>
      <c r="AP324" s="49">
        <v>32</v>
      </c>
    </row>
    <row r="325" spans="1:42" ht="15">
      <c r="A325" s="66" t="s">
        <v>544</v>
      </c>
      <c r="B325" s="66" t="s">
        <v>636</v>
      </c>
      <c r="C325" s="67" t="s">
        <v>774</v>
      </c>
      <c r="D325" s="68">
        <v>3</v>
      </c>
      <c r="E325" s="69"/>
      <c r="F325" s="70">
        <v>40</v>
      </c>
      <c r="G325" s="67"/>
      <c r="H325" s="71"/>
      <c r="I325" s="72"/>
      <c r="J325" s="72"/>
      <c r="K325" s="35" t="s">
        <v>65</v>
      </c>
      <c r="L325" s="80">
        <v>325</v>
      </c>
      <c r="M325" s="80"/>
      <c r="N325" s="74"/>
      <c r="O325" s="82" t="s">
        <v>776</v>
      </c>
      <c r="P325" s="82" t="s">
        <v>197</v>
      </c>
      <c r="Q325" s="82" t="s">
        <v>1094</v>
      </c>
      <c r="R325" s="82" t="s">
        <v>544</v>
      </c>
      <c r="S325" s="82" t="s">
        <v>1617</v>
      </c>
      <c r="T325" s="84" t="str">
        <f>HYPERLINK("http://www.youtube.com/channel/UCCRjdC3KoZxwvOGRyuqUHNA")</f>
        <v>http://www.youtube.com/channel/UCCRjdC3KoZxwvOGRyuqUHNA</v>
      </c>
      <c r="U325" s="82"/>
      <c r="V325" s="82" t="s">
        <v>1834</v>
      </c>
      <c r="W325" s="84" t="str">
        <f>HYPERLINK("https://www.youtube.com/watch?v=V4-3xDi_Ems")</f>
        <v>https://www.youtube.com/watch?v=V4-3xDi_Ems</v>
      </c>
      <c r="X325" s="82" t="s">
        <v>1857</v>
      </c>
      <c r="Y325" s="82">
        <v>0</v>
      </c>
      <c r="Z325" s="86">
        <v>44951.33495370371</v>
      </c>
      <c r="AA325" s="86">
        <v>44951.33495370371</v>
      </c>
      <c r="AB325" s="82"/>
      <c r="AC325" s="82"/>
      <c r="AD325" s="82"/>
      <c r="AE325" s="82">
        <v>1</v>
      </c>
      <c r="AF325" s="81">
        <v>1</v>
      </c>
      <c r="AG325" s="81">
        <v>1</v>
      </c>
      <c r="AH325" s="49">
        <v>1</v>
      </c>
      <c r="AI325" s="110">
        <v>3.4482758620689653</v>
      </c>
      <c r="AJ325" s="49">
        <v>0</v>
      </c>
      <c r="AK325" s="50">
        <v>0</v>
      </c>
      <c r="AL325" s="49">
        <v>0</v>
      </c>
      <c r="AM325" s="50">
        <v>0</v>
      </c>
      <c r="AN325" s="49">
        <v>6</v>
      </c>
      <c r="AO325" s="110">
        <v>20.689655172413794</v>
      </c>
      <c r="AP325" s="49">
        <v>29</v>
      </c>
    </row>
    <row r="326" spans="1:42" ht="15">
      <c r="A326" s="66" t="s">
        <v>545</v>
      </c>
      <c r="B326" s="66" t="s">
        <v>636</v>
      </c>
      <c r="C326" s="67" t="s">
        <v>774</v>
      </c>
      <c r="D326" s="68">
        <v>3</v>
      </c>
      <c r="E326" s="69"/>
      <c r="F326" s="70">
        <v>40</v>
      </c>
      <c r="G326" s="67"/>
      <c r="H326" s="71"/>
      <c r="I326" s="72"/>
      <c r="J326" s="72"/>
      <c r="K326" s="35" t="s">
        <v>65</v>
      </c>
      <c r="L326" s="80">
        <v>326</v>
      </c>
      <c r="M326" s="80"/>
      <c r="N326" s="74"/>
      <c r="O326" s="82" t="s">
        <v>776</v>
      </c>
      <c r="P326" s="82" t="s">
        <v>197</v>
      </c>
      <c r="Q326" s="82" t="s">
        <v>1095</v>
      </c>
      <c r="R326" s="82" t="s">
        <v>545</v>
      </c>
      <c r="S326" s="82" t="s">
        <v>1618</v>
      </c>
      <c r="T326" s="84" t="str">
        <f>HYPERLINK("http://www.youtube.com/channel/UCiKBcZH5WpqkNragUeGjbsw")</f>
        <v>http://www.youtube.com/channel/UCiKBcZH5WpqkNragUeGjbsw</v>
      </c>
      <c r="U326" s="82"/>
      <c r="V326" s="82" t="s">
        <v>1834</v>
      </c>
      <c r="W326" s="84" t="str">
        <f>HYPERLINK("https://www.youtube.com/watch?v=V4-3xDi_Ems")</f>
        <v>https://www.youtube.com/watch?v=V4-3xDi_Ems</v>
      </c>
      <c r="X326" s="82" t="s">
        <v>1857</v>
      </c>
      <c r="Y326" s="82">
        <v>7</v>
      </c>
      <c r="Z326" s="86">
        <v>44951.385046296295</v>
      </c>
      <c r="AA326" s="86">
        <v>44951.385046296295</v>
      </c>
      <c r="AB326" s="82"/>
      <c r="AC326" s="82"/>
      <c r="AD326" s="82"/>
      <c r="AE326" s="82">
        <v>1</v>
      </c>
      <c r="AF326" s="81">
        <v>1</v>
      </c>
      <c r="AG326" s="81">
        <v>1</v>
      </c>
      <c r="AH326" s="49">
        <v>4</v>
      </c>
      <c r="AI326" s="110">
        <v>14.285714285714286</v>
      </c>
      <c r="AJ326" s="49">
        <v>1</v>
      </c>
      <c r="AK326" s="110">
        <v>3.5714285714285716</v>
      </c>
      <c r="AL326" s="49">
        <v>0</v>
      </c>
      <c r="AM326" s="50">
        <v>0</v>
      </c>
      <c r="AN326" s="49">
        <v>7</v>
      </c>
      <c r="AO326" s="50">
        <v>25</v>
      </c>
      <c r="AP326" s="49">
        <v>28</v>
      </c>
    </row>
    <row r="327" spans="1:42" ht="15">
      <c r="A327" s="66" t="s">
        <v>546</v>
      </c>
      <c r="B327" s="66" t="s">
        <v>636</v>
      </c>
      <c r="C327" s="67" t="s">
        <v>774</v>
      </c>
      <c r="D327" s="68">
        <v>3</v>
      </c>
      <c r="E327" s="69"/>
      <c r="F327" s="70">
        <v>40</v>
      </c>
      <c r="G327" s="67"/>
      <c r="H327" s="71"/>
      <c r="I327" s="72"/>
      <c r="J327" s="72"/>
      <c r="K327" s="35" t="s">
        <v>65</v>
      </c>
      <c r="L327" s="80">
        <v>327</v>
      </c>
      <c r="M327" s="80"/>
      <c r="N327" s="74"/>
      <c r="O327" s="82" t="s">
        <v>776</v>
      </c>
      <c r="P327" s="82" t="s">
        <v>197</v>
      </c>
      <c r="Q327" s="82" t="s">
        <v>1096</v>
      </c>
      <c r="R327" s="82" t="s">
        <v>546</v>
      </c>
      <c r="S327" s="82" t="s">
        <v>1619</v>
      </c>
      <c r="T327" s="84" t="str">
        <f>HYPERLINK("http://www.youtube.com/channel/UCiZbT9iTYwv7qXCe91DBZyg")</f>
        <v>http://www.youtube.com/channel/UCiZbT9iTYwv7qXCe91DBZyg</v>
      </c>
      <c r="U327" s="82"/>
      <c r="V327" s="82" t="s">
        <v>1834</v>
      </c>
      <c r="W327" s="84" t="str">
        <f>HYPERLINK("https://www.youtube.com/watch?v=V4-3xDi_Ems")</f>
        <v>https://www.youtube.com/watch?v=V4-3xDi_Ems</v>
      </c>
      <c r="X327" s="82" t="s">
        <v>1857</v>
      </c>
      <c r="Y327" s="82">
        <v>0</v>
      </c>
      <c r="Z327" s="86">
        <v>44961.921377314815</v>
      </c>
      <c r="AA327" s="86">
        <v>44961.921377314815</v>
      </c>
      <c r="AB327" s="82"/>
      <c r="AC327" s="82"/>
      <c r="AD327" s="82"/>
      <c r="AE327" s="82">
        <v>1</v>
      </c>
      <c r="AF327" s="81">
        <v>1</v>
      </c>
      <c r="AG327" s="81">
        <v>1</v>
      </c>
      <c r="AH327" s="49">
        <v>0</v>
      </c>
      <c r="AI327" s="50">
        <v>0</v>
      </c>
      <c r="AJ327" s="49">
        <v>1</v>
      </c>
      <c r="AK327" s="110">
        <v>4.761904761904762</v>
      </c>
      <c r="AL327" s="49">
        <v>0</v>
      </c>
      <c r="AM327" s="50">
        <v>0</v>
      </c>
      <c r="AN327" s="49">
        <v>6</v>
      </c>
      <c r="AO327" s="110">
        <v>28.571428571428573</v>
      </c>
      <c r="AP327" s="49">
        <v>21</v>
      </c>
    </row>
    <row r="328" spans="1:42" ht="15">
      <c r="A328" s="66" t="s">
        <v>547</v>
      </c>
      <c r="B328" s="66" t="s">
        <v>636</v>
      </c>
      <c r="C328" s="67" t="s">
        <v>774</v>
      </c>
      <c r="D328" s="68">
        <v>3</v>
      </c>
      <c r="E328" s="69"/>
      <c r="F328" s="70">
        <v>40</v>
      </c>
      <c r="G328" s="67"/>
      <c r="H328" s="71"/>
      <c r="I328" s="72"/>
      <c r="J328" s="72"/>
      <c r="K328" s="35" t="s">
        <v>65</v>
      </c>
      <c r="L328" s="80">
        <v>328</v>
      </c>
      <c r="M328" s="80"/>
      <c r="N328" s="74"/>
      <c r="O328" s="82" t="s">
        <v>776</v>
      </c>
      <c r="P328" s="82" t="s">
        <v>197</v>
      </c>
      <c r="Q328" s="82" t="s">
        <v>1097</v>
      </c>
      <c r="R328" s="82" t="s">
        <v>547</v>
      </c>
      <c r="S328" s="82" t="s">
        <v>1620</v>
      </c>
      <c r="T328" s="84" t="str">
        <f>HYPERLINK("http://www.youtube.com/channel/UC4hEZySpsjWnQ8w_e7MXPCQ")</f>
        <v>http://www.youtube.com/channel/UC4hEZySpsjWnQ8w_e7MXPCQ</v>
      </c>
      <c r="U328" s="82"/>
      <c r="V328" s="82" t="s">
        <v>1834</v>
      </c>
      <c r="W328" s="84" t="str">
        <f>HYPERLINK("https://www.youtube.com/watch?v=V4-3xDi_Ems")</f>
        <v>https://www.youtube.com/watch?v=V4-3xDi_Ems</v>
      </c>
      <c r="X328" s="82" t="s">
        <v>1857</v>
      </c>
      <c r="Y328" s="82">
        <v>0</v>
      </c>
      <c r="Z328" s="86">
        <v>44965.2890625</v>
      </c>
      <c r="AA328" s="86">
        <v>44965.2890625</v>
      </c>
      <c r="AB328" s="82"/>
      <c r="AC328" s="82"/>
      <c r="AD328" s="82"/>
      <c r="AE328" s="82">
        <v>1</v>
      </c>
      <c r="AF328" s="81">
        <v>1</v>
      </c>
      <c r="AG328" s="81">
        <v>1</v>
      </c>
      <c r="AH328" s="49">
        <v>0</v>
      </c>
      <c r="AI328" s="50">
        <v>0</v>
      </c>
      <c r="AJ328" s="49">
        <v>0</v>
      </c>
      <c r="AK328" s="50">
        <v>0</v>
      </c>
      <c r="AL328" s="49">
        <v>0</v>
      </c>
      <c r="AM328" s="50">
        <v>0</v>
      </c>
      <c r="AN328" s="49">
        <v>2</v>
      </c>
      <c r="AO328" s="110">
        <v>28.571428571428573</v>
      </c>
      <c r="AP328" s="49">
        <v>7</v>
      </c>
    </row>
    <row r="329" spans="1:42" ht="15">
      <c r="A329" s="66" t="s">
        <v>548</v>
      </c>
      <c r="B329" s="66" t="s">
        <v>636</v>
      </c>
      <c r="C329" s="67" t="s">
        <v>774</v>
      </c>
      <c r="D329" s="68">
        <v>3</v>
      </c>
      <c r="E329" s="69"/>
      <c r="F329" s="70">
        <v>40</v>
      </c>
      <c r="G329" s="67"/>
      <c r="H329" s="71"/>
      <c r="I329" s="72"/>
      <c r="J329" s="72"/>
      <c r="K329" s="35" t="s">
        <v>65</v>
      </c>
      <c r="L329" s="80">
        <v>329</v>
      </c>
      <c r="M329" s="80"/>
      <c r="N329" s="74"/>
      <c r="O329" s="82" t="s">
        <v>776</v>
      </c>
      <c r="P329" s="82" t="s">
        <v>197</v>
      </c>
      <c r="Q329" s="82" t="s">
        <v>1098</v>
      </c>
      <c r="R329" s="82" t="s">
        <v>548</v>
      </c>
      <c r="S329" s="82" t="s">
        <v>1621</v>
      </c>
      <c r="T329" s="84" t="str">
        <f>HYPERLINK("http://www.youtube.com/channel/UClPbFK_pUry7uOztIDXTzFA")</f>
        <v>http://www.youtube.com/channel/UClPbFK_pUry7uOztIDXTzFA</v>
      </c>
      <c r="U329" s="82"/>
      <c r="V329" s="82" t="s">
        <v>1834</v>
      </c>
      <c r="W329" s="84" t="str">
        <f>HYPERLINK("https://www.youtube.com/watch?v=V4-3xDi_Ems")</f>
        <v>https://www.youtube.com/watch?v=V4-3xDi_Ems</v>
      </c>
      <c r="X329" s="82" t="s">
        <v>1857</v>
      </c>
      <c r="Y329" s="82">
        <v>0</v>
      </c>
      <c r="Z329" s="86">
        <v>44968.88030092593</v>
      </c>
      <c r="AA329" s="86">
        <v>44968.88030092593</v>
      </c>
      <c r="AB329" s="82"/>
      <c r="AC329" s="82"/>
      <c r="AD329" s="82"/>
      <c r="AE329" s="82">
        <v>1</v>
      </c>
      <c r="AF329" s="81">
        <v>1</v>
      </c>
      <c r="AG329" s="81">
        <v>1</v>
      </c>
      <c r="AH329" s="49">
        <v>0</v>
      </c>
      <c r="AI329" s="50">
        <v>0</v>
      </c>
      <c r="AJ329" s="49">
        <v>0</v>
      </c>
      <c r="AK329" s="50">
        <v>0</v>
      </c>
      <c r="AL329" s="49">
        <v>0</v>
      </c>
      <c r="AM329" s="50">
        <v>0</v>
      </c>
      <c r="AN329" s="49">
        <v>2</v>
      </c>
      <c r="AO329" s="50">
        <v>40</v>
      </c>
      <c r="AP329" s="49">
        <v>5</v>
      </c>
    </row>
    <row r="330" spans="1:42" ht="15">
      <c r="A330" s="66" t="s">
        <v>549</v>
      </c>
      <c r="B330" s="66" t="s">
        <v>636</v>
      </c>
      <c r="C330" s="67" t="s">
        <v>774</v>
      </c>
      <c r="D330" s="68">
        <v>3</v>
      </c>
      <c r="E330" s="69"/>
      <c r="F330" s="70">
        <v>40</v>
      </c>
      <c r="G330" s="67"/>
      <c r="H330" s="71"/>
      <c r="I330" s="72"/>
      <c r="J330" s="72"/>
      <c r="K330" s="35" t="s">
        <v>65</v>
      </c>
      <c r="L330" s="80">
        <v>330</v>
      </c>
      <c r="M330" s="80"/>
      <c r="N330" s="74"/>
      <c r="O330" s="82" t="s">
        <v>776</v>
      </c>
      <c r="P330" s="82" t="s">
        <v>197</v>
      </c>
      <c r="Q330" s="82" t="s">
        <v>1099</v>
      </c>
      <c r="R330" s="82" t="s">
        <v>549</v>
      </c>
      <c r="S330" s="82" t="s">
        <v>1622</v>
      </c>
      <c r="T330" s="84" t="str">
        <f>HYPERLINK("http://www.youtube.com/channel/UCmPPPh4m4vMf0NrkaK5xAhg")</f>
        <v>http://www.youtube.com/channel/UCmPPPh4m4vMf0NrkaK5xAhg</v>
      </c>
      <c r="U330" s="82"/>
      <c r="V330" s="82" t="s">
        <v>1834</v>
      </c>
      <c r="W330" s="84" t="str">
        <f>HYPERLINK("https://www.youtube.com/watch?v=V4-3xDi_Ems")</f>
        <v>https://www.youtube.com/watch?v=V4-3xDi_Ems</v>
      </c>
      <c r="X330" s="82" t="s">
        <v>1857</v>
      </c>
      <c r="Y330" s="82">
        <v>8</v>
      </c>
      <c r="Z330" s="86">
        <v>44969.118113425924</v>
      </c>
      <c r="AA330" s="86">
        <v>44969.118113425924</v>
      </c>
      <c r="AB330" s="82"/>
      <c r="AC330" s="82"/>
      <c r="AD330" s="82"/>
      <c r="AE330" s="82">
        <v>1</v>
      </c>
      <c r="AF330" s="81">
        <v>1</v>
      </c>
      <c r="AG330" s="81">
        <v>1</v>
      </c>
      <c r="AH330" s="49">
        <v>0</v>
      </c>
      <c r="AI330" s="50">
        <v>0</v>
      </c>
      <c r="AJ330" s="49">
        <v>2</v>
      </c>
      <c r="AK330" s="110">
        <v>14.285714285714286</v>
      </c>
      <c r="AL330" s="49">
        <v>0</v>
      </c>
      <c r="AM330" s="50">
        <v>0</v>
      </c>
      <c r="AN330" s="49">
        <v>5</v>
      </c>
      <c r="AO330" s="110">
        <v>35.714285714285715</v>
      </c>
      <c r="AP330" s="49">
        <v>14</v>
      </c>
    </row>
    <row r="331" spans="1:42" ht="15">
      <c r="A331" s="66" t="s">
        <v>550</v>
      </c>
      <c r="B331" s="66" t="s">
        <v>636</v>
      </c>
      <c r="C331" s="67" t="s">
        <v>774</v>
      </c>
      <c r="D331" s="68">
        <v>3</v>
      </c>
      <c r="E331" s="69"/>
      <c r="F331" s="70">
        <v>40</v>
      </c>
      <c r="G331" s="67"/>
      <c r="H331" s="71"/>
      <c r="I331" s="72"/>
      <c r="J331" s="72"/>
      <c r="K331" s="35" t="s">
        <v>65</v>
      </c>
      <c r="L331" s="80">
        <v>331</v>
      </c>
      <c r="M331" s="80"/>
      <c r="N331" s="74"/>
      <c r="O331" s="82" t="s">
        <v>776</v>
      </c>
      <c r="P331" s="82" t="s">
        <v>197</v>
      </c>
      <c r="Q331" s="82" t="s">
        <v>1100</v>
      </c>
      <c r="R331" s="82" t="s">
        <v>550</v>
      </c>
      <c r="S331" s="82" t="s">
        <v>1623</v>
      </c>
      <c r="T331" s="84" t="str">
        <f>HYPERLINK("http://www.youtube.com/channel/UCKyt0UeInvKMc7fjxiaWXUw")</f>
        <v>http://www.youtube.com/channel/UCKyt0UeInvKMc7fjxiaWXUw</v>
      </c>
      <c r="U331" s="82"/>
      <c r="V331" s="82" t="s">
        <v>1834</v>
      </c>
      <c r="W331" s="84" t="str">
        <f>HYPERLINK("https://www.youtube.com/watch?v=V4-3xDi_Ems")</f>
        <v>https://www.youtube.com/watch?v=V4-3xDi_Ems</v>
      </c>
      <c r="X331" s="82" t="s">
        <v>1857</v>
      </c>
      <c r="Y331" s="82">
        <v>0</v>
      </c>
      <c r="Z331" s="86">
        <v>44977.42009259259</v>
      </c>
      <c r="AA331" s="86">
        <v>44977.42009259259</v>
      </c>
      <c r="AB331" s="82"/>
      <c r="AC331" s="82"/>
      <c r="AD331" s="82"/>
      <c r="AE331" s="82">
        <v>1</v>
      </c>
      <c r="AF331" s="81">
        <v>1</v>
      </c>
      <c r="AG331" s="81">
        <v>1</v>
      </c>
      <c r="AH331" s="49">
        <v>0</v>
      </c>
      <c r="AI331" s="50">
        <v>0</v>
      </c>
      <c r="AJ331" s="49">
        <v>0</v>
      </c>
      <c r="AK331" s="50">
        <v>0</v>
      </c>
      <c r="AL331" s="49">
        <v>0</v>
      </c>
      <c r="AM331" s="50">
        <v>0</v>
      </c>
      <c r="AN331" s="49">
        <v>1</v>
      </c>
      <c r="AO331" s="50">
        <v>100</v>
      </c>
      <c r="AP331" s="49">
        <v>1</v>
      </c>
    </row>
    <row r="332" spans="1:42" ht="15">
      <c r="A332" s="66" t="s">
        <v>551</v>
      </c>
      <c r="B332" s="66" t="s">
        <v>636</v>
      </c>
      <c r="C332" s="67" t="s">
        <v>774</v>
      </c>
      <c r="D332" s="68">
        <v>3</v>
      </c>
      <c r="E332" s="69"/>
      <c r="F332" s="70">
        <v>40</v>
      </c>
      <c r="G332" s="67"/>
      <c r="H332" s="71"/>
      <c r="I332" s="72"/>
      <c r="J332" s="72"/>
      <c r="K332" s="35" t="s">
        <v>65</v>
      </c>
      <c r="L332" s="80">
        <v>332</v>
      </c>
      <c r="M332" s="80"/>
      <c r="N332" s="74"/>
      <c r="O332" s="82" t="s">
        <v>776</v>
      </c>
      <c r="P332" s="82" t="s">
        <v>197</v>
      </c>
      <c r="Q332" s="82" t="s">
        <v>1101</v>
      </c>
      <c r="R332" s="82" t="s">
        <v>551</v>
      </c>
      <c r="S332" s="82" t="s">
        <v>1624</v>
      </c>
      <c r="T332" s="84" t="str">
        <f>HYPERLINK("http://www.youtube.com/channel/UCMPWTMZirc5o6tTUlxlUX_w")</f>
        <v>http://www.youtube.com/channel/UCMPWTMZirc5o6tTUlxlUX_w</v>
      </c>
      <c r="U332" s="82"/>
      <c r="V332" s="82" t="s">
        <v>1834</v>
      </c>
      <c r="W332" s="84" t="str">
        <f>HYPERLINK("https://www.youtube.com/watch?v=V4-3xDi_Ems")</f>
        <v>https://www.youtube.com/watch?v=V4-3xDi_Ems</v>
      </c>
      <c r="X332" s="82" t="s">
        <v>1857</v>
      </c>
      <c r="Y332" s="82">
        <v>0</v>
      </c>
      <c r="Z332" s="86">
        <v>44977.92706018518</v>
      </c>
      <c r="AA332" s="86">
        <v>44977.92706018518</v>
      </c>
      <c r="AB332" s="82"/>
      <c r="AC332" s="82"/>
      <c r="AD332" s="82"/>
      <c r="AE332" s="82">
        <v>1</v>
      </c>
      <c r="AF332" s="81">
        <v>1</v>
      </c>
      <c r="AG332" s="81">
        <v>1</v>
      </c>
      <c r="AH332" s="49">
        <v>0</v>
      </c>
      <c r="AI332" s="50">
        <v>0</v>
      </c>
      <c r="AJ332" s="49">
        <v>0</v>
      </c>
      <c r="AK332" s="50">
        <v>0</v>
      </c>
      <c r="AL332" s="49">
        <v>0</v>
      </c>
      <c r="AM332" s="50">
        <v>0</v>
      </c>
      <c r="AN332" s="49">
        <v>0</v>
      </c>
      <c r="AO332" s="50">
        <v>0</v>
      </c>
      <c r="AP332" s="49">
        <v>2</v>
      </c>
    </row>
    <row r="333" spans="1:42" ht="15">
      <c r="A333" s="66" t="s">
        <v>552</v>
      </c>
      <c r="B333" s="66" t="s">
        <v>636</v>
      </c>
      <c r="C333" s="67" t="s">
        <v>774</v>
      </c>
      <c r="D333" s="68">
        <v>3</v>
      </c>
      <c r="E333" s="69"/>
      <c r="F333" s="70">
        <v>40</v>
      </c>
      <c r="G333" s="67"/>
      <c r="H333" s="71"/>
      <c r="I333" s="72"/>
      <c r="J333" s="72"/>
      <c r="K333" s="35" t="s">
        <v>65</v>
      </c>
      <c r="L333" s="80">
        <v>333</v>
      </c>
      <c r="M333" s="80"/>
      <c r="N333" s="74"/>
      <c r="O333" s="82" t="s">
        <v>776</v>
      </c>
      <c r="P333" s="82" t="s">
        <v>197</v>
      </c>
      <c r="Q333" s="82" t="s">
        <v>1102</v>
      </c>
      <c r="R333" s="82" t="s">
        <v>552</v>
      </c>
      <c r="S333" s="82" t="s">
        <v>1625</v>
      </c>
      <c r="T333" s="84" t="str">
        <f>HYPERLINK("http://www.youtube.com/channel/UCW81PJj55yOXCVzFUNjJW8Q")</f>
        <v>http://www.youtube.com/channel/UCW81PJj55yOXCVzFUNjJW8Q</v>
      </c>
      <c r="U333" s="82"/>
      <c r="V333" s="82" t="s">
        <v>1834</v>
      </c>
      <c r="W333" s="84" t="str">
        <f>HYPERLINK("https://www.youtube.com/watch?v=V4-3xDi_Ems")</f>
        <v>https://www.youtube.com/watch?v=V4-3xDi_Ems</v>
      </c>
      <c r="X333" s="82" t="s">
        <v>1857</v>
      </c>
      <c r="Y333" s="82">
        <v>0</v>
      </c>
      <c r="Z333" s="86">
        <v>44994.878530092596</v>
      </c>
      <c r="AA333" s="86">
        <v>44994.878530092596</v>
      </c>
      <c r="AB333" s="82"/>
      <c r="AC333" s="82"/>
      <c r="AD333" s="82"/>
      <c r="AE333" s="82">
        <v>1</v>
      </c>
      <c r="AF333" s="81">
        <v>1</v>
      </c>
      <c r="AG333" s="81">
        <v>1</v>
      </c>
      <c r="AH333" s="49">
        <v>0</v>
      </c>
      <c r="AI333" s="50">
        <v>0</v>
      </c>
      <c r="AJ333" s="49">
        <v>0</v>
      </c>
      <c r="AK333" s="50">
        <v>0</v>
      </c>
      <c r="AL333" s="49">
        <v>0</v>
      </c>
      <c r="AM333" s="50">
        <v>0</v>
      </c>
      <c r="AN333" s="49">
        <v>6</v>
      </c>
      <c r="AO333" s="50">
        <v>60</v>
      </c>
      <c r="AP333" s="49">
        <v>10</v>
      </c>
    </row>
    <row r="334" spans="1:42" ht="15">
      <c r="A334" s="66" t="s">
        <v>553</v>
      </c>
      <c r="B334" s="66" t="s">
        <v>636</v>
      </c>
      <c r="C334" s="67" t="s">
        <v>4788</v>
      </c>
      <c r="D334" s="68">
        <v>10</v>
      </c>
      <c r="E334" s="69"/>
      <c r="F334" s="70">
        <v>15</v>
      </c>
      <c r="G334" s="67"/>
      <c r="H334" s="71"/>
      <c r="I334" s="72"/>
      <c r="J334" s="72"/>
      <c r="K334" s="35" t="s">
        <v>65</v>
      </c>
      <c r="L334" s="80">
        <v>334</v>
      </c>
      <c r="M334" s="80"/>
      <c r="N334" s="74"/>
      <c r="O334" s="82" t="s">
        <v>776</v>
      </c>
      <c r="P334" s="82" t="s">
        <v>197</v>
      </c>
      <c r="Q334" s="82" t="s">
        <v>1103</v>
      </c>
      <c r="R334" s="82" t="s">
        <v>553</v>
      </c>
      <c r="S334" s="82" t="s">
        <v>1626</v>
      </c>
      <c r="T334" s="84" t="str">
        <f>HYPERLINK("http://www.youtube.com/channel/UClYDXUzNPVKFub4eNdO1HhA")</f>
        <v>http://www.youtube.com/channel/UClYDXUzNPVKFub4eNdO1HhA</v>
      </c>
      <c r="U334" s="82"/>
      <c r="V334" s="82" t="s">
        <v>1834</v>
      </c>
      <c r="W334" s="84" t="str">
        <f>HYPERLINK("https://www.youtube.com/watch?v=V4-3xDi_Ems")</f>
        <v>https://www.youtube.com/watch?v=V4-3xDi_Ems</v>
      </c>
      <c r="X334" s="82" t="s">
        <v>1857</v>
      </c>
      <c r="Y334" s="82">
        <v>0</v>
      </c>
      <c r="Z334" s="86">
        <v>44995.19836805556</v>
      </c>
      <c r="AA334" s="86">
        <v>44995.19836805556</v>
      </c>
      <c r="AB334" s="82"/>
      <c r="AC334" s="82"/>
      <c r="AD334" s="82"/>
      <c r="AE334" s="82">
        <v>4</v>
      </c>
      <c r="AF334" s="81">
        <v>1</v>
      </c>
      <c r="AG334" s="81">
        <v>1</v>
      </c>
      <c r="AH334" s="49">
        <v>0</v>
      </c>
      <c r="AI334" s="50">
        <v>0</v>
      </c>
      <c r="AJ334" s="49">
        <v>1</v>
      </c>
      <c r="AK334" s="110">
        <v>3.0303030303030303</v>
      </c>
      <c r="AL334" s="49">
        <v>0</v>
      </c>
      <c r="AM334" s="50">
        <v>0</v>
      </c>
      <c r="AN334" s="49">
        <v>11</v>
      </c>
      <c r="AO334" s="110">
        <v>33.333333333333336</v>
      </c>
      <c r="AP334" s="49">
        <v>33</v>
      </c>
    </row>
    <row r="335" spans="1:42" ht="15">
      <c r="A335" s="66" t="s">
        <v>554</v>
      </c>
      <c r="B335" s="66" t="s">
        <v>636</v>
      </c>
      <c r="C335" s="67" t="s">
        <v>774</v>
      </c>
      <c r="D335" s="68">
        <v>3</v>
      </c>
      <c r="E335" s="69"/>
      <c r="F335" s="70">
        <v>40</v>
      </c>
      <c r="G335" s="67"/>
      <c r="H335" s="71"/>
      <c r="I335" s="72"/>
      <c r="J335" s="72"/>
      <c r="K335" s="35" t="s">
        <v>65</v>
      </c>
      <c r="L335" s="80">
        <v>335</v>
      </c>
      <c r="M335" s="80"/>
      <c r="N335" s="74"/>
      <c r="O335" s="82" t="s">
        <v>776</v>
      </c>
      <c r="P335" s="82" t="s">
        <v>197</v>
      </c>
      <c r="Q335" s="82" t="s">
        <v>1104</v>
      </c>
      <c r="R335" s="82" t="s">
        <v>554</v>
      </c>
      <c r="S335" s="82" t="s">
        <v>1627</v>
      </c>
      <c r="T335" s="84" t="str">
        <f>HYPERLINK("http://www.youtube.com/channel/UCD3uSyJlev8CTgz8QCiXbmQ")</f>
        <v>http://www.youtube.com/channel/UCD3uSyJlev8CTgz8QCiXbmQ</v>
      </c>
      <c r="U335" s="82"/>
      <c r="V335" s="82" t="s">
        <v>1834</v>
      </c>
      <c r="W335" s="84" t="str">
        <f>HYPERLINK("https://www.youtube.com/watch?v=V4-3xDi_Ems")</f>
        <v>https://www.youtube.com/watch?v=V4-3xDi_Ems</v>
      </c>
      <c r="X335" s="82" t="s">
        <v>1857</v>
      </c>
      <c r="Y335" s="82">
        <v>0</v>
      </c>
      <c r="Z335" s="86">
        <v>45008.30678240741</v>
      </c>
      <c r="AA335" s="86">
        <v>45008.30678240741</v>
      </c>
      <c r="AB335" s="82"/>
      <c r="AC335" s="82"/>
      <c r="AD335" s="82"/>
      <c r="AE335" s="82">
        <v>1</v>
      </c>
      <c r="AF335" s="81">
        <v>1</v>
      </c>
      <c r="AG335" s="81">
        <v>1</v>
      </c>
      <c r="AH335" s="49">
        <v>0</v>
      </c>
      <c r="AI335" s="50">
        <v>0</v>
      </c>
      <c r="AJ335" s="49">
        <v>1</v>
      </c>
      <c r="AK335" s="110">
        <v>33.333333333333336</v>
      </c>
      <c r="AL335" s="49">
        <v>0</v>
      </c>
      <c r="AM335" s="50">
        <v>0</v>
      </c>
      <c r="AN335" s="49">
        <v>0</v>
      </c>
      <c r="AO335" s="50">
        <v>0</v>
      </c>
      <c r="AP335" s="49">
        <v>3</v>
      </c>
    </row>
    <row r="336" spans="1:42" ht="15">
      <c r="A336" s="66" t="s">
        <v>555</v>
      </c>
      <c r="B336" s="66" t="s">
        <v>636</v>
      </c>
      <c r="C336" s="67" t="s">
        <v>774</v>
      </c>
      <c r="D336" s="68">
        <v>3</v>
      </c>
      <c r="E336" s="69"/>
      <c r="F336" s="70">
        <v>40</v>
      </c>
      <c r="G336" s="67"/>
      <c r="H336" s="71"/>
      <c r="I336" s="72"/>
      <c r="J336" s="72"/>
      <c r="K336" s="35" t="s">
        <v>65</v>
      </c>
      <c r="L336" s="80">
        <v>336</v>
      </c>
      <c r="M336" s="80"/>
      <c r="N336" s="74"/>
      <c r="O336" s="82" t="s">
        <v>776</v>
      </c>
      <c r="P336" s="82" t="s">
        <v>197</v>
      </c>
      <c r="Q336" s="82" t="s">
        <v>1105</v>
      </c>
      <c r="R336" s="82" t="s">
        <v>555</v>
      </c>
      <c r="S336" s="82" t="s">
        <v>1628</v>
      </c>
      <c r="T336" s="84" t="str">
        <f>HYPERLINK("http://www.youtube.com/channel/UCjT5bapFUBrqwzyo9Q2SoKw")</f>
        <v>http://www.youtube.com/channel/UCjT5bapFUBrqwzyo9Q2SoKw</v>
      </c>
      <c r="U336" s="82"/>
      <c r="V336" s="82" t="s">
        <v>1834</v>
      </c>
      <c r="W336" s="84" t="str">
        <f>HYPERLINK("https://www.youtube.com/watch?v=V4-3xDi_Ems")</f>
        <v>https://www.youtube.com/watch?v=V4-3xDi_Ems</v>
      </c>
      <c r="X336" s="82" t="s">
        <v>1857</v>
      </c>
      <c r="Y336" s="82">
        <v>0</v>
      </c>
      <c r="Z336" s="86">
        <v>45008.65819444445</v>
      </c>
      <c r="AA336" s="86">
        <v>45008.65819444445</v>
      </c>
      <c r="AB336" s="82"/>
      <c r="AC336" s="82"/>
      <c r="AD336" s="82"/>
      <c r="AE336" s="82">
        <v>1</v>
      </c>
      <c r="AF336" s="81">
        <v>1</v>
      </c>
      <c r="AG336" s="81">
        <v>1</v>
      </c>
      <c r="AH336" s="49">
        <v>1</v>
      </c>
      <c r="AI336" s="50">
        <v>2</v>
      </c>
      <c r="AJ336" s="49">
        <v>3</v>
      </c>
      <c r="AK336" s="50">
        <v>6</v>
      </c>
      <c r="AL336" s="49">
        <v>0</v>
      </c>
      <c r="AM336" s="50">
        <v>0</v>
      </c>
      <c r="AN336" s="49">
        <v>12</v>
      </c>
      <c r="AO336" s="50">
        <v>24</v>
      </c>
      <c r="AP336" s="49">
        <v>50</v>
      </c>
    </row>
    <row r="337" spans="1:42" ht="15">
      <c r="A337" s="66" t="s">
        <v>556</v>
      </c>
      <c r="B337" s="66" t="s">
        <v>636</v>
      </c>
      <c r="C337" s="67" t="s">
        <v>774</v>
      </c>
      <c r="D337" s="68">
        <v>3</v>
      </c>
      <c r="E337" s="69"/>
      <c r="F337" s="70">
        <v>40</v>
      </c>
      <c r="G337" s="67"/>
      <c r="H337" s="71"/>
      <c r="I337" s="72"/>
      <c r="J337" s="72"/>
      <c r="K337" s="35" t="s">
        <v>65</v>
      </c>
      <c r="L337" s="80">
        <v>337</v>
      </c>
      <c r="M337" s="80"/>
      <c r="N337" s="74"/>
      <c r="O337" s="82" t="s">
        <v>776</v>
      </c>
      <c r="P337" s="82" t="s">
        <v>197</v>
      </c>
      <c r="Q337" s="82" t="s">
        <v>1106</v>
      </c>
      <c r="R337" s="82" t="s">
        <v>556</v>
      </c>
      <c r="S337" s="82" t="s">
        <v>1629</v>
      </c>
      <c r="T337" s="84" t="str">
        <f>HYPERLINK("http://www.youtube.com/channel/UCeBRQP-I5Xo7j92Lq4ItRlg")</f>
        <v>http://www.youtube.com/channel/UCeBRQP-I5Xo7j92Lq4ItRlg</v>
      </c>
      <c r="U337" s="82"/>
      <c r="V337" s="82" t="s">
        <v>1834</v>
      </c>
      <c r="W337" s="84" t="str">
        <f>HYPERLINK("https://www.youtube.com/watch?v=V4-3xDi_Ems")</f>
        <v>https://www.youtube.com/watch?v=V4-3xDi_Ems</v>
      </c>
      <c r="X337" s="82" t="s">
        <v>1857</v>
      </c>
      <c r="Y337" s="82">
        <v>28</v>
      </c>
      <c r="Z337" s="86">
        <v>45009.387349537035</v>
      </c>
      <c r="AA337" s="86">
        <v>45009.387349537035</v>
      </c>
      <c r="AB337" s="82"/>
      <c r="AC337" s="82"/>
      <c r="AD337" s="82"/>
      <c r="AE337" s="82">
        <v>1</v>
      </c>
      <c r="AF337" s="81">
        <v>1</v>
      </c>
      <c r="AG337" s="81">
        <v>1</v>
      </c>
      <c r="AH337" s="49">
        <v>0</v>
      </c>
      <c r="AI337" s="50">
        <v>0</v>
      </c>
      <c r="AJ337" s="49">
        <v>0</v>
      </c>
      <c r="AK337" s="50">
        <v>0</v>
      </c>
      <c r="AL337" s="49">
        <v>0</v>
      </c>
      <c r="AM337" s="50">
        <v>0</v>
      </c>
      <c r="AN337" s="49">
        <v>4</v>
      </c>
      <c r="AO337" s="50">
        <v>25</v>
      </c>
      <c r="AP337" s="49">
        <v>16</v>
      </c>
    </row>
    <row r="338" spans="1:42" ht="15">
      <c r="A338" s="66" t="s">
        <v>557</v>
      </c>
      <c r="B338" s="66" t="s">
        <v>636</v>
      </c>
      <c r="C338" s="67" t="s">
        <v>774</v>
      </c>
      <c r="D338" s="68">
        <v>3</v>
      </c>
      <c r="E338" s="69"/>
      <c r="F338" s="70">
        <v>40</v>
      </c>
      <c r="G338" s="67"/>
      <c r="H338" s="71"/>
      <c r="I338" s="72"/>
      <c r="J338" s="72"/>
      <c r="K338" s="35" t="s">
        <v>65</v>
      </c>
      <c r="L338" s="80">
        <v>338</v>
      </c>
      <c r="M338" s="80"/>
      <c r="N338" s="74"/>
      <c r="O338" s="82" t="s">
        <v>776</v>
      </c>
      <c r="P338" s="82" t="s">
        <v>197</v>
      </c>
      <c r="Q338" s="82" t="s">
        <v>1107</v>
      </c>
      <c r="R338" s="82" t="s">
        <v>557</v>
      </c>
      <c r="S338" s="82" t="s">
        <v>1630</v>
      </c>
      <c r="T338" s="84" t="str">
        <f>HYPERLINK("http://www.youtube.com/channel/UCTnWh-9ays8w2Wu7OaXZ8UA")</f>
        <v>http://www.youtube.com/channel/UCTnWh-9ays8w2Wu7OaXZ8UA</v>
      </c>
      <c r="U338" s="82"/>
      <c r="V338" s="82" t="s">
        <v>1834</v>
      </c>
      <c r="W338" s="84" t="str">
        <f>HYPERLINK("https://www.youtube.com/watch?v=V4-3xDi_Ems")</f>
        <v>https://www.youtube.com/watch?v=V4-3xDi_Ems</v>
      </c>
      <c r="X338" s="82" t="s">
        <v>1857</v>
      </c>
      <c r="Y338" s="82">
        <v>3</v>
      </c>
      <c r="Z338" s="86">
        <v>45009.843993055554</v>
      </c>
      <c r="AA338" s="86">
        <v>45009.843993055554</v>
      </c>
      <c r="AB338" s="82"/>
      <c r="AC338" s="82"/>
      <c r="AD338" s="82"/>
      <c r="AE338" s="82">
        <v>1</v>
      </c>
      <c r="AF338" s="81">
        <v>1</v>
      </c>
      <c r="AG338" s="81">
        <v>1</v>
      </c>
      <c r="AH338" s="49">
        <v>0</v>
      </c>
      <c r="AI338" s="50">
        <v>0</v>
      </c>
      <c r="AJ338" s="49">
        <v>0</v>
      </c>
      <c r="AK338" s="50">
        <v>0</v>
      </c>
      <c r="AL338" s="49">
        <v>0</v>
      </c>
      <c r="AM338" s="50">
        <v>0</v>
      </c>
      <c r="AN338" s="49">
        <v>5</v>
      </c>
      <c r="AO338" s="50">
        <v>62.5</v>
      </c>
      <c r="AP338" s="49">
        <v>8</v>
      </c>
    </row>
    <row r="339" spans="1:42" ht="15">
      <c r="A339" s="66" t="s">
        <v>558</v>
      </c>
      <c r="B339" s="66" t="s">
        <v>636</v>
      </c>
      <c r="C339" s="67" t="s">
        <v>774</v>
      </c>
      <c r="D339" s="68">
        <v>3</v>
      </c>
      <c r="E339" s="69"/>
      <c r="F339" s="70">
        <v>40</v>
      </c>
      <c r="G339" s="67"/>
      <c r="H339" s="71"/>
      <c r="I339" s="72"/>
      <c r="J339" s="72"/>
      <c r="K339" s="35" t="s">
        <v>65</v>
      </c>
      <c r="L339" s="80">
        <v>339</v>
      </c>
      <c r="M339" s="80"/>
      <c r="N339" s="74"/>
      <c r="O339" s="82" t="s">
        <v>776</v>
      </c>
      <c r="P339" s="82" t="s">
        <v>197</v>
      </c>
      <c r="Q339" s="82" t="s">
        <v>1108</v>
      </c>
      <c r="R339" s="82" t="s">
        <v>558</v>
      </c>
      <c r="S339" s="82" t="s">
        <v>1631</v>
      </c>
      <c r="T339" s="84" t="str">
        <f>HYPERLINK("http://www.youtube.com/channel/UCx_-HOt8ALx3s0XSRgnXh5w")</f>
        <v>http://www.youtube.com/channel/UCx_-HOt8ALx3s0XSRgnXh5w</v>
      </c>
      <c r="U339" s="82"/>
      <c r="V339" s="82" t="s">
        <v>1834</v>
      </c>
      <c r="W339" s="84" t="str">
        <f>HYPERLINK("https://www.youtube.com/watch?v=V4-3xDi_Ems")</f>
        <v>https://www.youtube.com/watch?v=V4-3xDi_Ems</v>
      </c>
      <c r="X339" s="82" t="s">
        <v>1857</v>
      </c>
      <c r="Y339" s="82">
        <v>0</v>
      </c>
      <c r="Z339" s="86">
        <v>45010.594930555555</v>
      </c>
      <c r="AA339" s="86">
        <v>45010.594930555555</v>
      </c>
      <c r="AB339" s="82"/>
      <c r="AC339" s="82"/>
      <c r="AD339" s="82"/>
      <c r="AE339" s="82">
        <v>1</v>
      </c>
      <c r="AF339" s="81">
        <v>1</v>
      </c>
      <c r="AG339" s="81">
        <v>1</v>
      </c>
      <c r="AH339" s="49">
        <v>0</v>
      </c>
      <c r="AI339" s="50">
        <v>0</v>
      </c>
      <c r="AJ339" s="49">
        <v>0</v>
      </c>
      <c r="AK339" s="50">
        <v>0</v>
      </c>
      <c r="AL339" s="49">
        <v>0</v>
      </c>
      <c r="AM339" s="50">
        <v>0</v>
      </c>
      <c r="AN339" s="49">
        <v>9</v>
      </c>
      <c r="AO339" s="110">
        <v>47.36842105263158</v>
      </c>
      <c r="AP339" s="49">
        <v>19</v>
      </c>
    </row>
    <row r="340" spans="1:42" ht="15">
      <c r="A340" s="66" t="s">
        <v>559</v>
      </c>
      <c r="B340" s="66" t="s">
        <v>636</v>
      </c>
      <c r="C340" s="67" t="s">
        <v>774</v>
      </c>
      <c r="D340" s="68">
        <v>3</v>
      </c>
      <c r="E340" s="69"/>
      <c r="F340" s="70">
        <v>40</v>
      </c>
      <c r="G340" s="67"/>
      <c r="H340" s="71"/>
      <c r="I340" s="72"/>
      <c r="J340" s="72"/>
      <c r="K340" s="35" t="s">
        <v>65</v>
      </c>
      <c r="L340" s="80">
        <v>340</v>
      </c>
      <c r="M340" s="80"/>
      <c r="N340" s="74"/>
      <c r="O340" s="82" t="s">
        <v>776</v>
      </c>
      <c r="P340" s="82" t="s">
        <v>197</v>
      </c>
      <c r="Q340" s="82" t="s">
        <v>1109</v>
      </c>
      <c r="R340" s="82" t="s">
        <v>559</v>
      </c>
      <c r="S340" s="82" t="s">
        <v>1632</v>
      </c>
      <c r="T340" s="84" t="str">
        <f>HYPERLINK("http://www.youtube.com/channel/UCA9InjazaazxiJNPisbVvZQ")</f>
        <v>http://www.youtube.com/channel/UCA9InjazaazxiJNPisbVvZQ</v>
      </c>
      <c r="U340" s="82"/>
      <c r="V340" s="82" t="s">
        <v>1834</v>
      </c>
      <c r="W340" s="84" t="str">
        <f>HYPERLINK("https://www.youtube.com/watch?v=V4-3xDi_Ems")</f>
        <v>https://www.youtube.com/watch?v=V4-3xDi_Ems</v>
      </c>
      <c r="X340" s="82" t="s">
        <v>1857</v>
      </c>
      <c r="Y340" s="82">
        <v>0</v>
      </c>
      <c r="Z340" s="86">
        <v>45011.22450231481</v>
      </c>
      <c r="AA340" s="86">
        <v>45011.22450231481</v>
      </c>
      <c r="AB340" s="82"/>
      <c r="AC340" s="82"/>
      <c r="AD340" s="82"/>
      <c r="AE340" s="82">
        <v>1</v>
      </c>
      <c r="AF340" s="81">
        <v>1</v>
      </c>
      <c r="AG340" s="81">
        <v>1</v>
      </c>
      <c r="AH340" s="49">
        <v>0</v>
      </c>
      <c r="AI340" s="50">
        <v>0</v>
      </c>
      <c r="AJ340" s="49">
        <v>1</v>
      </c>
      <c r="AK340" s="110">
        <v>6.666666666666667</v>
      </c>
      <c r="AL340" s="49">
        <v>0</v>
      </c>
      <c r="AM340" s="50">
        <v>0</v>
      </c>
      <c r="AN340" s="49">
        <v>5</v>
      </c>
      <c r="AO340" s="110">
        <v>33.333333333333336</v>
      </c>
      <c r="AP340" s="49">
        <v>15</v>
      </c>
    </row>
    <row r="341" spans="1:42" ht="15">
      <c r="A341" s="66" t="s">
        <v>560</v>
      </c>
      <c r="B341" s="66" t="s">
        <v>636</v>
      </c>
      <c r="C341" s="67" t="s">
        <v>774</v>
      </c>
      <c r="D341" s="68">
        <v>3</v>
      </c>
      <c r="E341" s="69"/>
      <c r="F341" s="70">
        <v>40</v>
      </c>
      <c r="G341" s="67"/>
      <c r="H341" s="71"/>
      <c r="I341" s="72"/>
      <c r="J341" s="72"/>
      <c r="K341" s="35" t="s">
        <v>65</v>
      </c>
      <c r="L341" s="80">
        <v>341</v>
      </c>
      <c r="M341" s="80"/>
      <c r="N341" s="74"/>
      <c r="O341" s="82" t="s">
        <v>776</v>
      </c>
      <c r="P341" s="82" t="s">
        <v>197</v>
      </c>
      <c r="Q341" s="82" t="s">
        <v>1110</v>
      </c>
      <c r="R341" s="82" t="s">
        <v>560</v>
      </c>
      <c r="S341" s="82" t="s">
        <v>1633</v>
      </c>
      <c r="T341" s="84" t="str">
        <f>HYPERLINK("http://www.youtube.com/channel/UCwdUB2kln_cAWXRgsRLrhxA")</f>
        <v>http://www.youtube.com/channel/UCwdUB2kln_cAWXRgsRLrhxA</v>
      </c>
      <c r="U341" s="82"/>
      <c r="V341" s="82" t="s">
        <v>1834</v>
      </c>
      <c r="W341" s="84" t="str">
        <f>HYPERLINK("https://www.youtube.com/watch?v=V4-3xDi_Ems")</f>
        <v>https://www.youtube.com/watch?v=V4-3xDi_Ems</v>
      </c>
      <c r="X341" s="82" t="s">
        <v>1857</v>
      </c>
      <c r="Y341" s="82">
        <v>0</v>
      </c>
      <c r="Z341" s="86">
        <v>45013.07232638889</v>
      </c>
      <c r="AA341" s="86">
        <v>45013.07232638889</v>
      </c>
      <c r="AB341" s="82"/>
      <c r="AC341" s="82"/>
      <c r="AD341" s="82"/>
      <c r="AE341" s="82">
        <v>1</v>
      </c>
      <c r="AF341" s="81">
        <v>1</v>
      </c>
      <c r="AG341" s="81">
        <v>1</v>
      </c>
      <c r="AH341" s="49">
        <v>0</v>
      </c>
      <c r="AI341" s="50">
        <v>0</v>
      </c>
      <c r="AJ341" s="49">
        <v>2</v>
      </c>
      <c r="AK341" s="50">
        <v>20</v>
      </c>
      <c r="AL341" s="49">
        <v>0</v>
      </c>
      <c r="AM341" s="50">
        <v>0</v>
      </c>
      <c r="AN341" s="49">
        <v>5</v>
      </c>
      <c r="AO341" s="50">
        <v>50</v>
      </c>
      <c r="AP341" s="49">
        <v>10</v>
      </c>
    </row>
    <row r="342" spans="1:42" ht="15">
      <c r="A342" s="66" t="s">
        <v>561</v>
      </c>
      <c r="B342" s="66" t="s">
        <v>636</v>
      </c>
      <c r="C342" s="67" t="s">
        <v>774</v>
      </c>
      <c r="D342" s="68">
        <v>3</v>
      </c>
      <c r="E342" s="69"/>
      <c r="F342" s="70">
        <v>40</v>
      </c>
      <c r="G342" s="67"/>
      <c r="H342" s="71"/>
      <c r="I342" s="72"/>
      <c r="J342" s="72"/>
      <c r="K342" s="35" t="s">
        <v>65</v>
      </c>
      <c r="L342" s="80">
        <v>342</v>
      </c>
      <c r="M342" s="80"/>
      <c r="N342" s="74"/>
      <c r="O342" s="82" t="s">
        <v>776</v>
      </c>
      <c r="P342" s="82" t="s">
        <v>197</v>
      </c>
      <c r="Q342" s="82" t="s">
        <v>1111</v>
      </c>
      <c r="R342" s="82" t="s">
        <v>561</v>
      </c>
      <c r="S342" s="82" t="s">
        <v>1634</v>
      </c>
      <c r="T342" s="84" t="str">
        <f>HYPERLINK("http://www.youtube.com/channel/UCPLxI8dQXDdc1vD7toIIS0A")</f>
        <v>http://www.youtube.com/channel/UCPLxI8dQXDdc1vD7toIIS0A</v>
      </c>
      <c r="U342" s="82"/>
      <c r="V342" s="82" t="s">
        <v>1834</v>
      </c>
      <c r="W342" s="84" t="str">
        <f>HYPERLINK("https://www.youtube.com/watch?v=V4-3xDi_Ems")</f>
        <v>https://www.youtube.com/watch?v=V4-3xDi_Ems</v>
      </c>
      <c r="X342" s="82" t="s">
        <v>1857</v>
      </c>
      <c r="Y342" s="82">
        <v>0</v>
      </c>
      <c r="Z342" s="86">
        <v>45019.28711805555</v>
      </c>
      <c r="AA342" s="86">
        <v>45019.29152777778</v>
      </c>
      <c r="AB342" s="82"/>
      <c r="AC342" s="82"/>
      <c r="AD342" s="82"/>
      <c r="AE342" s="82">
        <v>1</v>
      </c>
      <c r="AF342" s="81">
        <v>1</v>
      </c>
      <c r="AG342" s="81">
        <v>1</v>
      </c>
      <c r="AH342" s="49">
        <v>1</v>
      </c>
      <c r="AI342" s="110">
        <v>8.333333333333334</v>
      </c>
      <c r="AJ342" s="49">
        <v>0</v>
      </c>
      <c r="AK342" s="50">
        <v>0</v>
      </c>
      <c r="AL342" s="49">
        <v>0</v>
      </c>
      <c r="AM342" s="50">
        <v>0</v>
      </c>
      <c r="AN342" s="49">
        <v>2</v>
      </c>
      <c r="AO342" s="110">
        <v>16.666666666666668</v>
      </c>
      <c r="AP342" s="49">
        <v>12</v>
      </c>
    </row>
    <row r="343" spans="1:42" ht="15">
      <c r="A343" s="66" t="s">
        <v>562</v>
      </c>
      <c r="B343" s="66" t="s">
        <v>636</v>
      </c>
      <c r="C343" s="67" t="s">
        <v>774</v>
      </c>
      <c r="D343" s="68">
        <v>3</v>
      </c>
      <c r="E343" s="69"/>
      <c r="F343" s="70">
        <v>40</v>
      </c>
      <c r="G343" s="67"/>
      <c r="H343" s="71"/>
      <c r="I343" s="72"/>
      <c r="J343" s="72"/>
      <c r="K343" s="35" t="s">
        <v>65</v>
      </c>
      <c r="L343" s="80">
        <v>343</v>
      </c>
      <c r="M343" s="80"/>
      <c r="N343" s="74"/>
      <c r="O343" s="82" t="s">
        <v>776</v>
      </c>
      <c r="P343" s="82" t="s">
        <v>197</v>
      </c>
      <c r="Q343" s="82" t="s">
        <v>1112</v>
      </c>
      <c r="R343" s="82" t="s">
        <v>562</v>
      </c>
      <c r="S343" s="82" t="s">
        <v>1635</v>
      </c>
      <c r="T343" s="84" t="str">
        <f>HYPERLINK("http://www.youtube.com/channel/UCuB3gfOt-6D-hJVnJTbGcWA")</f>
        <v>http://www.youtube.com/channel/UCuB3gfOt-6D-hJVnJTbGcWA</v>
      </c>
      <c r="U343" s="82"/>
      <c r="V343" s="82" t="s">
        <v>1834</v>
      </c>
      <c r="W343" s="84" t="str">
        <f>HYPERLINK("https://www.youtube.com/watch?v=V4-3xDi_Ems")</f>
        <v>https://www.youtube.com/watch?v=V4-3xDi_Ems</v>
      </c>
      <c r="X343" s="82" t="s">
        <v>1857</v>
      </c>
      <c r="Y343" s="82">
        <v>0</v>
      </c>
      <c r="Z343" s="86">
        <v>45038.393842592595</v>
      </c>
      <c r="AA343" s="86">
        <v>45038.393842592595</v>
      </c>
      <c r="AB343" s="82"/>
      <c r="AC343" s="82"/>
      <c r="AD343" s="82"/>
      <c r="AE343" s="82">
        <v>1</v>
      </c>
      <c r="AF343" s="81">
        <v>1</v>
      </c>
      <c r="AG343" s="81">
        <v>1</v>
      </c>
      <c r="AH343" s="49">
        <v>0</v>
      </c>
      <c r="AI343" s="50">
        <v>0</v>
      </c>
      <c r="AJ343" s="49">
        <v>4</v>
      </c>
      <c r="AK343" s="50">
        <v>20</v>
      </c>
      <c r="AL343" s="49">
        <v>0</v>
      </c>
      <c r="AM343" s="50">
        <v>0</v>
      </c>
      <c r="AN343" s="49">
        <v>5</v>
      </c>
      <c r="AO343" s="50">
        <v>25</v>
      </c>
      <c r="AP343" s="49">
        <v>20</v>
      </c>
    </row>
    <row r="344" spans="1:42" ht="15">
      <c r="A344" s="66" t="s">
        <v>563</v>
      </c>
      <c r="B344" s="66" t="s">
        <v>636</v>
      </c>
      <c r="C344" s="67" t="s">
        <v>774</v>
      </c>
      <c r="D344" s="68">
        <v>3</v>
      </c>
      <c r="E344" s="69"/>
      <c r="F344" s="70">
        <v>40</v>
      </c>
      <c r="G344" s="67"/>
      <c r="H344" s="71"/>
      <c r="I344" s="72"/>
      <c r="J344" s="72"/>
      <c r="K344" s="35" t="s">
        <v>65</v>
      </c>
      <c r="L344" s="80">
        <v>344</v>
      </c>
      <c r="M344" s="80"/>
      <c r="N344" s="74"/>
      <c r="O344" s="82" t="s">
        <v>776</v>
      </c>
      <c r="P344" s="82" t="s">
        <v>197</v>
      </c>
      <c r="Q344" s="82" t="s">
        <v>1113</v>
      </c>
      <c r="R344" s="82" t="s">
        <v>563</v>
      </c>
      <c r="S344" s="82" t="s">
        <v>1636</v>
      </c>
      <c r="T344" s="84" t="str">
        <f>HYPERLINK("http://www.youtube.com/channel/UClp-lFkd6u56G7P1DoIU2Wg")</f>
        <v>http://www.youtube.com/channel/UClp-lFkd6u56G7P1DoIU2Wg</v>
      </c>
      <c r="U344" s="82"/>
      <c r="V344" s="82" t="s">
        <v>1834</v>
      </c>
      <c r="W344" s="84" t="str">
        <f>HYPERLINK("https://www.youtube.com/watch?v=V4-3xDi_Ems")</f>
        <v>https://www.youtube.com/watch?v=V4-3xDi_Ems</v>
      </c>
      <c r="X344" s="82" t="s">
        <v>1857</v>
      </c>
      <c r="Y344" s="82">
        <v>0</v>
      </c>
      <c r="Z344" s="86">
        <v>45043.68866898148</v>
      </c>
      <c r="AA344" s="86">
        <v>45043.68866898148</v>
      </c>
      <c r="AB344" s="82"/>
      <c r="AC344" s="82"/>
      <c r="AD344" s="82"/>
      <c r="AE344" s="82">
        <v>1</v>
      </c>
      <c r="AF344" s="81">
        <v>1</v>
      </c>
      <c r="AG344" s="81">
        <v>1</v>
      </c>
      <c r="AH344" s="49">
        <v>1</v>
      </c>
      <c r="AI344" s="50">
        <v>100</v>
      </c>
      <c r="AJ344" s="49">
        <v>0</v>
      </c>
      <c r="AK344" s="50">
        <v>0</v>
      </c>
      <c r="AL344" s="49">
        <v>0</v>
      </c>
      <c r="AM344" s="50">
        <v>0</v>
      </c>
      <c r="AN344" s="49">
        <v>0</v>
      </c>
      <c r="AO344" s="50">
        <v>0</v>
      </c>
      <c r="AP344" s="49">
        <v>1</v>
      </c>
    </row>
    <row r="345" spans="1:42" ht="15">
      <c r="A345" s="66" t="s">
        <v>564</v>
      </c>
      <c r="B345" s="66" t="s">
        <v>636</v>
      </c>
      <c r="C345" s="67" t="s">
        <v>774</v>
      </c>
      <c r="D345" s="68">
        <v>3</v>
      </c>
      <c r="E345" s="69"/>
      <c r="F345" s="70">
        <v>40</v>
      </c>
      <c r="G345" s="67"/>
      <c r="H345" s="71"/>
      <c r="I345" s="72"/>
      <c r="J345" s="72"/>
      <c r="K345" s="35" t="s">
        <v>65</v>
      </c>
      <c r="L345" s="80">
        <v>345</v>
      </c>
      <c r="M345" s="80"/>
      <c r="N345" s="74"/>
      <c r="O345" s="82" t="s">
        <v>776</v>
      </c>
      <c r="P345" s="82" t="s">
        <v>197</v>
      </c>
      <c r="Q345" s="82" t="s">
        <v>1114</v>
      </c>
      <c r="R345" s="82" t="s">
        <v>564</v>
      </c>
      <c r="S345" s="82" t="s">
        <v>1637</v>
      </c>
      <c r="T345" s="84" t="str">
        <f>HYPERLINK("http://www.youtube.com/channel/UCpN1ODs7Ah-GPGiqE9JK0sw")</f>
        <v>http://www.youtube.com/channel/UCpN1ODs7Ah-GPGiqE9JK0sw</v>
      </c>
      <c r="U345" s="82"/>
      <c r="V345" s="82" t="s">
        <v>1834</v>
      </c>
      <c r="W345" s="84" t="str">
        <f>HYPERLINK("https://www.youtube.com/watch?v=V4-3xDi_Ems")</f>
        <v>https://www.youtube.com/watch?v=V4-3xDi_Ems</v>
      </c>
      <c r="X345" s="82" t="s">
        <v>1857</v>
      </c>
      <c r="Y345" s="82">
        <v>0</v>
      </c>
      <c r="Z345" s="86">
        <v>45045.286828703705</v>
      </c>
      <c r="AA345" s="86">
        <v>45045.286828703705</v>
      </c>
      <c r="AB345" s="82"/>
      <c r="AC345" s="82"/>
      <c r="AD345" s="82"/>
      <c r="AE345" s="82">
        <v>1</v>
      </c>
      <c r="AF345" s="81">
        <v>1</v>
      </c>
      <c r="AG345" s="81">
        <v>1</v>
      </c>
      <c r="AH345" s="49">
        <v>0</v>
      </c>
      <c r="AI345" s="50">
        <v>0</v>
      </c>
      <c r="AJ345" s="49">
        <v>1</v>
      </c>
      <c r="AK345" s="110">
        <v>6.666666666666667</v>
      </c>
      <c r="AL345" s="49">
        <v>0</v>
      </c>
      <c r="AM345" s="50">
        <v>0</v>
      </c>
      <c r="AN345" s="49">
        <v>2</v>
      </c>
      <c r="AO345" s="110">
        <v>13.333333333333334</v>
      </c>
      <c r="AP345" s="49">
        <v>15</v>
      </c>
    </row>
    <row r="346" spans="1:42" ht="15">
      <c r="A346" s="66" t="s">
        <v>565</v>
      </c>
      <c r="B346" s="66" t="s">
        <v>636</v>
      </c>
      <c r="C346" s="67" t="s">
        <v>774</v>
      </c>
      <c r="D346" s="68">
        <v>3</v>
      </c>
      <c r="E346" s="69"/>
      <c r="F346" s="70">
        <v>40</v>
      </c>
      <c r="G346" s="67"/>
      <c r="H346" s="71"/>
      <c r="I346" s="72"/>
      <c r="J346" s="72"/>
      <c r="K346" s="35" t="s">
        <v>65</v>
      </c>
      <c r="L346" s="80">
        <v>346</v>
      </c>
      <c r="M346" s="80"/>
      <c r="N346" s="74"/>
      <c r="O346" s="82" t="s">
        <v>776</v>
      </c>
      <c r="P346" s="82" t="s">
        <v>197</v>
      </c>
      <c r="Q346" s="82" t="s">
        <v>1115</v>
      </c>
      <c r="R346" s="82" t="s">
        <v>565</v>
      </c>
      <c r="S346" s="82" t="s">
        <v>1638</v>
      </c>
      <c r="T346" s="84" t="str">
        <f>HYPERLINK("http://www.youtube.com/channel/UCIB0Xmyn-AUtGloBCErYsFg")</f>
        <v>http://www.youtube.com/channel/UCIB0Xmyn-AUtGloBCErYsFg</v>
      </c>
      <c r="U346" s="82"/>
      <c r="V346" s="82" t="s">
        <v>1834</v>
      </c>
      <c r="W346" s="84" t="str">
        <f>HYPERLINK("https://www.youtube.com/watch?v=V4-3xDi_Ems")</f>
        <v>https://www.youtube.com/watch?v=V4-3xDi_Ems</v>
      </c>
      <c r="X346" s="82" t="s">
        <v>1857</v>
      </c>
      <c r="Y346" s="82">
        <v>0</v>
      </c>
      <c r="Z346" s="86">
        <v>45049.510358796295</v>
      </c>
      <c r="AA346" s="86">
        <v>45049.510358796295</v>
      </c>
      <c r="AB346" s="82"/>
      <c r="AC346" s="82"/>
      <c r="AD346" s="82"/>
      <c r="AE346" s="82">
        <v>1</v>
      </c>
      <c r="AF346" s="81">
        <v>1</v>
      </c>
      <c r="AG346" s="81">
        <v>1</v>
      </c>
      <c r="AH346" s="49">
        <v>0</v>
      </c>
      <c r="AI346" s="50">
        <v>0</v>
      </c>
      <c r="AJ346" s="49">
        <v>0</v>
      </c>
      <c r="AK346" s="50">
        <v>0</v>
      </c>
      <c r="AL346" s="49">
        <v>0</v>
      </c>
      <c r="AM346" s="50">
        <v>0</v>
      </c>
      <c r="AN346" s="49">
        <v>1</v>
      </c>
      <c r="AO346" s="50">
        <v>25</v>
      </c>
      <c r="AP346" s="49">
        <v>4</v>
      </c>
    </row>
    <row r="347" spans="1:42" ht="15">
      <c r="A347" s="66" t="s">
        <v>566</v>
      </c>
      <c r="B347" s="66" t="s">
        <v>636</v>
      </c>
      <c r="C347" s="67" t="s">
        <v>774</v>
      </c>
      <c r="D347" s="68">
        <v>3</v>
      </c>
      <c r="E347" s="69"/>
      <c r="F347" s="70">
        <v>40</v>
      </c>
      <c r="G347" s="67"/>
      <c r="H347" s="71"/>
      <c r="I347" s="72"/>
      <c r="J347" s="72"/>
      <c r="K347" s="35" t="s">
        <v>65</v>
      </c>
      <c r="L347" s="80">
        <v>347</v>
      </c>
      <c r="M347" s="80"/>
      <c r="N347" s="74"/>
      <c r="O347" s="82" t="s">
        <v>776</v>
      </c>
      <c r="P347" s="82" t="s">
        <v>197</v>
      </c>
      <c r="Q347" s="82" t="s">
        <v>1116</v>
      </c>
      <c r="R347" s="82" t="s">
        <v>566</v>
      </c>
      <c r="S347" s="82" t="s">
        <v>1639</v>
      </c>
      <c r="T347" s="84" t="str">
        <f>HYPERLINK("http://www.youtube.com/channel/UCbqN9YkySTk_SOinIUNcZAQ")</f>
        <v>http://www.youtube.com/channel/UCbqN9YkySTk_SOinIUNcZAQ</v>
      </c>
      <c r="U347" s="82"/>
      <c r="V347" s="82" t="s">
        <v>1834</v>
      </c>
      <c r="W347" s="84" t="str">
        <f>HYPERLINK("https://www.youtube.com/watch?v=V4-3xDi_Ems")</f>
        <v>https://www.youtube.com/watch?v=V4-3xDi_Ems</v>
      </c>
      <c r="X347" s="82" t="s">
        <v>1857</v>
      </c>
      <c r="Y347" s="82">
        <v>0</v>
      </c>
      <c r="Z347" s="86">
        <v>45051.9525462963</v>
      </c>
      <c r="AA347" s="86">
        <v>45051.9525462963</v>
      </c>
      <c r="AB347" s="82"/>
      <c r="AC347" s="82"/>
      <c r="AD347" s="82"/>
      <c r="AE347" s="82">
        <v>1</v>
      </c>
      <c r="AF347" s="81">
        <v>1</v>
      </c>
      <c r="AG347" s="81">
        <v>1</v>
      </c>
      <c r="AH347" s="49">
        <v>0</v>
      </c>
      <c r="AI347" s="50">
        <v>0</v>
      </c>
      <c r="AJ347" s="49">
        <v>2</v>
      </c>
      <c r="AK347" s="50">
        <v>6.25</v>
      </c>
      <c r="AL347" s="49">
        <v>0</v>
      </c>
      <c r="AM347" s="50">
        <v>0</v>
      </c>
      <c r="AN347" s="49">
        <v>9</v>
      </c>
      <c r="AO347" s="50">
        <v>28.125</v>
      </c>
      <c r="AP347" s="49">
        <v>32</v>
      </c>
    </row>
    <row r="348" spans="1:42" ht="15">
      <c r="A348" s="66" t="s">
        <v>567</v>
      </c>
      <c r="B348" s="66" t="s">
        <v>636</v>
      </c>
      <c r="C348" s="67" t="s">
        <v>774</v>
      </c>
      <c r="D348" s="68">
        <v>3</v>
      </c>
      <c r="E348" s="69"/>
      <c r="F348" s="70">
        <v>40</v>
      </c>
      <c r="G348" s="67"/>
      <c r="H348" s="71"/>
      <c r="I348" s="72"/>
      <c r="J348" s="72"/>
      <c r="K348" s="35" t="s">
        <v>65</v>
      </c>
      <c r="L348" s="80">
        <v>348</v>
      </c>
      <c r="M348" s="80"/>
      <c r="N348" s="74"/>
      <c r="O348" s="82" t="s">
        <v>776</v>
      </c>
      <c r="P348" s="82" t="s">
        <v>197</v>
      </c>
      <c r="Q348" s="82" t="s">
        <v>1117</v>
      </c>
      <c r="R348" s="82" t="s">
        <v>567</v>
      </c>
      <c r="S348" s="82" t="s">
        <v>1640</v>
      </c>
      <c r="T348" s="84" t="str">
        <f>HYPERLINK("http://www.youtube.com/channel/UCcewikxALDMFVa3W8YiBYdA")</f>
        <v>http://www.youtube.com/channel/UCcewikxALDMFVa3W8YiBYdA</v>
      </c>
      <c r="U348" s="82"/>
      <c r="V348" s="82" t="s">
        <v>1834</v>
      </c>
      <c r="W348" s="84" t="str">
        <f>HYPERLINK("https://www.youtube.com/watch?v=V4-3xDi_Ems")</f>
        <v>https://www.youtube.com/watch?v=V4-3xDi_Ems</v>
      </c>
      <c r="X348" s="82" t="s">
        <v>1857</v>
      </c>
      <c r="Y348" s="82">
        <v>1</v>
      </c>
      <c r="Z348" s="86">
        <v>45057.79655092592</v>
      </c>
      <c r="AA348" s="86">
        <v>45057.79655092592</v>
      </c>
      <c r="AB348" s="82"/>
      <c r="AC348" s="82"/>
      <c r="AD348" s="82"/>
      <c r="AE348" s="82">
        <v>1</v>
      </c>
      <c r="AF348" s="81">
        <v>1</v>
      </c>
      <c r="AG348" s="81">
        <v>1</v>
      </c>
      <c r="AH348" s="49">
        <v>0</v>
      </c>
      <c r="AI348" s="50">
        <v>0</v>
      </c>
      <c r="AJ348" s="49">
        <v>2</v>
      </c>
      <c r="AK348" s="50">
        <v>10</v>
      </c>
      <c r="AL348" s="49">
        <v>0</v>
      </c>
      <c r="AM348" s="50">
        <v>0</v>
      </c>
      <c r="AN348" s="49">
        <v>2</v>
      </c>
      <c r="AO348" s="50">
        <v>10</v>
      </c>
      <c r="AP348" s="49">
        <v>20</v>
      </c>
    </row>
    <row r="349" spans="1:42" ht="15">
      <c r="A349" s="66" t="s">
        <v>568</v>
      </c>
      <c r="B349" s="66" t="s">
        <v>636</v>
      </c>
      <c r="C349" s="67" t="s">
        <v>4788</v>
      </c>
      <c r="D349" s="68">
        <v>10</v>
      </c>
      <c r="E349" s="69"/>
      <c r="F349" s="70">
        <v>15</v>
      </c>
      <c r="G349" s="67"/>
      <c r="H349" s="71"/>
      <c r="I349" s="72"/>
      <c r="J349" s="72"/>
      <c r="K349" s="35" t="s">
        <v>65</v>
      </c>
      <c r="L349" s="80">
        <v>349</v>
      </c>
      <c r="M349" s="80"/>
      <c r="N349" s="74"/>
      <c r="O349" s="82" t="s">
        <v>776</v>
      </c>
      <c r="P349" s="82" t="s">
        <v>197</v>
      </c>
      <c r="Q349" s="82" t="s">
        <v>1118</v>
      </c>
      <c r="R349" s="82" t="s">
        <v>568</v>
      </c>
      <c r="S349" s="82" t="s">
        <v>1641</v>
      </c>
      <c r="T349" s="84" t="str">
        <f>HYPERLINK("http://www.youtube.com/channel/UC81ONGO9ynWpnw9Kked6J4g")</f>
        <v>http://www.youtube.com/channel/UC81ONGO9ynWpnw9Kked6J4g</v>
      </c>
      <c r="U349" s="82"/>
      <c r="V349" s="82" t="s">
        <v>1834</v>
      </c>
      <c r="W349" s="84" t="str">
        <f>HYPERLINK("https://www.youtube.com/watch?v=V4-3xDi_Ems")</f>
        <v>https://www.youtube.com/watch?v=V4-3xDi_Ems</v>
      </c>
      <c r="X349" s="82" t="s">
        <v>1857</v>
      </c>
      <c r="Y349" s="82">
        <v>0</v>
      </c>
      <c r="Z349" s="86">
        <v>45059.563935185186</v>
      </c>
      <c r="AA349" s="86">
        <v>45059.563935185186</v>
      </c>
      <c r="AB349" s="82"/>
      <c r="AC349" s="82"/>
      <c r="AD349" s="82"/>
      <c r="AE349" s="82">
        <v>4</v>
      </c>
      <c r="AF349" s="81">
        <v>1</v>
      </c>
      <c r="AG349" s="81">
        <v>1</v>
      </c>
      <c r="AH349" s="49">
        <v>3</v>
      </c>
      <c r="AI349" s="50">
        <v>12</v>
      </c>
      <c r="AJ349" s="49">
        <v>0</v>
      </c>
      <c r="AK349" s="50">
        <v>0</v>
      </c>
      <c r="AL349" s="49">
        <v>0</v>
      </c>
      <c r="AM349" s="50">
        <v>0</v>
      </c>
      <c r="AN349" s="49">
        <v>9</v>
      </c>
      <c r="AO349" s="50">
        <v>36</v>
      </c>
      <c r="AP349" s="49">
        <v>25</v>
      </c>
    </row>
    <row r="350" spans="1:42" ht="15">
      <c r="A350" s="66" t="s">
        <v>569</v>
      </c>
      <c r="B350" s="66" t="s">
        <v>636</v>
      </c>
      <c r="C350" s="67" t="s">
        <v>774</v>
      </c>
      <c r="D350" s="68">
        <v>3</v>
      </c>
      <c r="E350" s="69"/>
      <c r="F350" s="70">
        <v>40</v>
      </c>
      <c r="G350" s="67"/>
      <c r="H350" s="71"/>
      <c r="I350" s="72"/>
      <c r="J350" s="72"/>
      <c r="K350" s="35" t="s">
        <v>65</v>
      </c>
      <c r="L350" s="80">
        <v>350</v>
      </c>
      <c r="M350" s="80"/>
      <c r="N350" s="74"/>
      <c r="O350" s="82" t="s">
        <v>776</v>
      </c>
      <c r="P350" s="82" t="s">
        <v>197</v>
      </c>
      <c r="Q350" s="82" t="s">
        <v>1119</v>
      </c>
      <c r="R350" s="82" t="s">
        <v>569</v>
      </c>
      <c r="S350" s="82" t="s">
        <v>1642</v>
      </c>
      <c r="T350" s="84" t="str">
        <f>HYPERLINK("http://www.youtube.com/channel/UCopPTN-b2HEpzV6BfJglhBA")</f>
        <v>http://www.youtube.com/channel/UCopPTN-b2HEpzV6BfJglhBA</v>
      </c>
      <c r="U350" s="82"/>
      <c r="V350" s="82" t="s">
        <v>1834</v>
      </c>
      <c r="W350" s="84" t="str">
        <f>HYPERLINK("https://www.youtube.com/watch?v=V4-3xDi_Ems")</f>
        <v>https://www.youtube.com/watch?v=V4-3xDi_Ems</v>
      </c>
      <c r="X350" s="82" t="s">
        <v>1857</v>
      </c>
      <c r="Y350" s="82">
        <v>0</v>
      </c>
      <c r="Z350" s="86">
        <v>45059.81952546296</v>
      </c>
      <c r="AA350" s="86">
        <v>45059.81952546296</v>
      </c>
      <c r="AB350" s="82"/>
      <c r="AC350" s="82"/>
      <c r="AD350" s="82"/>
      <c r="AE350" s="82">
        <v>1</v>
      </c>
      <c r="AF350" s="81">
        <v>1</v>
      </c>
      <c r="AG350" s="81">
        <v>1</v>
      </c>
      <c r="AH350" s="49">
        <v>1</v>
      </c>
      <c r="AI350" s="50">
        <v>25</v>
      </c>
      <c r="AJ350" s="49">
        <v>0</v>
      </c>
      <c r="AK350" s="50">
        <v>0</v>
      </c>
      <c r="AL350" s="49">
        <v>0</v>
      </c>
      <c r="AM350" s="50">
        <v>0</v>
      </c>
      <c r="AN350" s="49">
        <v>1</v>
      </c>
      <c r="AO350" s="50">
        <v>25</v>
      </c>
      <c r="AP350" s="49">
        <v>4</v>
      </c>
    </row>
    <row r="351" spans="1:42" ht="15">
      <c r="A351" s="66" t="s">
        <v>570</v>
      </c>
      <c r="B351" s="66" t="s">
        <v>636</v>
      </c>
      <c r="C351" s="67" t="s">
        <v>774</v>
      </c>
      <c r="D351" s="68">
        <v>3</v>
      </c>
      <c r="E351" s="69"/>
      <c r="F351" s="70">
        <v>40</v>
      </c>
      <c r="G351" s="67"/>
      <c r="H351" s="71"/>
      <c r="I351" s="72"/>
      <c r="J351" s="72"/>
      <c r="K351" s="35" t="s">
        <v>65</v>
      </c>
      <c r="L351" s="80">
        <v>351</v>
      </c>
      <c r="M351" s="80"/>
      <c r="N351" s="74"/>
      <c r="O351" s="82" t="s">
        <v>776</v>
      </c>
      <c r="P351" s="82" t="s">
        <v>197</v>
      </c>
      <c r="Q351" s="82" t="s">
        <v>1120</v>
      </c>
      <c r="R351" s="82" t="s">
        <v>570</v>
      </c>
      <c r="S351" s="82" t="s">
        <v>1643</v>
      </c>
      <c r="T351" s="84" t="str">
        <f>HYPERLINK("http://www.youtube.com/channel/UCRNFmXcZWkmNOoTjge3218A")</f>
        <v>http://www.youtube.com/channel/UCRNFmXcZWkmNOoTjge3218A</v>
      </c>
      <c r="U351" s="82"/>
      <c r="V351" s="82" t="s">
        <v>1834</v>
      </c>
      <c r="W351" s="84" t="str">
        <f>HYPERLINK("https://www.youtube.com/watch?v=V4-3xDi_Ems")</f>
        <v>https://www.youtube.com/watch?v=V4-3xDi_Ems</v>
      </c>
      <c r="X351" s="82" t="s">
        <v>1857</v>
      </c>
      <c r="Y351" s="82">
        <v>0</v>
      </c>
      <c r="Z351" s="86">
        <v>45062.733773148146</v>
      </c>
      <c r="AA351" s="86">
        <v>45062.733773148146</v>
      </c>
      <c r="AB351" s="82"/>
      <c r="AC351" s="82"/>
      <c r="AD351" s="82"/>
      <c r="AE351" s="82">
        <v>1</v>
      </c>
      <c r="AF351" s="81">
        <v>1</v>
      </c>
      <c r="AG351" s="81">
        <v>1</v>
      </c>
      <c r="AH351" s="49">
        <v>1</v>
      </c>
      <c r="AI351" s="110">
        <v>7.142857142857143</v>
      </c>
      <c r="AJ351" s="49">
        <v>0</v>
      </c>
      <c r="AK351" s="50">
        <v>0</v>
      </c>
      <c r="AL351" s="49">
        <v>0</v>
      </c>
      <c r="AM351" s="50">
        <v>0</v>
      </c>
      <c r="AN351" s="49">
        <v>5</v>
      </c>
      <c r="AO351" s="110">
        <v>35.714285714285715</v>
      </c>
      <c r="AP351" s="49">
        <v>14</v>
      </c>
    </row>
    <row r="352" spans="1:42" ht="15">
      <c r="A352" s="66" t="s">
        <v>571</v>
      </c>
      <c r="B352" s="66" t="s">
        <v>636</v>
      </c>
      <c r="C352" s="67" t="s">
        <v>774</v>
      </c>
      <c r="D352" s="68">
        <v>3</v>
      </c>
      <c r="E352" s="69"/>
      <c r="F352" s="70">
        <v>40</v>
      </c>
      <c r="G352" s="67"/>
      <c r="H352" s="71"/>
      <c r="I352" s="72"/>
      <c r="J352" s="72"/>
      <c r="K352" s="35" t="s">
        <v>65</v>
      </c>
      <c r="L352" s="80">
        <v>352</v>
      </c>
      <c r="M352" s="80"/>
      <c r="N352" s="74"/>
      <c r="O352" s="82" t="s">
        <v>776</v>
      </c>
      <c r="P352" s="82" t="s">
        <v>197</v>
      </c>
      <c r="Q352" s="82" t="s">
        <v>1121</v>
      </c>
      <c r="R352" s="82" t="s">
        <v>571</v>
      </c>
      <c r="S352" s="82" t="s">
        <v>1644</v>
      </c>
      <c r="T352" s="84" t="str">
        <f>HYPERLINK("http://www.youtube.com/channel/UCHNTL_rs7KpyNuc--HEWbGQ")</f>
        <v>http://www.youtube.com/channel/UCHNTL_rs7KpyNuc--HEWbGQ</v>
      </c>
      <c r="U352" s="82"/>
      <c r="V352" s="82" t="s">
        <v>1834</v>
      </c>
      <c r="W352" s="84" t="str">
        <f>HYPERLINK("https://www.youtube.com/watch?v=V4-3xDi_Ems")</f>
        <v>https://www.youtube.com/watch?v=V4-3xDi_Ems</v>
      </c>
      <c r="X352" s="82" t="s">
        <v>1857</v>
      </c>
      <c r="Y352" s="82">
        <v>2</v>
      </c>
      <c r="Z352" s="86">
        <v>45064.15894675926</v>
      </c>
      <c r="AA352" s="86">
        <v>45064.15894675926</v>
      </c>
      <c r="AB352" s="82"/>
      <c r="AC352" s="82"/>
      <c r="AD352" s="82"/>
      <c r="AE352" s="82">
        <v>1</v>
      </c>
      <c r="AF352" s="81">
        <v>1</v>
      </c>
      <c r="AG352" s="81">
        <v>1</v>
      </c>
      <c r="AH352" s="49">
        <v>2</v>
      </c>
      <c r="AI352" s="110">
        <v>13.333333333333334</v>
      </c>
      <c r="AJ352" s="49">
        <v>0</v>
      </c>
      <c r="AK352" s="50">
        <v>0</v>
      </c>
      <c r="AL352" s="49">
        <v>0</v>
      </c>
      <c r="AM352" s="50">
        <v>0</v>
      </c>
      <c r="AN352" s="49">
        <v>6</v>
      </c>
      <c r="AO352" s="50">
        <v>40</v>
      </c>
      <c r="AP352" s="49">
        <v>15</v>
      </c>
    </row>
    <row r="353" spans="1:42" ht="15">
      <c r="A353" s="66" t="s">
        <v>572</v>
      </c>
      <c r="B353" s="66" t="s">
        <v>636</v>
      </c>
      <c r="C353" s="67" t="s">
        <v>774</v>
      </c>
      <c r="D353" s="68">
        <v>3</v>
      </c>
      <c r="E353" s="69"/>
      <c r="F353" s="70">
        <v>40</v>
      </c>
      <c r="G353" s="67"/>
      <c r="H353" s="71"/>
      <c r="I353" s="72"/>
      <c r="J353" s="72"/>
      <c r="K353" s="35" t="s">
        <v>65</v>
      </c>
      <c r="L353" s="80">
        <v>353</v>
      </c>
      <c r="M353" s="80"/>
      <c r="N353" s="74"/>
      <c r="O353" s="82" t="s">
        <v>776</v>
      </c>
      <c r="P353" s="82" t="s">
        <v>197</v>
      </c>
      <c r="Q353" s="82" t="s">
        <v>1122</v>
      </c>
      <c r="R353" s="82" t="s">
        <v>572</v>
      </c>
      <c r="S353" s="82" t="s">
        <v>1645</v>
      </c>
      <c r="T353" s="84" t="str">
        <f>HYPERLINK("http://www.youtube.com/channel/UC5GBqVmamEQBr0e56QptREQ")</f>
        <v>http://www.youtube.com/channel/UC5GBqVmamEQBr0e56QptREQ</v>
      </c>
      <c r="U353" s="82"/>
      <c r="V353" s="82" t="s">
        <v>1834</v>
      </c>
      <c r="W353" s="84" t="str">
        <f>HYPERLINK("https://www.youtube.com/watch?v=V4-3xDi_Ems")</f>
        <v>https://www.youtube.com/watch?v=V4-3xDi_Ems</v>
      </c>
      <c r="X353" s="82" t="s">
        <v>1857</v>
      </c>
      <c r="Y353" s="82">
        <v>1</v>
      </c>
      <c r="Z353" s="86">
        <v>45065.46800925926</v>
      </c>
      <c r="AA353" s="86">
        <v>45065.468564814815</v>
      </c>
      <c r="AB353" s="82"/>
      <c r="AC353" s="82"/>
      <c r="AD353" s="82"/>
      <c r="AE353" s="82">
        <v>1</v>
      </c>
      <c r="AF353" s="81">
        <v>1</v>
      </c>
      <c r="AG353" s="81">
        <v>1</v>
      </c>
      <c r="AH353" s="49">
        <v>1</v>
      </c>
      <c r="AI353" s="110">
        <v>7.142857142857143</v>
      </c>
      <c r="AJ353" s="49">
        <v>2</v>
      </c>
      <c r="AK353" s="110">
        <v>14.285714285714286</v>
      </c>
      <c r="AL353" s="49">
        <v>0</v>
      </c>
      <c r="AM353" s="50">
        <v>0</v>
      </c>
      <c r="AN353" s="49">
        <v>6</v>
      </c>
      <c r="AO353" s="110">
        <v>42.857142857142854</v>
      </c>
      <c r="AP353" s="49">
        <v>14</v>
      </c>
    </row>
    <row r="354" spans="1:42" ht="15">
      <c r="A354" s="66" t="s">
        <v>573</v>
      </c>
      <c r="B354" s="66" t="s">
        <v>636</v>
      </c>
      <c r="C354" s="67" t="s">
        <v>774</v>
      </c>
      <c r="D354" s="68">
        <v>3</v>
      </c>
      <c r="E354" s="69"/>
      <c r="F354" s="70">
        <v>40</v>
      </c>
      <c r="G354" s="67"/>
      <c r="H354" s="71"/>
      <c r="I354" s="72"/>
      <c r="J354" s="72"/>
      <c r="K354" s="35" t="s">
        <v>65</v>
      </c>
      <c r="L354" s="80">
        <v>354</v>
      </c>
      <c r="M354" s="80"/>
      <c r="N354" s="74"/>
      <c r="O354" s="82" t="s">
        <v>776</v>
      </c>
      <c r="P354" s="82" t="s">
        <v>197</v>
      </c>
      <c r="Q354" s="82" t="s">
        <v>1123</v>
      </c>
      <c r="R354" s="82" t="s">
        <v>573</v>
      </c>
      <c r="S354" s="82" t="s">
        <v>1646</v>
      </c>
      <c r="T354" s="84" t="str">
        <f>HYPERLINK("http://www.youtube.com/channel/UCo8-cXP4fBBLJUSQlFJd9_A")</f>
        <v>http://www.youtube.com/channel/UCo8-cXP4fBBLJUSQlFJd9_A</v>
      </c>
      <c r="U354" s="82"/>
      <c r="V354" s="82" t="s">
        <v>1834</v>
      </c>
      <c r="W354" s="84" t="str">
        <f>HYPERLINK("https://www.youtube.com/watch?v=V4-3xDi_Ems")</f>
        <v>https://www.youtube.com/watch?v=V4-3xDi_Ems</v>
      </c>
      <c r="X354" s="82" t="s">
        <v>1857</v>
      </c>
      <c r="Y354" s="82">
        <v>0</v>
      </c>
      <c r="Z354" s="86">
        <v>45065.570856481485</v>
      </c>
      <c r="AA354" s="86">
        <v>45065.570856481485</v>
      </c>
      <c r="AB354" s="82"/>
      <c r="AC354" s="82"/>
      <c r="AD354" s="82"/>
      <c r="AE354" s="82">
        <v>1</v>
      </c>
      <c r="AF354" s="81">
        <v>1</v>
      </c>
      <c r="AG354" s="81">
        <v>1</v>
      </c>
      <c r="AH354" s="49">
        <v>2</v>
      </c>
      <c r="AI354" s="110">
        <v>22.22222222222222</v>
      </c>
      <c r="AJ354" s="49">
        <v>0</v>
      </c>
      <c r="AK354" s="50">
        <v>0</v>
      </c>
      <c r="AL354" s="49">
        <v>0</v>
      </c>
      <c r="AM354" s="50">
        <v>0</v>
      </c>
      <c r="AN354" s="49">
        <v>3</v>
      </c>
      <c r="AO354" s="110">
        <v>33.333333333333336</v>
      </c>
      <c r="AP354" s="49">
        <v>9</v>
      </c>
    </row>
    <row r="355" spans="1:42" ht="15">
      <c r="A355" s="66" t="s">
        <v>574</v>
      </c>
      <c r="B355" s="66" t="s">
        <v>636</v>
      </c>
      <c r="C355" s="67" t="s">
        <v>774</v>
      </c>
      <c r="D355" s="68">
        <v>3</v>
      </c>
      <c r="E355" s="69"/>
      <c r="F355" s="70">
        <v>40</v>
      </c>
      <c r="G355" s="67"/>
      <c r="H355" s="71"/>
      <c r="I355" s="72"/>
      <c r="J355" s="72"/>
      <c r="K355" s="35" t="s">
        <v>65</v>
      </c>
      <c r="L355" s="80">
        <v>355</v>
      </c>
      <c r="M355" s="80"/>
      <c r="N355" s="74"/>
      <c r="O355" s="82" t="s">
        <v>776</v>
      </c>
      <c r="P355" s="82" t="s">
        <v>197</v>
      </c>
      <c r="Q355" s="82" t="s">
        <v>1124</v>
      </c>
      <c r="R355" s="82" t="s">
        <v>574</v>
      </c>
      <c r="S355" s="82" t="s">
        <v>1647</v>
      </c>
      <c r="T355" s="84" t="str">
        <f>HYPERLINK("http://www.youtube.com/channel/UCOIMFZRrN5QDLTqFH8A3Wsg")</f>
        <v>http://www.youtube.com/channel/UCOIMFZRrN5QDLTqFH8A3Wsg</v>
      </c>
      <c r="U355" s="82"/>
      <c r="V355" s="82" t="s">
        <v>1834</v>
      </c>
      <c r="W355" s="84" t="str">
        <f>HYPERLINK("https://www.youtube.com/watch?v=V4-3xDi_Ems")</f>
        <v>https://www.youtube.com/watch?v=V4-3xDi_Ems</v>
      </c>
      <c r="X355" s="82" t="s">
        <v>1857</v>
      </c>
      <c r="Y355" s="82">
        <v>0</v>
      </c>
      <c r="Z355" s="86">
        <v>45066.354525462964</v>
      </c>
      <c r="AA355" s="86">
        <v>45066.354525462964</v>
      </c>
      <c r="AB355" s="82"/>
      <c r="AC355" s="82"/>
      <c r="AD355" s="82"/>
      <c r="AE355" s="82">
        <v>1</v>
      </c>
      <c r="AF355" s="81">
        <v>1</v>
      </c>
      <c r="AG355" s="81">
        <v>1</v>
      </c>
      <c r="AH355" s="49">
        <v>0</v>
      </c>
      <c r="AI355" s="50">
        <v>0</v>
      </c>
      <c r="AJ355" s="49">
        <v>0</v>
      </c>
      <c r="AK355" s="50">
        <v>0</v>
      </c>
      <c r="AL355" s="49">
        <v>0</v>
      </c>
      <c r="AM355" s="50">
        <v>0</v>
      </c>
      <c r="AN355" s="49">
        <v>0</v>
      </c>
      <c r="AO355" s="50">
        <v>0</v>
      </c>
      <c r="AP355" s="49">
        <v>1</v>
      </c>
    </row>
    <row r="356" spans="1:42" ht="15">
      <c r="A356" s="66" t="s">
        <v>575</v>
      </c>
      <c r="B356" s="66" t="s">
        <v>636</v>
      </c>
      <c r="C356" s="67" t="s">
        <v>774</v>
      </c>
      <c r="D356" s="68">
        <v>3</v>
      </c>
      <c r="E356" s="69"/>
      <c r="F356" s="70">
        <v>40</v>
      </c>
      <c r="G356" s="67"/>
      <c r="H356" s="71"/>
      <c r="I356" s="72"/>
      <c r="J356" s="72"/>
      <c r="K356" s="35" t="s">
        <v>65</v>
      </c>
      <c r="L356" s="80">
        <v>356</v>
      </c>
      <c r="M356" s="80"/>
      <c r="N356" s="74"/>
      <c r="O356" s="82" t="s">
        <v>776</v>
      </c>
      <c r="P356" s="82" t="s">
        <v>197</v>
      </c>
      <c r="Q356" s="82" t="s">
        <v>1125</v>
      </c>
      <c r="R356" s="82" t="s">
        <v>575</v>
      </c>
      <c r="S356" s="82" t="s">
        <v>1648</v>
      </c>
      <c r="T356" s="84" t="str">
        <f>HYPERLINK("http://www.youtube.com/channel/UC0ZpNEw9Cx3J6We5RIuxQrA")</f>
        <v>http://www.youtube.com/channel/UC0ZpNEw9Cx3J6We5RIuxQrA</v>
      </c>
      <c r="U356" s="82"/>
      <c r="V356" s="82" t="s">
        <v>1834</v>
      </c>
      <c r="W356" s="84" t="str">
        <f>HYPERLINK("https://www.youtube.com/watch?v=V4-3xDi_Ems")</f>
        <v>https://www.youtube.com/watch?v=V4-3xDi_Ems</v>
      </c>
      <c r="X356" s="82" t="s">
        <v>1857</v>
      </c>
      <c r="Y356" s="82">
        <v>0</v>
      </c>
      <c r="Z356" s="86">
        <v>45067.19060185185</v>
      </c>
      <c r="AA356" s="86">
        <v>45067.19060185185</v>
      </c>
      <c r="AB356" s="82"/>
      <c r="AC356" s="82"/>
      <c r="AD356" s="82"/>
      <c r="AE356" s="82">
        <v>1</v>
      </c>
      <c r="AF356" s="81">
        <v>1</v>
      </c>
      <c r="AG356" s="81">
        <v>1</v>
      </c>
      <c r="AH356" s="49">
        <v>0</v>
      </c>
      <c r="AI356" s="50">
        <v>0</v>
      </c>
      <c r="AJ356" s="49">
        <v>0</v>
      </c>
      <c r="AK356" s="50">
        <v>0</v>
      </c>
      <c r="AL356" s="49">
        <v>0</v>
      </c>
      <c r="AM356" s="50">
        <v>0</v>
      </c>
      <c r="AN356" s="49">
        <v>0</v>
      </c>
      <c r="AO356" s="50">
        <v>0</v>
      </c>
      <c r="AP356" s="49">
        <v>0</v>
      </c>
    </row>
    <row r="357" spans="1:42" ht="15">
      <c r="A357" s="66" t="s">
        <v>576</v>
      </c>
      <c r="B357" s="66" t="s">
        <v>636</v>
      </c>
      <c r="C357" s="67" t="s">
        <v>774</v>
      </c>
      <c r="D357" s="68">
        <v>3</v>
      </c>
      <c r="E357" s="69"/>
      <c r="F357" s="70">
        <v>40</v>
      </c>
      <c r="G357" s="67"/>
      <c r="H357" s="71"/>
      <c r="I357" s="72"/>
      <c r="J357" s="72"/>
      <c r="K357" s="35" t="s">
        <v>65</v>
      </c>
      <c r="L357" s="80">
        <v>357</v>
      </c>
      <c r="M357" s="80"/>
      <c r="N357" s="74"/>
      <c r="O357" s="82" t="s">
        <v>776</v>
      </c>
      <c r="P357" s="82" t="s">
        <v>197</v>
      </c>
      <c r="Q357" s="82" t="s">
        <v>1126</v>
      </c>
      <c r="R357" s="82" t="s">
        <v>576</v>
      </c>
      <c r="S357" s="82" t="s">
        <v>1649</v>
      </c>
      <c r="T357" s="84" t="str">
        <f>HYPERLINK("http://www.youtube.com/channel/UCJ4YODtnuwNfSyuY2hVQ1Kw")</f>
        <v>http://www.youtube.com/channel/UCJ4YODtnuwNfSyuY2hVQ1Kw</v>
      </c>
      <c r="U357" s="82"/>
      <c r="V357" s="82" t="s">
        <v>1834</v>
      </c>
      <c r="W357" s="84" t="str">
        <f>HYPERLINK("https://www.youtube.com/watch?v=V4-3xDi_Ems")</f>
        <v>https://www.youtube.com/watch?v=V4-3xDi_Ems</v>
      </c>
      <c r="X357" s="82" t="s">
        <v>1857</v>
      </c>
      <c r="Y357" s="82">
        <v>0</v>
      </c>
      <c r="Z357" s="86">
        <v>45067.44836805556</v>
      </c>
      <c r="AA357" s="86">
        <v>45067.44880787037</v>
      </c>
      <c r="AB357" s="82"/>
      <c r="AC357" s="82"/>
      <c r="AD357" s="82"/>
      <c r="AE357" s="82">
        <v>1</v>
      </c>
      <c r="AF357" s="81">
        <v>1</v>
      </c>
      <c r="AG357" s="81">
        <v>1</v>
      </c>
      <c r="AH357" s="49">
        <v>1</v>
      </c>
      <c r="AI357" s="110">
        <v>7.6923076923076925</v>
      </c>
      <c r="AJ357" s="49">
        <v>0</v>
      </c>
      <c r="AK357" s="50">
        <v>0</v>
      </c>
      <c r="AL357" s="49">
        <v>0</v>
      </c>
      <c r="AM357" s="50">
        <v>0</v>
      </c>
      <c r="AN357" s="49">
        <v>4</v>
      </c>
      <c r="AO357" s="110">
        <v>30.76923076923077</v>
      </c>
      <c r="AP357" s="49">
        <v>13</v>
      </c>
    </row>
    <row r="358" spans="1:42" ht="15">
      <c r="A358" s="66" t="s">
        <v>577</v>
      </c>
      <c r="B358" s="66" t="s">
        <v>636</v>
      </c>
      <c r="C358" s="67" t="s">
        <v>4788</v>
      </c>
      <c r="D358" s="68">
        <v>10</v>
      </c>
      <c r="E358" s="69"/>
      <c r="F358" s="70">
        <v>15</v>
      </c>
      <c r="G358" s="67"/>
      <c r="H358" s="71"/>
      <c r="I358" s="72"/>
      <c r="J358" s="72"/>
      <c r="K358" s="35" t="s">
        <v>65</v>
      </c>
      <c r="L358" s="80">
        <v>358</v>
      </c>
      <c r="M358" s="80"/>
      <c r="N358" s="74"/>
      <c r="O358" s="82" t="s">
        <v>776</v>
      </c>
      <c r="P358" s="82" t="s">
        <v>197</v>
      </c>
      <c r="Q358" s="82" t="s">
        <v>1127</v>
      </c>
      <c r="R358" s="82" t="s">
        <v>577</v>
      </c>
      <c r="S358" s="82" t="s">
        <v>1650</v>
      </c>
      <c r="T358" s="84" t="str">
        <f>HYPERLINK("http://www.youtube.com/channel/UCP5dBTmSDsXKqvBhaEJhwfA")</f>
        <v>http://www.youtube.com/channel/UCP5dBTmSDsXKqvBhaEJhwfA</v>
      </c>
      <c r="U358" s="82"/>
      <c r="V358" s="82" t="s">
        <v>1834</v>
      </c>
      <c r="W358" s="84" t="str">
        <f>HYPERLINK("https://www.youtube.com/watch?v=V4-3xDi_Ems")</f>
        <v>https://www.youtube.com/watch?v=V4-3xDi_Ems</v>
      </c>
      <c r="X358" s="82" t="s">
        <v>1857</v>
      </c>
      <c r="Y358" s="82">
        <v>0</v>
      </c>
      <c r="Z358" s="86">
        <v>45068.84081018518</v>
      </c>
      <c r="AA358" s="86">
        <v>45068.84081018518</v>
      </c>
      <c r="AB358" s="82"/>
      <c r="AC358" s="82"/>
      <c r="AD358" s="82"/>
      <c r="AE358" s="82">
        <v>4</v>
      </c>
      <c r="AF358" s="81">
        <v>1</v>
      </c>
      <c r="AG358" s="81">
        <v>1</v>
      </c>
      <c r="AH358" s="49">
        <v>0</v>
      </c>
      <c r="AI358" s="50">
        <v>0</v>
      </c>
      <c r="AJ358" s="49">
        <v>1</v>
      </c>
      <c r="AK358" s="50">
        <v>100</v>
      </c>
      <c r="AL358" s="49">
        <v>0</v>
      </c>
      <c r="AM358" s="50">
        <v>0</v>
      </c>
      <c r="AN358" s="49">
        <v>0</v>
      </c>
      <c r="AO358" s="50">
        <v>0</v>
      </c>
      <c r="AP358" s="49">
        <v>1</v>
      </c>
    </row>
    <row r="359" spans="1:42" ht="15">
      <c r="A359" s="66" t="s">
        <v>578</v>
      </c>
      <c r="B359" s="66" t="s">
        <v>636</v>
      </c>
      <c r="C359" s="67" t="s">
        <v>774</v>
      </c>
      <c r="D359" s="68">
        <v>3</v>
      </c>
      <c r="E359" s="69"/>
      <c r="F359" s="70">
        <v>40</v>
      </c>
      <c r="G359" s="67"/>
      <c r="H359" s="71"/>
      <c r="I359" s="72"/>
      <c r="J359" s="72"/>
      <c r="K359" s="35" t="s">
        <v>65</v>
      </c>
      <c r="L359" s="80">
        <v>359</v>
      </c>
      <c r="M359" s="80"/>
      <c r="N359" s="74"/>
      <c r="O359" s="82" t="s">
        <v>776</v>
      </c>
      <c r="P359" s="82" t="s">
        <v>197</v>
      </c>
      <c r="Q359" s="82" t="s">
        <v>1128</v>
      </c>
      <c r="R359" s="82" t="s">
        <v>578</v>
      </c>
      <c r="S359" s="82" t="s">
        <v>1651</v>
      </c>
      <c r="T359" s="84" t="str">
        <f>HYPERLINK("http://www.youtube.com/channel/UCKgIdW_1XgMso83-cHlZm-g")</f>
        <v>http://www.youtube.com/channel/UCKgIdW_1XgMso83-cHlZm-g</v>
      </c>
      <c r="U359" s="82"/>
      <c r="V359" s="82" t="s">
        <v>1834</v>
      </c>
      <c r="W359" s="84" t="str">
        <f>HYPERLINK("https://www.youtube.com/watch?v=V4-3xDi_Ems")</f>
        <v>https://www.youtube.com/watch?v=V4-3xDi_Ems</v>
      </c>
      <c r="X359" s="82" t="s">
        <v>1857</v>
      </c>
      <c r="Y359" s="82">
        <v>3</v>
      </c>
      <c r="Z359" s="86">
        <v>45069.047372685185</v>
      </c>
      <c r="AA359" s="86">
        <v>45069.047372685185</v>
      </c>
      <c r="AB359" s="82"/>
      <c r="AC359" s="82"/>
      <c r="AD359" s="82"/>
      <c r="AE359" s="82">
        <v>1</v>
      </c>
      <c r="AF359" s="81">
        <v>1</v>
      </c>
      <c r="AG359" s="81">
        <v>1</v>
      </c>
      <c r="AH359" s="49">
        <v>1</v>
      </c>
      <c r="AI359" s="110">
        <v>3.225806451612903</v>
      </c>
      <c r="AJ359" s="49">
        <v>1</v>
      </c>
      <c r="AK359" s="110">
        <v>3.225806451612903</v>
      </c>
      <c r="AL359" s="49">
        <v>0</v>
      </c>
      <c r="AM359" s="50">
        <v>0</v>
      </c>
      <c r="AN359" s="49">
        <v>12</v>
      </c>
      <c r="AO359" s="110">
        <v>38.70967741935484</v>
      </c>
      <c r="AP359" s="49">
        <v>31</v>
      </c>
    </row>
    <row r="360" spans="1:42" ht="15">
      <c r="A360" s="66" t="s">
        <v>579</v>
      </c>
      <c r="B360" s="66" t="s">
        <v>636</v>
      </c>
      <c r="C360" s="67" t="s">
        <v>774</v>
      </c>
      <c r="D360" s="68">
        <v>3</v>
      </c>
      <c r="E360" s="69"/>
      <c r="F360" s="70">
        <v>40</v>
      </c>
      <c r="G360" s="67"/>
      <c r="H360" s="71"/>
      <c r="I360" s="72"/>
      <c r="J360" s="72"/>
      <c r="K360" s="35" t="s">
        <v>65</v>
      </c>
      <c r="L360" s="80">
        <v>360</v>
      </c>
      <c r="M360" s="80"/>
      <c r="N360" s="74"/>
      <c r="O360" s="82" t="s">
        <v>776</v>
      </c>
      <c r="P360" s="82" t="s">
        <v>197</v>
      </c>
      <c r="Q360" s="82" t="s">
        <v>1129</v>
      </c>
      <c r="R360" s="82" t="s">
        <v>579</v>
      </c>
      <c r="S360" s="82" t="s">
        <v>1652</v>
      </c>
      <c r="T360" s="84" t="str">
        <f>HYPERLINK("http://www.youtube.com/channel/UCoLxR3-lIvkT0o_EyUyVrVA")</f>
        <v>http://www.youtube.com/channel/UCoLxR3-lIvkT0o_EyUyVrVA</v>
      </c>
      <c r="U360" s="82"/>
      <c r="V360" s="82" t="s">
        <v>1834</v>
      </c>
      <c r="W360" s="84" t="str">
        <f>HYPERLINK("https://www.youtube.com/watch?v=V4-3xDi_Ems")</f>
        <v>https://www.youtube.com/watch?v=V4-3xDi_Ems</v>
      </c>
      <c r="X360" s="82" t="s">
        <v>1857</v>
      </c>
      <c r="Y360" s="82">
        <v>0</v>
      </c>
      <c r="Z360" s="86">
        <v>45070.069606481484</v>
      </c>
      <c r="AA360" s="86">
        <v>45070.069606481484</v>
      </c>
      <c r="AB360" s="82"/>
      <c r="AC360" s="82"/>
      <c r="AD360" s="82"/>
      <c r="AE360" s="82">
        <v>1</v>
      </c>
      <c r="AF360" s="81">
        <v>1</v>
      </c>
      <c r="AG360" s="81">
        <v>1</v>
      </c>
      <c r="AH360" s="49">
        <v>1</v>
      </c>
      <c r="AI360" s="50">
        <v>25</v>
      </c>
      <c r="AJ360" s="49">
        <v>0</v>
      </c>
      <c r="AK360" s="50">
        <v>0</v>
      </c>
      <c r="AL360" s="49">
        <v>0</v>
      </c>
      <c r="AM360" s="50">
        <v>0</v>
      </c>
      <c r="AN360" s="49">
        <v>3</v>
      </c>
      <c r="AO360" s="50">
        <v>75</v>
      </c>
      <c r="AP360" s="49">
        <v>4</v>
      </c>
    </row>
    <row r="361" spans="1:42" ht="15">
      <c r="A361" s="66" t="s">
        <v>580</v>
      </c>
      <c r="B361" s="66" t="s">
        <v>636</v>
      </c>
      <c r="C361" s="67" t="s">
        <v>774</v>
      </c>
      <c r="D361" s="68">
        <v>3</v>
      </c>
      <c r="E361" s="69"/>
      <c r="F361" s="70">
        <v>40</v>
      </c>
      <c r="G361" s="67"/>
      <c r="H361" s="71"/>
      <c r="I361" s="72"/>
      <c r="J361" s="72"/>
      <c r="K361" s="35" t="s">
        <v>65</v>
      </c>
      <c r="L361" s="80">
        <v>361</v>
      </c>
      <c r="M361" s="80"/>
      <c r="N361" s="74"/>
      <c r="O361" s="82" t="s">
        <v>776</v>
      </c>
      <c r="P361" s="82" t="s">
        <v>197</v>
      </c>
      <c r="Q361" s="82" t="s">
        <v>1130</v>
      </c>
      <c r="R361" s="82" t="s">
        <v>580</v>
      </c>
      <c r="S361" s="82" t="s">
        <v>1653</v>
      </c>
      <c r="T361" s="84" t="str">
        <f>HYPERLINK("http://www.youtube.com/channel/UC3p7EbHpBX43Lx2qVYnUmEw")</f>
        <v>http://www.youtube.com/channel/UC3p7EbHpBX43Lx2qVYnUmEw</v>
      </c>
      <c r="U361" s="82"/>
      <c r="V361" s="82" t="s">
        <v>1834</v>
      </c>
      <c r="W361" s="84" t="str">
        <f>HYPERLINK("https://www.youtube.com/watch?v=V4-3xDi_Ems")</f>
        <v>https://www.youtube.com/watch?v=V4-3xDi_Ems</v>
      </c>
      <c r="X361" s="82" t="s">
        <v>1857</v>
      </c>
      <c r="Y361" s="82">
        <v>1</v>
      </c>
      <c r="Z361" s="86">
        <v>45071.03763888889</v>
      </c>
      <c r="AA361" s="86">
        <v>45071.03763888889</v>
      </c>
      <c r="AB361" s="82"/>
      <c r="AC361" s="82"/>
      <c r="AD361" s="82"/>
      <c r="AE361" s="82">
        <v>1</v>
      </c>
      <c r="AF361" s="81">
        <v>1</v>
      </c>
      <c r="AG361" s="81">
        <v>1</v>
      </c>
      <c r="AH361" s="49">
        <v>0</v>
      </c>
      <c r="AI361" s="50">
        <v>0</v>
      </c>
      <c r="AJ361" s="49">
        <v>0</v>
      </c>
      <c r="AK361" s="50">
        <v>0</v>
      </c>
      <c r="AL361" s="49">
        <v>0</v>
      </c>
      <c r="AM361" s="50">
        <v>0</v>
      </c>
      <c r="AN361" s="49">
        <v>1</v>
      </c>
      <c r="AO361" s="110">
        <v>14.285714285714286</v>
      </c>
      <c r="AP361" s="49">
        <v>7</v>
      </c>
    </row>
    <row r="362" spans="1:42" ht="15">
      <c r="A362" s="66" t="s">
        <v>581</v>
      </c>
      <c r="B362" s="66" t="s">
        <v>636</v>
      </c>
      <c r="C362" s="67" t="s">
        <v>774</v>
      </c>
      <c r="D362" s="68">
        <v>3</v>
      </c>
      <c r="E362" s="69"/>
      <c r="F362" s="70">
        <v>40</v>
      </c>
      <c r="G362" s="67"/>
      <c r="H362" s="71"/>
      <c r="I362" s="72"/>
      <c r="J362" s="72"/>
      <c r="K362" s="35" t="s">
        <v>65</v>
      </c>
      <c r="L362" s="80">
        <v>362</v>
      </c>
      <c r="M362" s="80"/>
      <c r="N362" s="74"/>
      <c r="O362" s="82" t="s">
        <v>776</v>
      </c>
      <c r="P362" s="82" t="s">
        <v>197</v>
      </c>
      <c r="Q362" s="82" t="s">
        <v>1131</v>
      </c>
      <c r="R362" s="82" t="s">
        <v>581</v>
      </c>
      <c r="S362" s="82" t="s">
        <v>1654</v>
      </c>
      <c r="T362" s="84" t="str">
        <f>HYPERLINK("http://www.youtube.com/channel/UCHMv7i1bz30bwqGCoDAZyOg")</f>
        <v>http://www.youtube.com/channel/UCHMv7i1bz30bwqGCoDAZyOg</v>
      </c>
      <c r="U362" s="82"/>
      <c r="V362" s="82" t="s">
        <v>1834</v>
      </c>
      <c r="W362" s="84" t="str">
        <f>HYPERLINK("https://www.youtube.com/watch?v=V4-3xDi_Ems")</f>
        <v>https://www.youtube.com/watch?v=V4-3xDi_Ems</v>
      </c>
      <c r="X362" s="82" t="s">
        <v>1857</v>
      </c>
      <c r="Y362" s="82">
        <v>0</v>
      </c>
      <c r="Z362" s="86">
        <v>45072.134305555555</v>
      </c>
      <c r="AA362" s="86">
        <v>45072.134305555555</v>
      </c>
      <c r="AB362" s="82"/>
      <c r="AC362" s="82"/>
      <c r="AD362" s="82"/>
      <c r="AE362" s="82">
        <v>1</v>
      </c>
      <c r="AF362" s="81">
        <v>1</v>
      </c>
      <c r="AG362" s="81">
        <v>1</v>
      </c>
      <c r="AH362" s="49">
        <v>1</v>
      </c>
      <c r="AI362" s="110">
        <v>4.3478260869565215</v>
      </c>
      <c r="AJ362" s="49">
        <v>0</v>
      </c>
      <c r="AK362" s="50">
        <v>0</v>
      </c>
      <c r="AL362" s="49">
        <v>0</v>
      </c>
      <c r="AM362" s="50">
        <v>0</v>
      </c>
      <c r="AN362" s="49">
        <v>8</v>
      </c>
      <c r="AO362" s="110">
        <v>34.78260869565217</v>
      </c>
      <c r="AP362" s="49">
        <v>23</v>
      </c>
    </row>
    <row r="363" spans="1:42" ht="15">
      <c r="A363" s="66" t="s">
        <v>582</v>
      </c>
      <c r="B363" s="66" t="s">
        <v>636</v>
      </c>
      <c r="C363" s="67" t="s">
        <v>774</v>
      </c>
      <c r="D363" s="68">
        <v>3</v>
      </c>
      <c r="E363" s="69"/>
      <c r="F363" s="70">
        <v>40</v>
      </c>
      <c r="G363" s="67"/>
      <c r="H363" s="71"/>
      <c r="I363" s="72"/>
      <c r="J363" s="72"/>
      <c r="K363" s="35" t="s">
        <v>65</v>
      </c>
      <c r="L363" s="80">
        <v>363</v>
      </c>
      <c r="M363" s="80"/>
      <c r="N363" s="74"/>
      <c r="O363" s="82" t="s">
        <v>776</v>
      </c>
      <c r="P363" s="82" t="s">
        <v>197</v>
      </c>
      <c r="Q363" s="82" t="s">
        <v>1132</v>
      </c>
      <c r="R363" s="82" t="s">
        <v>582</v>
      </c>
      <c r="S363" s="82" t="s">
        <v>1655</v>
      </c>
      <c r="T363" s="84" t="str">
        <f>HYPERLINK("http://www.youtube.com/channel/UCdUdNa5IbE-Q2ku0amPTCbA")</f>
        <v>http://www.youtube.com/channel/UCdUdNa5IbE-Q2ku0amPTCbA</v>
      </c>
      <c r="U363" s="82"/>
      <c r="V363" s="82" t="s">
        <v>1834</v>
      </c>
      <c r="W363" s="84" t="str">
        <f>HYPERLINK("https://www.youtube.com/watch?v=V4-3xDi_Ems")</f>
        <v>https://www.youtube.com/watch?v=V4-3xDi_Ems</v>
      </c>
      <c r="X363" s="82" t="s">
        <v>1857</v>
      </c>
      <c r="Y363" s="82">
        <v>4</v>
      </c>
      <c r="Z363" s="86">
        <v>45073.61682870371</v>
      </c>
      <c r="AA363" s="86">
        <v>45073.61682870371</v>
      </c>
      <c r="AB363" s="82"/>
      <c r="AC363" s="82"/>
      <c r="AD363" s="82"/>
      <c r="AE363" s="82">
        <v>1</v>
      </c>
      <c r="AF363" s="81">
        <v>1</v>
      </c>
      <c r="AG363" s="81">
        <v>1</v>
      </c>
      <c r="AH363" s="49">
        <v>1</v>
      </c>
      <c r="AI363" s="110">
        <v>3.5714285714285716</v>
      </c>
      <c r="AJ363" s="49">
        <v>1</v>
      </c>
      <c r="AK363" s="110">
        <v>3.5714285714285716</v>
      </c>
      <c r="AL363" s="49">
        <v>0</v>
      </c>
      <c r="AM363" s="50">
        <v>0</v>
      </c>
      <c r="AN363" s="49">
        <v>9</v>
      </c>
      <c r="AO363" s="110">
        <v>32.142857142857146</v>
      </c>
      <c r="AP363" s="49">
        <v>28</v>
      </c>
    </row>
    <row r="364" spans="1:42" ht="15">
      <c r="A364" s="66" t="s">
        <v>583</v>
      </c>
      <c r="B364" s="66" t="s">
        <v>636</v>
      </c>
      <c r="C364" s="67" t="s">
        <v>774</v>
      </c>
      <c r="D364" s="68">
        <v>3</v>
      </c>
      <c r="E364" s="69"/>
      <c r="F364" s="70">
        <v>40</v>
      </c>
      <c r="G364" s="67"/>
      <c r="H364" s="71"/>
      <c r="I364" s="72"/>
      <c r="J364" s="72"/>
      <c r="K364" s="35" t="s">
        <v>65</v>
      </c>
      <c r="L364" s="80">
        <v>364</v>
      </c>
      <c r="M364" s="80"/>
      <c r="N364" s="74"/>
      <c r="O364" s="82" t="s">
        <v>776</v>
      </c>
      <c r="P364" s="82" t="s">
        <v>197</v>
      </c>
      <c r="Q364" s="82" t="s">
        <v>1133</v>
      </c>
      <c r="R364" s="82" t="s">
        <v>583</v>
      </c>
      <c r="S364" s="82" t="s">
        <v>1656</v>
      </c>
      <c r="T364" s="84" t="str">
        <f>HYPERLINK("http://www.youtube.com/channel/UChn54Xq5Lr909DLXv4y4ZyA")</f>
        <v>http://www.youtube.com/channel/UChn54Xq5Lr909DLXv4y4ZyA</v>
      </c>
      <c r="U364" s="82"/>
      <c r="V364" s="82" t="s">
        <v>1834</v>
      </c>
      <c r="W364" s="84" t="str">
        <f>HYPERLINK("https://www.youtube.com/watch?v=V4-3xDi_Ems")</f>
        <v>https://www.youtube.com/watch?v=V4-3xDi_Ems</v>
      </c>
      <c r="X364" s="82" t="s">
        <v>1857</v>
      </c>
      <c r="Y364" s="82">
        <v>1</v>
      </c>
      <c r="Z364" s="86">
        <v>45074.799780092595</v>
      </c>
      <c r="AA364" s="86">
        <v>45074.799780092595</v>
      </c>
      <c r="AB364" s="82"/>
      <c r="AC364" s="82"/>
      <c r="AD364" s="82"/>
      <c r="AE364" s="82">
        <v>1</v>
      </c>
      <c r="AF364" s="81">
        <v>1</v>
      </c>
      <c r="AG364" s="81">
        <v>1</v>
      </c>
      <c r="AH364" s="49">
        <v>1</v>
      </c>
      <c r="AI364" s="110">
        <v>2.3255813953488373</v>
      </c>
      <c r="AJ364" s="49">
        <v>1</v>
      </c>
      <c r="AK364" s="110">
        <v>2.3255813953488373</v>
      </c>
      <c r="AL364" s="49">
        <v>0</v>
      </c>
      <c r="AM364" s="50">
        <v>0</v>
      </c>
      <c r="AN364" s="49">
        <v>37</v>
      </c>
      <c r="AO364" s="110">
        <v>86.04651162790698</v>
      </c>
      <c r="AP364" s="49">
        <v>43</v>
      </c>
    </row>
    <row r="365" spans="1:42" ht="15">
      <c r="A365" s="66" t="s">
        <v>584</v>
      </c>
      <c r="B365" s="66" t="s">
        <v>636</v>
      </c>
      <c r="C365" s="67" t="s">
        <v>774</v>
      </c>
      <c r="D365" s="68">
        <v>3</v>
      </c>
      <c r="E365" s="69"/>
      <c r="F365" s="70">
        <v>40</v>
      </c>
      <c r="G365" s="67"/>
      <c r="H365" s="71"/>
      <c r="I365" s="72"/>
      <c r="J365" s="72"/>
      <c r="K365" s="35" t="s">
        <v>65</v>
      </c>
      <c r="L365" s="80">
        <v>365</v>
      </c>
      <c r="M365" s="80"/>
      <c r="N365" s="74"/>
      <c r="O365" s="82" t="s">
        <v>776</v>
      </c>
      <c r="P365" s="82" t="s">
        <v>197</v>
      </c>
      <c r="Q365" s="82" t="s">
        <v>1134</v>
      </c>
      <c r="R365" s="82" t="s">
        <v>584</v>
      </c>
      <c r="S365" s="82" t="s">
        <v>1657</v>
      </c>
      <c r="T365" s="84" t="str">
        <f>HYPERLINK("http://www.youtube.com/channel/UCIqT5KawM9ZUu3JZUeRbr0Q")</f>
        <v>http://www.youtube.com/channel/UCIqT5KawM9ZUu3JZUeRbr0Q</v>
      </c>
      <c r="U365" s="82"/>
      <c r="V365" s="82" t="s">
        <v>1834</v>
      </c>
      <c r="W365" s="84" t="str">
        <f>HYPERLINK("https://www.youtube.com/watch?v=V4-3xDi_Ems")</f>
        <v>https://www.youtube.com/watch?v=V4-3xDi_Ems</v>
      </c>
      <c r="X365" s="82" t="s">
        <v>1857</v>
      </c>
      <c r="Y365" s="82">
        <v>0</v>
      </c>
      <c r="Z365" s="86">
        <v>45080.3684375</v>
      </c>
      <c r="AA365" s="86">
        <v>45080.3684375</v>
      </c>
      <c r="AB365" s="82"/>
      <c r="AC365" s="82"/>
      <c r="AD365" s="82"/>
      <c r="AE365" s="82">
        <v>1</v>
      </c>
      <c r="AF365" s="81">
        <v>1</v>
      </c>
      <c r="AG365" s="81">
        <v>1</v>
      </c>
      <c r="AH365" s="49">
        <v>1</v>
      </c>
      <c r="AI365" s="110">
        <v>33.333333333333336</v>
      </c>
      <c r="AJ365" s="49">
        <v>0</v>
      </c>
      <c r="AK365" s="50">
        <v>0</v>
      </c>
      <c r="AL365" s="49">
        <v>0</v>
      </c>
      <c r="AM365" s="50">
        <v>0</v>
      </c>
      <c r="AN365" s="49">
        <v>1</v>
      </c>
      <c r="AO365" s="110">
        <v>33.333333333333336</v>
      </c>
      <c r="AP365" s="49">
        <v>3</v>
      </c>
    </row>
    <row r="366" spans="1:42" ht="15">
      <c r="A366" s="66" t="s">
        <v>585</v>
      </c>
      <c r="B366" s="66" t="s">
        <v>636</v>
      </c>
      <c r="C366" s="67" t="s">
        <v>774</v>
      </c>
      <c r="D366" s="68">
        <v>3</v>
      </c>
      <c r="E366" s="69"/>
      <c r="F366" s="70">
        <v>40</v>
      </c>
      <c r="G366" s="67"/>
      <c r="H366" s="71"/>
      <c r="I366" s="72"/>
      <c r="J366" s="72"/>
      <c r="K366" s="35" t="s">
        <v>65</v>
      </c>
      <c r="L366" s="80">
        <v>366</v>
      </c>
      <c r="M366" s="80"/>
      <c r="N366" s="74"/>
      <c r="O366" s="82" t="s">
        <v>776</v>
      </c>
      <c r="P366" s="82" t="s">
        <v>197</v>
      </c>
      <c r="Q366" s="82" t="s">
        <v>1135</v>
      </c>
      <c r="R366" s="82" t="s">
        <v>585</v>
      </c>
      <c r="S366" s="82" t="s">
        <v>1658</v>
      </c>
      <c r="T366" s="84" t="str">
        <f>HYPERLINK("http://www.youtube.com/channel/UC8uJo5_SeMHvB72mrabjubQ")</f>
        <v>http://www.youtube.com/channel/UC8uJo5_SeMHvB72mrabjubQ</v>
      </c>
      <c r="U366" s="82"/>
      <c r="V366" s="82" t="s">
        <v>1834</v>
      </c>
      <c r="W366" s="84" t="str">
        <f>HYPERLINK("https://www.youtube.com/watch?v=V4-3xDi_Ems")</f>
        <v>https://www.youtube.com/watch?v=V4-3xDi_Ems</v>
      </c>
      <c r="X366" s="82" t="s">
        <v>1857</v>
      </c>
      <c r="Y366" s="82">
        <v>1</v>
      </c>
      <c r="Z366" s="86">
        <v>45080.95539351852</v>
      </c>
      <c r="AA366" s="86">
        <v>45080.95539351852</v>
      </c>
      <c r="AB366" s="82"/>
      <c r="AC366" s="82"/>
      <c r="AD366" s="82"/>
      <c r="AE366" s="82">
        <v>1</v>
      </c>
      <c r="AF366" s="81">
        <v>1</v>
      </c>
      <c r="AG366" s="81">
        <v>1</v>
      </c>
      <c r="AH366" s="49">
        <v>1</v>
      </c>
      <c r="AI366" s="50">
        <v>12.5</v>
      </c>
      <c r="AJ366" s="49">
        <v>0</v>
      </c>
      <c r="AK366" s="50">
        <v>0</v>
      </c>
      <c r="AL366" s="49">
        <v>0</v>
      </c>
      <c r="AM366" s="50">
        <v>0</v>
      </c>
      <c r="AN366" s="49">
        <v>4</v>
      </c>
      <c r="AO366" s="50">
        <v>50</v>
      </c>
      <c r="AP366" s="49">
        <v>8</v>
      </c>
    </row>
    <row r="367" spans="1:42" ht="15">
      <c r="A367" s="66" t="s">
        <v>586</v>
      </c>
      <c r="B367" s="66" t="s">
        <v>636</v>
      </c>
      <c r="C367" s="67" t="s">
        <v>774</v>
      </c>
      <c r="D367" s="68">
        <v>3</v>
      </c>
      <c r="E367" s="69"/>
      <c r="F367" s="70">
        <v>40</v>
      </c>
      <c r="G367" s="67"/>
      <c r="H367" s="71"/>
      <c r="I367" s="72"/>
      <c r="J367" s="72"/>
      <c r="K367" s="35" t="s">
        <v>65</v>
      </c>
      <c r="L367" s="80">
        <v>367</v>
      </c>
      <c r="M367" s="80"/>
      <c r="N367" s="74"/>
      <c r="O367" s="82" t="s">
        <v>776</v>
      </c>
      <c r="P367" s="82" t="s">
        <v>197</v>
      </c>
      <c r="Q367" s="82" t="s">
        <v>1136</v>
      </c>
      <c r="R367" s="82" t="s">
        <v>586</v>
      </c>
      <c r="S367" s="82" t="s">
        <v>1659</v>
      </c>
      <c r="T367" s="84" t="str">
        <f>HYPERLINK("http://www.youtube.com/channel/UCSVoZFz4FzzH3WxcHbZrzeA")</f>
        <v>http://www.youtube.com/channel/UCSVoZFz4FzzH3WxcHbZrzeA</v>
      </c>
      <c r="U367" s="82"/>
      <c r="V367" s="82" t="s">
        <v>1834</v>
      </c>
      <c r="W367" s="84" t="str">
        <f>HYPERLINK("https://www.youtube.com/watch?v=V4-3xDi_Ems")</f>
        <v>https://www.youtube.com/watch?v=V4-3xDi_Ems</v>
      </c>
      <c r="X367" s="82" t="s">
        <v>1857</v>
      </c>
      <c r="Y367" s="82">
        <v>0</v>
      </c>
      <c r="Z367" s="86">
        <v>45085.249189814815</v>
      </c>
      <c r="AA367" s="86">
        <v>45085.249189814815</v>
      </c>
      <c r="AB367" s="82"/>
      <c r="AC367" s="82"/>
      <c r="AD367" s="82"/>
      <c r="AE367" s="82">
        <v>1</v>
      </c>
      <c r="AF367" s="81">
        <v>1</v>
      </c>
      <c r="AG367" s="81">
        <v>1</v>
      </c>
      <c r="AH367" s="49">
        <v>1</v>
      </c>
      <c r="AI367" s="110">
        <v>14.285714285714286</v>
      </c>
      <c r="AJ367" s="49">
        <v>0</v>
      </c>
      <c r="AK367" s="50">
        <v>0</v>
      </c>
      <c r="AL367" s="49">
        <v>0</v>
      </c>
      <c r="AM367" s="50">
        <v>0</v>
      </c>
      <c r="AN367" s="49">
        <v>2</v>
      </c>
      <c r="AO367" s="110">
        <v>28.571428571428573</v>
      </c>
      <c r="AP367" s="49">
        <v>7</v>
      </c>
    </row>
    <row r="368" spans="1:42" ht="15">
      <c r="A368" s="66" t="s">
        <v>587</v>
      </c>
      <c r="B368" s="66" t="s">
        <v>636</v>
      </c>
      <c r="C368" s="67" t="s">
        <v>774</v>
      </c>
      <c r="D368" s="68">
        <v>3</v>
      </c>
      <c r="E368" s="69"/>
      <c r="F368" s="70">
        <v>40</v>
      </c>
      <c r="G368" s="67"/>
      <c r="H368" s="71"/>
      <c r="I368" s="72"/>
      <c r="J368" s="72"/>
      <c r="K368" s="35" t="s">
        <v>65</v>
      </c>
      <c r="L368" s="80">
        <v>368</v>
      </c>
      <c r="M368" s="80"/>
      <c r="N368" s="74"/>
      <c r="O368" s="82" t="s">
        <v>776</v>
      </c>
      <c r="P368" s="82" t="s">
        <v>197</v>
      </c>
      <c r="Q368" s="82" t="s">
        <v>1137</v>
      </c>
      <c r="R368" s="82" t="s">
        <v>587</v>
      </c>
      <c r="S368" s="82" t="s">
        <v>1660</v>
      </c>
      <c r="T368" s="84" t="str">
        <f>HYPERLINK("http://www.youtube.com/channel/UCYZRVN4zLhqzJpFxsLHaAeQ")</f>
        <v>http://www.youtube.com/channel/UCYZRVN4zLhqzJpFxsLHaAeQ</v>
      </c>
      <c r="U368" s="82"/>
      <c r="V368" s="82" t="s">
        <v>1834</v>
      </c>
      <c r="W368" s="84" t="str">
        <f>HYPERLINK("https://www.youtube.com/watch?v=V4-3xDi_Ems")</f>
        <v>https://www.youtube.com/watch?v=V4-3xDi_Ems</v>
      </c>
      <c r="X368" s="82" t="s">
        <v>1857</v>
      </c>
      <c r="Y368" s="82">
        <v>0</v>
      </c>
      <c r="Z368" s="86">
        <v>45089.91502314815</v>
      </c>
      <c r="AA368" s="86">
        <v>45089.91502314815</v>
      </c>
      <c r="AB368" s="82"/>
      <c r="AC368" s="82"/>
      <c r="AD368" s="82"/>
      <c r="AE368" s="82">
        <v>1</v>
      </c>
      <c r="AF368" s="81">
        <v>1</v>
      </c>
      <c r="AG368" s="81">
        <v>1</v>
      </c>
      <c r="AH368" s="49">
        <v>2</v>
      </c>
      <c r="AI368" s="110">
        <v>15.384615384615385</v>
      </c>
      <c r="AJ368" s="49">
        <v>1</v>
      </c>
      <c r="AK368" s="110">
        <v>7.6923076923076925</v>
      </c>
      <c r="AL368" s="49">
        <v>0</v>
      </c>
      <c r="AM368" s="50">
        <v>0</v>
      </c>
      <c r="AN368" s="49">
        <v>4</v>
      </c>
      <c r="AO368" s="110">
        <v>30.76923076923077</v>
      </c>
      <c r="AP368" s="49">
        <v>13</v>
      </c>
    </row>
    <row r="369" spans="1:42" ht="15">
      <c r="A369" s="66" t="s">
        <v>588</v>
      </c>
      <c r="B369" s="66" t="s">
        <v>636</v>
      </c>
      <c r="C369" s="67" t="s">
        <v>774</v>
      </c>
      <c r="D369" s="68">
        <v>3</v>
      </c>
      <c r="E369" s="69"/>
      <c r="F369" s="70">
        <v>40</v>
      </c>
      <c r="G369" s="67"/>
      <c r="H369" s="71"/>
      <c r="I369" s="72"/>
      <c r="J369" s="72"/>
      <c r="K369" s="35" t="s">
        <v>65</v>
      </c>
      <c r="L369" s="80">
        <v>369</v>
      </c>
      <c r="M369" s="80"/>
      <c r="N369" s="74"/>
      <c r="O369" s="82" t="s">
        <v>776</v>
      </c>
      <c r="P369" s="82" t="s">
        <v>197</v>
      </c>
      <c r="Q369" s="82" t="s">
        <v>1138</v>
      </c>
      <c r="R369" s="82" t="s">
        <v>588</v>
      </c>
      <c r="S369" s="82" t="s">
        <v>1661</v>
      </c>
      <c r="T369" s="84" t="str">
        <f>HYPERLINK("http://www.youtube.com/channel/UCe_QLscmHat77-Vl19j0Akw")</f>
        <v>http://www.youtube.com/channel/UCe_QLscmHat77-Vl19j0Akw</v>
      </c>
      <c r="U369" s="82"/>
      <c r="V369" s="82" t="s">
        <v>1834</v>
      </c>
      <c r="W369" s="84" t="str">
        <f>HYPERLINK("https://www.youtube.com/watch?v=V4-3xDi_Ems")</f>
        <v>https://www.youtube.com/watch?v=V4-3xDi_Ems</v>
      </c>
      <c r="X369" s="82" t="s">
        <v>1857</v>
      </c>
      <c r="Y369" s="82">
        <v>1</v>
      </c>
      <c r="Z369" s="86">
        <v>45091.69799768519</v>
      </c>
      <c r="AA369" s="86">
        <v>45091.69799768519</v>
      </c>
      <c r="AB369" s="82"/>
      <c r="AC369" s="82"/>
      <c r="AD369" s="82"/>
      <c r="AE369" s="82">
        <v>1</v>
      </c>
      <c r="AF369" s="81">
        <v>1</v>
      </c>
      <c r="AG369" s="81">
        <v>1</v>
      </c>
      <c r="AH369" s="49">
        <v>1</v>
      </c>
      <c r="AI369" s="110">
        <v>14.285714285714286</v>
      </c>
      <c r="AJ369" s="49">
        <v>0</v>
      </c>
      <c r="AK369" s="50">
        <v>0</v>
      </c>
      <c r="AL369" s="49">
        <v>0</v>
      </c>
      <c r="AM369" s="50">
        <v>0</v>
      </c>
      <c r="AN369" s="49">
        <v>4</v>
      </c>
      <c r="AO369" s="110">
        <v>57.142857142857146</v>
      </c>
      <c r="AP369" s="49">
        <v>7</v>
      </c>
    </row>
    <row r="370" spans="1:42" ht="15">
      <c r="A370" s="66" t="s">
        <v>589</v>
      </c>
      <c r="B370" s="66" t="s">
        <v>636</v>
      </c>
      <c r="C370" s="67" t="s">
        <v>774</v>
      </c>
      <c r="D370" s="68">
        <v>3</v>
      </c>
      <c r="E370" s="69"/>
      <c r="F370" s="70">
        <v>40</v>
      </c>
      <c r="G370" s="67"/>
      <c r="H370" s="71"/>
      <c r="I370" s="72"/>
      <c r="J370" s="72"/>
      <c r="K370" s="35" t="s">
        <v>65</v>
      </c>
      <c r="L370" s="80">
        <v>370</v>
      </c>
      <c r="M370" s="80"/>
      <c r="N370" s="74"/>
      <c r="O370" s="82" t="s">
        <v>776</v>
      </c>
      <c r="P370" s="82" t="s">
        <v>197</v>
      </c>
      <c r="Q370" s="82" t="s">
        <v>1139</v>
      </c>
      <c r="R370" s="82" t="s">
        <v>589</v>
      </c>
      <c r="S370" s="82" t="s">
        <v>1662</v>
      </c>
      <c r="T370" s="84" t="str">
        <f>HYPERLINK("http://www.youtube.com/channel/UCoTE9F03OIojYFApga5ggQw")</f>
        <v>http://www.youtube.com/channel/UCoTE9F03OIojYFApga5ggQw</v>
      </c>
      <c r="U370" s="82"/>
      <c r="V370" s="82" t="s">
        <v>1834</v>
      </c>
      <c r="W370" s="84" t="str">
        <f>HYPERLINK("https://www.youtube.com/watch?v=V4-3xDi_Ems")</f>
        <v>https://www.youtube.com/watch?v=V4-3xDi_Ems</v>
      </c>
      <c r="X370" s="82" t="s">
        <v>1857</v>
      </c>
      <c r="Y370" s="82">
        <v>0</v>
      </c>
      <c r="Z370" s="86">
        <v>45097.0828587963</v>
      </c>
      <c r="AA370" s="86">
        <v>45097.0828587963</v>
      </c>
      <c r="AB370" s="82"/>
      <c r="AC370" s="82"/>
      <c r="AD370" s="82"/>
      <c r="AE370" s="82">
        <v>1</v>
      </c>
      <c r="AF370" s="81">
        <v>1</v>
      </c>
      <c r="AG370" s="81">
        <v>1</v>
      </c>
      <c r="AH370" s="49">
        <v>2</v>
      </c>
      <c r="AI370" s="110">
        <v>5.2631578947368425</v>
      </c>
      <c r="AJ370" s="49">
        <v>0</v>
      </c>
      <c r="AK370" s="50">
        <v>0</v>
      </c>
      <c r="AL370" s="49">
        <v>0</v>
      </c>
      <c r="AM370" s="50">
        <v>0</v>
      </c>
      <c r="AN370" s="49">
        <v>6</v>
      </c>
      <c r="AO370" s="110">
        <v>15.789473684210526</v>
      </c>
      <c r="AP370" s="49">
        <v>38</v>
      </c>
    </row>
    <row r="371" spans="1:42" ht="15">
      <c r="A371" s="66" t="s">
        <v>590</v>
      </c>
      <c r="B371" s="66" t="s">
        <v>636</v>
      </c>
      <c r="C371" s="67" t="s">
        <v>774</v>
      </c>
      <c r="D371" s="68">
        <v>3</v>
      </c>
      <c r="E371" s="69"/>
      <c r="F371" s="70">
        <v>40</v>
      </c>
      <c r="G371" s="67"/>
      <c r="H371" s="71"/>
      <c r="I371" s="72"/>
      <c r="J371" s="72"/>
      <c r="K371" s="35" t="s">
        <v>65</v>
      </c>
      <c r="L371" s="80">
        <v>371</v>
      </c>
      <c r="M371" s="80"/>
      <c r="N371" s="74"/>
      <c r="O371" s="82" t="s">
        <v>776</v>
      </c>
      <c r="P371" s="82" t="s">
        <v>197</v>
      </c>
      <c r="Q371" s="82" t="s">
        <v>1140</v>
      </c>
      <c r="R371" s="82" t="s">
        <v>590</v>
      </c>
      <c r="S371" s="82" t="s">
        <v>1663</v>
      </c>
      <c r="T371" s="84" t="str">
        <f>HYPERLINK("http://www.youtube.com/channel/UCeQplv21MqmvpEZq9Mv-E9g")</f>
        <v>http://www.youtube.com/channel/UCeQplv21MqmvpEZq9Mv-E9g</v>
      </c>
      <c r="U371" s="82"/>
      <c r="V371" s="82" t="s">
        <v>1834</v>
      </c>
      <c r="W371" s="84" t="str">
        <f>HYPERLINK("https://www.youtube.com/watch?v=V4-3xDi_Ems")</f>
        <v>https://www.youtube.com/watch?v=V4-3xDi_Ems</v>
      </c>
      <c r="X371" s="82" t="s">
        <v>1857</v>
      </c>
      <c r="Y371" s="82">
        <v>0</v>
      </c>
      <c r="Z371" s="86">
        <v>45099.01417824074</v>
      </c>
      <c r="AA371" s="86">
        <v>45099.01417824074</v>
      </c>
      <c r="AB371" s="82"/>
      <c r="AC371" s="82"/>
      <c r="AD371" s="82"/>
      <c r="AE371" s="82">
        <v>1</v>
      </c>
      <c r="AF371" s="81">
        <v>1</v>
      </c>
      <c r="AG371" s="81">
        <v>1</v>
      </c>
      <c r="AH371" s="49">
        <v>2</v>
      </c>
      <c r="AI371" s="110">
        <v>4.3478260869565215</v>
      </c>
      <c r="AJ371" s="49">
        <v>2</v>
      </c>
      <c r="AK371" s="110">
        <v>4.3478260869565215</v>
      </c>
      <c r="AL371" s="49">
        <v>0</v>
      </c>
      <c r="AM371" s="50">
        <v>0</v>
      </c>
      <c r="AN371" s="49">
        <v>13</v>
      </c>
      <c r="AO371" s="110">
        <v>28.26086956521739</v>
      </c>
      <c r="AP371" s="49">
        <v>46</v>
      </c>
    </row>
    <row r="372" spans="1:42" ht="15">
      <c r="A372" s="66" t="s">
        <v>591</v>
      </c>
      <c r="B372" s="66" t="s">
        <v>636</v>
      </c>
      <c r="C372" s="67" t="s">
        <v>774</v>
      </c>
      <c r="D372" s="68">
        <v>3</v>
      </c>
      <c r="E372" s="69"/>
      <c r="F372" s="70">
        <v>40</v>
      </c>
      <c r="G372" s="67"/>
      <c r="H372" s="71"/>
      <c r="I372" s="72"/>
      <c r="J372" s="72"/>
      <c r="K372" s="35" t="s">
        <v>65</v>
      </c>
      <c r="L372" s="80">
        <v>372</v>
      </c>
      <c r="M372" s="80"/>
      <c r="N372" s="74"/>
      <c r="O372" s="82" t="s">
        <v>776</v>
      </c>
      <c r="P372" s="82" t="s">
        <v>197</v>
      </c>
      <c r="Q372" s="82" t="s">
        <v>1141</v>
      </c>
      <c r="R372" s="82" t="s">
        <v>591</v>
      </c>
      <c r="S372" s="82" t="s">
        <v>1664</v>
      </c>
      <c r="T372" s="84" t="str">
        <f>HYPERLINK("http://www.youtube.com/channel/UCgZrbsNIexeGSyRmhwvBARg")</f>
        <v>http://www.youtube.com/channel/UCgZrbsNIexeGSyRmhwvBARg</v>
      </c>
      <c r="U372" s="82"/>
      <c r="V372" s="82" t="s">
        <v>1834</v>
      </c>
      <c r="W372" s="84" t="str">
        <f>HYPERLINK("https://www.youtube.com/watch?v=V4-3xDi_Ems")</f>
        <v>https://www.youtube.com/watch?v=V4-3xDi_Ems</v>
      </c>
      <c r="X372" s="82" t="s">
        <v>1857</v>
      </c>
      <c r="Y372" s="82">
        <v>0</v>
      </c>
      <c r="Z372" s="86">
        <v>45101.01997685185</v>
      </c>
      <c r="AA372" s="86">
        <v>45101.01997685185</v>
      </c>
      <c r="AB372" s="82"/>
      <c r="AC372" s="82"/>
      <c r="AD372" s="82"/>
      <c r="AE372" s="82">
        <v>1</v>
      </c>
      <c r="AF372" s="81">
        <v>1</v>
      </c>
      <c r="AG372" s="81">
        <v>1</v>
      </c>
      <c r="AH372" s="49">
        <v>1</v>
      </c>
      <c r="AI372" s="110">
        <v>7.142857142857143</v>
      </c>
      <c r="AJ372" s="49">
        <v>2</v>
      </c>
      <c r="AK372" s="110">
        <v>14.285714285714286</v>
      </c>
      <c r="AL372" s="49">
        <v>0</v>
      </c>
      <c r="AM372" s="50">
        <v>0</v>
      </c>
      <c r="AN372" s="49">
        <v>7</v>
      </c>
      <c r="AO372" s="50">
        <v>50</v>
      </c>
      <c r="AP372" s="49">
        <v>14</v>
      </c>
    </row>
    <row r="373" spans="1:42" ht="15">
      <c r="A373" s="66" t="s">
        <v>592</v>
      </c>
      <c r="B373" s="66" t="s">
        <v>636</v>
      </c>
      <c r="C373" s="67" t="s">
        <v>774</v>
      </c>
      <c r="D373" s="68">
        <v>3</v>
      </c>
      <c r="E373" s="69"/>
      <c r="F373" s="70">
        <v>40</v>
      </c>
      <c r="G373" s="67"/>
      <c r="H373" s="71"/>
      <c r="I373" s="72"/>
      <c r="J373" s="72"/>
      <c r="K373" s="35" t="s">
        <v>65</v>
      </c>
      <c r="L373" s="80">
        <v>373</v>
      </c>
      <c r="M373" s="80"/>
      <c r="N373" s="74"/>
      <c r="O373" s="82" t="s">
        <v>776</v>
      </c>
      <c r="P373" s="82" t="s">
        <v>197</v>
      </c>
      <c r="Q373" s="82" t="s">
        <v>1142</v>
      </c>
      <c r="R373" s="82" t="s">
        <v>592</v>
      </c>
      <c r="S373" s="82" t="s">
        <v>1665</v>
      </c>
      <c r="T373" s="84" t="str">
        <f>HYPERLINK("http://www.youtube.com/channel/UCwSSNToeVx1_ac4jBlPTWwQ")</f>
        <v>http://www.youtube.com/channel/UCwSSNToeVx1_ac4jBlPTWwQ</v>
      </c>
      <c r="U373" s="82"/>
      <c r="V373" s="82" t="s">
        <v>1834</v>
      </c>
      <c r="W373" s="84" t="str">
        <f>HYPERLINK("https://www.youtube.com/watch?v=V4-3xDi_Ems")</f>
        <v>https://www.youtube.com/watch?v=V4-3xDi_Ems</v>
      </c>
      <c r="X373" s="82" t="s">
        <v>1857</v>
      </c>
      <c r="Y373" s="82">
        <v>0</v>
      </c>
      <c r="Z373" s="86">
        <v>45105.12662037037</v>
      </c>
      <c r="AA373" s="86">
        <v>45105.12662037037</v>
      </c>
      <c r="AB373" s="82"/>
      <c r="AC373" s="82"/>
      <c r="AD373" s="82"/>
      <c r="AE373" s="82">
        <v>1</v>
      </c>
      <c r="AF373" s="81">
        <v>1</v>
      </c>
      <c r="AG373" s="81">
        <v>1</v>
      </c>
      <c r="AH373" s="49">
        <v>0</v>
      </c>
      <c r="AI373" s="50">
        <v>0</v>
      </c>
      <c r="AJ373" s="49">
        <v>0</v>
      </c>
      <c r="AK373" s="50">
        <v>0</v>
      </c>
      <c r="AL373" s="49">
        <v>0</v>
      </c>
      <c r="AM373" s="50">
        <v>0</v>
      </c>
      <c r="AN373" s="49">
        <v>11</v>
      </c>
      <c r="AO373" s="110">
        <v>84.61538461538461</v>
      </c>
      <c r="AP373" s="49">
        <v>13</v>
      </c>
    </row>
    <row r="374" spans="1:42" ht="15">
      <c r="A374" s="66" t="s">
        <v>593</v>
      </c>
      <c r="B374" s="66" t="s">
        <v>636</v>
      </c>
      <c r="C374" s="67" t="s">
        <v>774</v>
      </c>
      <c r="D374" s="68">
        <v>3</v>
      </c>
      <c r="E374" s="69"/>
      <c r="F374" s="70">
        <v>40</v>
      </c>
      <c r="G374" s="67"/>
      <c r="H374" s="71"/>
      <c r="I374" s="72"/>
      <c r="J374" s="72"/>
      <c r="K374" s="35" t="s">
        <v>65</v>
      </c>
      <c r="L374" s="80">
        <v>374</v>
      </c>
      <c r="M374" s="80"/>
      <c r="N374" s="74"/>
      <c r="O374" s="82" t="s">
        <v>776</v>
      </c>
      <c r="P374" s="82" t="s">
        <v>197</v>
      </c>
      <c r="Q374" s="82" t="s">
        <v>1143</v>
      </c>
      <c r="R374" s="82" t="s">
        <v>593</v>
      </c>
      <c r="S374" s="82" t="s">
        <v>1666</v>
      </c>
      <c r="T374" s="84" t="str">
        <f>HYPERLINK("http://www.youtube.com/channel/UCgTh333t5yJRofx8hP9QR3A")</f>
        <v>http://www.youtube.com/channel/UCgTh333t5yJRofx8hP9QR3A</v>
      </c>
      <c r="U374" s="82"/>
      <c r="V374" s="82" t="s">
        <v>1834</v>
      </c>
      <c r="W374" s="84" t="str">
        <f>HYPERLINK("https://www.youtube.com/watch?v=V4-3xDi_Ems")</f>
        <v>https://www.youtube.com/watch?v=V4-3xDi_Ems</v>
      </c>
      <c r="X374" s="82" t="s">
        <v>1857</v>
      </c>
      <c r="Y374" s="82">
        <v>0</v>
      </c>
      <c r="Z374" s="86">
        <v>45105.343518518515</v>
      </c>
      <c r="AA374" s="86">
        <v>45105.343518518515</v>
      </c>
      <c r="AB374" s="82"/>
      <c r="AC374" s="82"/>
      <c r="AD374" s="82"/>
      <c r="AE374" s="82">
        <v>1</v>
      </c>
      <c r="AF374" s="81">
        <v>1</v>
      </c>
      <c r="AG374" s="81">
        <v>1</v>
      </c>
      <c r="AH374" s="49">
        <v>7</v>
      </c>
      <c r="AI374" s="110">
        <v>19.444444444444443</v>
      </c>
      <c r="AJ374" s="49">
        <v>0</v>
      </c>
      <c r="AK374" s="50">
        <v>0</v>
      </c>
      <c r="AL374" s="49">
        <v>0</v>
      </c>
      <c r="AM374" s="50">
        <v>0</v>
      </c>
      <c r="AN374" s="49">
        <v>12</v>
      </c>
      <c r="AO374" s="110">
        <v>33.333333333333336</v>
      </c>
      <c r="AP374" s="49">
        <v>36</v>
      </c>
    </row>
    <row r="375" spans="1:42" ht="15">
      <c r="A375" s="66" t="s">
        <v>594</v>
      </c>
      <c r="B375" s="66" t="s">
        <v>636</v>
      </c>
      <c r="C375" s="67" t="s">
        <v>774</v>
      </c>
      <c r="D375" s="68">
        <v>3</v>
      </c>
      <c r="E375" s="69"/>
      <c r="F375" s="70">
        <v>40</v>
      </c>
      <c r="G375" s="67"/>
      <c r="H375" s="71"/>
      <c r="I375" s="72"/>
      <c r="J375" s="72"/>
      <c r="K375" s="35" t="s">
        <v>65</v>
      </c>
      <c r="L375" s="80">
        <v>375</v>
      </c>
      <c r="M375" s="80"/>
      <c r="N375" s="74"/>
      <c r="O375" s="82" t="s">
        <v>776</v>
      </c>
      <c r="P375" s="82" t="s">
        <v>197</v>
      </c>
      <c r="Q375" s="82" t="s">
        <v>1144</v>
      </c>
      <c r="R375" s="82" t="s">
        <v>594</v>
      </c>
      <c r="S375" s="82" t="s">
        <v>1667</v>
      </c>
      <c r="T375" s="84" t="str">
        <f>HYPERLINK("http://www.youtube.com/channel/UCrqwO1yeDZDpEqizQl9r2cg")</f>
        <v>http://www.youtube.com/channel/UCrqwO1yeDZDpEqizQl9r2cg</v>
      </c>
      <c r="U375" s="82"/>
      <c r="V375" s="82" t="s">
        <v>1834</v>
      </c>
      <c r="W375" s="84" t="str">
        <f>HYPERLINK("https://www.youtube.com/watch?v=V4-3xDi_Ems")</f>
        <v>https://www.youtube.com/watch?v=V4-3xDi_Ems</v>
      </c>
      <c r="X375" s="82" t="s">
        <v>1857</v>
      </c>
      <c r="Y375" s="82">
        <v>0</v>
      </c>
      <c r="Z375" s="86">
        <v>45105.88597222222</v>
      </c>
      <c r="AA375" s="86">
        <v>45105.88597222222</v>
      </c>
      <c r="AB375" s="82"/>
      <c r="AC375" s="82"/>
      <c r="AD375" s="82"/>
      <c r="AE375" s="82">
        <v>1</v>
      </c>
      <c r="AF375" s="81">
        <v>1</v>
      </c>
      <c r="AG375" s="81">
        <v>1</v>
      </c>
      <c r="AH375" s="49">
        <v>6</v>
      </c>
      <c r="AI375" s="110">
        <v>11.538461538461538</v>
      </c>
      <c r="AJ375" s="49">
        <v>1</v>
      </c>
      <c r="AK375" s="110">
        <v>1.9230769230769231</v>
      </c>
      <c r="AL375" s="49">
        <v>0</v>
      </c>
      <c r="AM375" s="50">
        <v>0</v>
      </c>
      <c r="AN375" s="49">
        <v>15</v>
      </c>
      <c r="AO375" s="110">
        <v>28.846153846153847</v>
      </c>
      <c r="AP375" s="49">
        <v>52</v>
      </c>
    </row>
    <row r="376" spans="1:42" ht="15">
      <c r="A376" s="66" t="s">
        <v>595</v>
      </c>
      <c r="B376" s="66" t="s">
        <v>636</v>
      </c>
      <c r="C376" s="67" t="s">
        <v>774</v>
      </c>
      <c r="D376" s="68">
        <v>3</v>
      </c>
      <c r="E376" s="69"/>
      <c r="F376" s="70">
        <v>40</v>
      </c>
      <c r="G376" s="67"/>
      <c r="H376" s="71"/>
      <c r="I376" s="72"/>
      <c r="J376" s="72"/>
      <c r="K376" s="35" t="s">
        <v>65</v>
      </c>
      <c r="L376" s="80">
        <v>376</v>
      </c>
      <c r="M376" s="80"/>
      <c r="N376" s="74"/>
      <c r="O376" s="82" t="s">
        <v>776</v>
      </c>
      <c r="P376" s="82" t="s">
        <v>197</v>
      </c>
      <c r="Q376" s="82" t="s">
        <v>1145</v>
      </c>
      <c r="R376" s="82" t="s">
        <v>595</v>
      </c>
      <c r="S376" s="82" t="s">
        <v>1668</v>
      </c>
      <c r="T376" s="84" t="str">
        <f>HYPERLINK("http://www.youtube.com/channel/UCUBRxdxwjr5pYLZN_PaiMww")</f>
        <v>http://www.youtube.com/channel/UCUBRxdxwjr5pYLZN_PaiMww</v>
      </c>
      <c r="U376" s="82"/>
      <c r="V376" s="82" t="s">
        <v>1834</v>
      </c>
      <c r="W376" s="84" t="str">
        <f>HYPERLINK("https://www.youtube.com/watch?v=V4-3xDi_Ems")</f>
        <v>https://www.youtube.com/watch?v=V4-3xDi_Ems</v>
      </c>
      <c r="X376" s="82" t="s">
        <v>1857</v>
      </c>
      <c r="Y376" s="82">
        <v>0</v>
      </c>
      <c r="Z376" s="86">
        <v>45106.063310185185</v>
      </c>
      <c r="AA376" s="86">
        <v>45106.06358796296</v>
      </c>
      <c r="AB376" s="82"/>
      <c r="AC376" s="82"/>
      <c r="AD376" s="82"/>
      <c r="AE376" s="82">
        <v>1</v>
      </c>
      <c r="AF376" s="81">
        <v>1</v>
      </c>
      <c r="AG376" s="81">
        <v>1</v>
      </c>
      <c r="AH376" s="49">
        <v>1</v>
      </c>
      <c r="AI376" s="110">
        <v>3.3333333333333335</v>
      </c>
      <c r="AJ376" s="49">
        <v>1</v>
      </c>
      <c r="AK376" s="110">
        <v>3.3333333333333335</v>
      </c>
      <c r="AL376" s="49">
        <v>0</v>
      </c>
      <c r="AM376" s="50">
        <v>0</v>
      </c>
      <c r="AN376" s="49">
        <v>7</v>
      </c>
      <c r="AO376" s="110">
        <v>23.333333333333332</v>
      </c>
      <c r="AP376" s="49">
        <v>30</v>
      </c>
    </row>
    <row r="377" spans="1:42" ht="15">
      <c r="A377" s="66" t="s">
        <v>596</v>
      </c>
      <c r="B377" s="66" t="s">
        <v>636</v>
      </c>
      <c r="C377" s="67" t="s">
        <v>774</v>
      </c>
      <c r="D377" s="68">
        <v>3</v>
      </c>
      <c r="E377" s="69"/>
      <c r="F377" s="70">
        <v>40</v>
      </c>
      <c r="G377" s="67"/>
      <c r="H377" s="71"/>
      <c r="I377" s="72"/>
      <c r="J377" s="72"/>
      <c r="K377" s="35" t="s">
        <v>65</v>
      </c>
      <c r="L377" s="80">
        <v>377</v>
      </c>
      <c r="M377" s="80"/>
      <c r="N377" s="74"/>
      <c r="O377" s="82" t="s">
        <v>776</v>
      </c>
      <c r="P377" s="82" t="s">
        <v>197</v>
      </c>
      <c r="Q377" s="82" t="s">
        <v>1146</v>
      </c>
      <c r="R377" s="82" t="s">
        <v>596</v>
      </c>
      <c r="S377" s="82" t="s">
        <v>1669</v>
      </c>
      <c r="T377" s="84" t="str">
        <f>HYPERLINK("http://www.youtube.com/channel/UC2t9eb-bNhX1LaHNYLOsoIQ")</f>
        <v>http://www.youtube.com/channel/UC2t9eb-bNhX1LaHNYLOsoIQ</v>
      </c>
      <c r="U377" s="82"/>
      <c r="V377" s="82" t="s">
        <v>1834</v>
      </c>
      <c r="W377" s="84" t="str">
        <f>HYPERLINK("https://www.youtube.com/watch?v=V4-3xDi_Ems")</f>
        <v>https://www.youtube.com/watch?v=V4-3xDi_Ems</v>
      </c>
      <c r="X377" s="82" t="s">
        <v>1857</v>
      </c>
      <c r="Y377" s="82">
        <v>2</v>
      </c>
      <c r="Z377" s="86">
        <v>45108.03403935185</v>
      </c>
      <c r="AA377" s="86">
        <v>45108.03403935185</v>
      </c>
      <c r="AB377" s="82"/>
      <c r="AC377" s="82"/>
      <c r="AD377" s="82"/>
      <c r="AE377" s="82">
        <v>1</v>
      </c>
      <c r="AF377" s="81">
        <v>1</v>
      </c>
      <c r="AG377" s="81">
        <v>1</v>
      </c>
      <c r="AH377" s="49">
        <v>1</v>
      </c>
      <c r="AI377" s="110">
        <v>3.7037037037037037</v>
      </c>
      <c r="AJ377" s="49">
        <v>1</v>
      </c>
      <c r="AK377" s="110">
        <v>3.7037037037037037</v>
      </c>
      <c r="AL377" s="49">
        <v>0</v>
      </c>
      <c r="AM377" s="50">
        <v>0</v>
      </c>
      <c r="AN377" s="49">
        <v>6</v>
      </c>
      <c r="AO377" s="110">
        <v>22.22222222222222</v>
      </c>
      <c r="AP377" s="49">
        <v>27</v>
      </c>
    </row>
    <row r="378" spans="1:42" ht="15">
      <c r="A378" s="66" t="s">
        <v>597</v>
      </c>
      <c r="B378" s="66" t="s">
        <v>636</v>
      </c>
      <c r="C378" s="67" t="s">
        <v>774</v>
      </c>
      <c r="D378" s="68">
        <v>3</v>
      </c>
      <c r="E378" s="69"/>
      <c r="F378" s="70">
        <v>40</v>
      </c>
      <c r="G378" s="67"/>
      <c r="H378" s="71"/>
      <c r="I378" s="72"/>
      <c r="J378" s="72"/>
      <c r="K378" s="35" t="s">
        <v>65</v>
      </c>
      <c r="L378" s="80">
        <v>378</v>
      </c>
      <c r="M378" s="80"/>
      <c r="N378" s="74"/>
      <c r="O378" s="82" t="s">
        <v>776</v>
      </c>
      <c r="P378" s="82" t="s">
        <v>197</v>
      </c>
      <c r="Q378" s="82" t="s">
        <v>1147</v>
      </c>
      <c r="R378" s="82" t="s">
        <v>597</v>
      </c>
      <c r="S378" s="82" t="s">
        <v>1670</v>
      </c>
      <c r="T378" s="84" t="str">
        <f>HYPERLINK("http://www.youtube.com/channel/UC09s08TXNwU5I67hfkraccA")</f>
        <v>http://www.youtube.com/channel/UC09s08TXNwU5I67hfkraccA</v>
      </c>
      <c r="U378" s="82"/>
      <c r="V378" s="82" t="s">
        <v>1834</v>
      </c>
      <c r="W378" s="84" t="str">
        <f>HYPERLINK("https://www.youtube.com/watch?v=V4-3xDi_Ems")</f>
        <v>https://www.youtube.com/watch?v=V4-3xDi_Ems</v>
      </c>
      <c r="X378" s="82" t="s">
        <v>1857</v>
      </c>
      <c r="Y378" s="82">
        <v>3</v>
      </c>
      <c r="Z378" s="86">
        <v>45111.46973379629</v>
      </c>
      <c r="AA378" s="86">
        <v>45111.46973379629</v>
      </c>
      <c r="AB378" s="82"/>
      <c r="AC378" s="82"/>
      <c r="AD378" s="82"/>
      <c r="AE378" s="82">
        <v>1</v>
      </c>
      <c r="AF378" s="81">
        <v>1</v>
      </c>
      <c r="AG378" s="81">
        <v>1</v>
      </c>
      <c r="AH378" s="49">
        <v>1</v>
      </c>
      <c r="AI378" s="110">
        <v>1.3333333333333333</v>
      </c>
      <c r="AJ378" s="49">
        <v>5</v>
      </c>
      <c r="AK378" s="110">
        <v>6.666666666666667</v>
      </c>
      <c r="AL378" s="49">
        <v>0</v>
      </c>
      <c r="AM378" s="50">
        <v>0</v>
      </c>
      <c r="AN378" s="49">
        <v>22</v>
      </c>
      <c r="AO378" s="110">
        <v>29.333333333333332</v>
      </c>
      <c r="AP378" s="49">
        <v>75</v>
      </c>
    </row>
    <row r="379" spans="1:42" ht="15">
      <c r="A379" s="66" t="s">
        <v>598</v>
      </c>
      <c r="B379" s="66" t="s">
        <v>636</v>
      </c>
      <c r="C379" s="67" t="s">
        <v>774</v>
      </c>
      <c r="D379" s="68">
        <v>3</v>
      </c>
      <c r="E379" s="69"/>
      <c r="F379" s="70">
        <v>40</v>
      </c>
      <c r="G379" s="67"/>
      <c r="H379" s="71"/>
      <c r="I379" s="72"/>
      <c r="J379" s="72"/>
      <c r="K379" s="35" t="s">
        <v>65</v>
      </c>
      <c r="L379" s="80">
        <v>379</v>
      </c>
      <c r="M379" s="80"/>
      <c r="N379" s="74"/>
      <c r="O379" s="82" t="s">
        <v>776</v>
      </c>
      <c r="P379" s="82" t="s">
        <v>197</v>
      </c>
      <c r="Q379" s="82" t="s">
        <v>1148</v>
      </c>
      <c r="R379" s="82" t="s">
        <v>598</v>
      </c>
      <c r="S379" s="82" t="s">
        <v>1671</v>
      </c>
      <c r="T379" s="84" t="str">
        <f>HYPERLINK("http://www.youtube.com/channel/UCmzopuKkj876cDVcXP8aJYQ")</f>
        <v>http://www.youtube.com/channel/UCmzopuKkj876cDVcXP8aJYQ</v>
      </c>
      <c r="U379" s="82"/>
      <c r="V379" s="82" t="s">
        <v>1834</v>
      </c>
      <c r="W379" s="84" t="str">
        <f>HYPERLINK("https://www.youtube.com/watch?v=V4-3xDi_Ems")</f>
        <v>https://www.youtube.com/watch?v=V4-3xDi_Ems</v>
      </c>
      <c r="X379" s="82" t="s">
        <v>1857</v>
      </c>
      <c r="Y379" s="82">
        <v>0</v>
      </c>
      <c r="Z379" s="86">
        <v>45117.724386574075</v>
      </c>
      <c r="AA379" s="86">
        <v>45117.72509259259</v>
      </c>
      <c r="AB379" s="82"/>
      <c r="AC379" s="82"/>
      <c r="AD379" s="82"/>
      <c r="AE379" s="82">
        <v>1</v>
      </c>
      <c r="AF379" s="81">
        <v>1</v>
      </c>
      <c r="AG379" s="81">
        <v>1</v>
      </c>
      <c r="AH379" s="49">
        <v>0</v>
      </c>
      <c r="AI379" s="50">
        <v>0</v>
      </c>
      <c r="AJ379" s="49">
        <v>1</v>
      </c>
      <c r="AK379" s="110">
        <v>1.7543859649122806</v>
      </c>
      <c r="AL379" s="49">
        <v>0</v>
      </c>
      <c r="AM379" s="50">
        <v>0</v>
      </c>
      <c r="AN379" s="49">
        <v>22</v>
      </c>
      <c r="AO379" s="110">
        <v>38.59649122807018</v>
      </c>
      <c r="AP379" s="49">
        <v>57</v>
      </c>
    </row>
    <row r="380" spans="1:42" ht="15">
      <c r="A380" s="66" t="s">
        <v>599</v>
      </c>
      <c r="B380" s="66" t="s">
        <v>636</v>
      </c>
      <c r="C380" s="67" t="s">
        <v>774</v>
      </c>
      <c r="D380" s="68">
        <v>3</v>
      </c>
      <c r="E380" s="69"/>
      <c r="F380" s="70">
        <v>40</v>
      </c>
      <c r="G380" s="67"/>
      <c r="H380" s="71"/>
      <c r="I380" s="72"/>
      <c r="J380" s="72"/>
      <c r="K380" s="35" t="s">
        <v>65</v>
      </c>
      <c r="L380" s="80">
        <v>380</v>
      </c>
      <c r="M380" s="80"/>
      <c r="N380" s="74"/>
      <c r="O380" s="82" t="s">
        <v>776</v>
      </c>
      <c r="P380" s="82" t="s">
        <v>197</v>
      </c>
      <c r="Q380" s="82" t="s">
        <v>1149</v>
      </c>
      <c r="R380" s="82" t="s">
        <v>599</v>
      </c>
      <c r="S380" s="82" t="s">
        <v>1672</v>
      </c>
      <c r="T380" s="84" t="str">
        <f>HYPERLINK("http://www.youtube.com/channel/UCYqbNADZ0w0faeBfWbph0Cw")</f>
        <v>http://www.youtube.com/channel/UCYqbNADZ0w0faeBfWbph0Cw</v>
      </c>
      <c r="U380" s="82"/>
      <c r="V380" s="82" t="s">
        <v>1834</v>
      </c>
      <c r="W380" s="84" t="str">
        <f>HYPERLINK("https://www.youtube.com/watch?v=V4-3xDi_Ems")</f>
        <v>https://www.youtube.com/watch?v=V4-3xDi_Ems</v>
      </c>
      <c r="X380" s="82" t="s">
        <v>1857</v>
      </c>
      <c r="Y380" s="82">
        <v>0</v>
      </c>
      <c r="Z380" s="86">
        <v>45133.28327546296</v>
      </c>
      <c r="AA380" s="86">
        <v>45133.28327546296</v>
      </c>
      <c r="AB380" s="82"/>
      <c r="AC380" s="82"/>
      <c r="AD380" s="82"/>
      <c r="AE380" s="82">
        <v>1</v>
      </c>
      <c r="AF380" s="81">
        <v>1</v>
      </c>
      <c r="AG380" s="81">
        <v>1</v>
      </c>
      <c r="AH380" s="49">
        <v>0</v>
      </c>
      <c r="AI380" s="50">
        <v>0</v>
      </c>
      <c r="AJ380" s="49">
        <v>0</v>
      </c>
      <c r="AK380" s="50">
        <v>0</v>
      </c>
      <c r="AL380" s="49">
        <v>0</v>
      </c>
      <c r="AM380" s="50">
        <v>0</v>
      </c>
      <c r="AN380" s="49">
        <v>1</v>
      </c>
      <c r="AO380" s="50">
        <v>25</v>
      </c>
      <c r="AP380" s="49">
        <v>4</v>
      </c>
    </row>
    <row r="381" spans="1:42" ht="15">
      <c r="A381" s="66" t="s">
        <v>600</v>
      </c>
      <c r="B381" s="66" t="s">
        <v>636</v>
      </c>
      <c r="C381" s="67" t="s">
        <v>774</v>
      </c>
      <c r="D381" s="68">
        <v>3</v>
      </c>
      <c r="E381" s="69"/>
      <c r="F381" s="70">
        <v>40</v>
      </c>
      <c r="G381" s="67"/>
      <c r="H381" s="71"/>
      <c r="I381" s="72"/>
      <c r="J381" s="72"/>
      <c r="K381" s="35" t="s">
        <v>65</v>
      </c>
      <c r="L381" s="80">
        <v>381</v>
      </c>
      <c r="M381" s="80"/>
      <c r="N381" s="74"/>
      <c r="O381" s="82" t="s">
        <v>776</v>
      </c>
      <c r="P381" s="82" t="s">
        <v>197</v>
      </c>
      <c r="Q381" s="82" t="s">
        <v>1150</v>
      </c>
      <c r="R381" s="82" t="s">
        <v>600</v>
      </c>
      <c r="S381" s="82" t="s">
        <v>1673</v>
      </c>
      <c r="T381" s="84" t="str">
        <f>HYPERLINK("http://www.youtube.com/channel/UCfmWVk8_0BkOXYRK2VU0Bkw")</f>
        <v>http://www.youtube.com/channel/UCfmWVk8_0BkOXYRK2VU0Bkw</v>
      </c>
      <c r="U381" s="82"/>
      <c r="V381" s="82" t="s">
        <v>1834</v>
      </c>
      <c r="W381" s="84" t="str">
        <f>HYPERLINK("https://www.youtube.com/watch?v=V4-3xDi_Ems")</f>
        <v>https://www.youtube.com/watch?v=V4-3xDi_Ems</v>
      </c>
      <c r="X381" s="82" t="s">
        <v>1857</v>
      </c>
      <c r="Y381" s="82">
        <v>0</v>
      </c>
      <c r="Z381" s="86">
        <v>45133.59170138889</v>
      </c>
      <c r="AA381" s="86">
        <v>45133.59170138889</v>
      </c>
      <c r="AB381" s="82"/>
      <c r="AC381" s="82"/>
      <c r="AD381" s="82"/>
      <c r="AE381" s="82">
        <v>1</v>
      </c>
      <c r="AF381" s="81">
        <v>1</v>
      </c>
      <c r="AG381" s="81">
        <v>1</v>
      </c>
      <c r="AH381" s="49">
        <v>0</v>
      </c>
      <c r="AI381" s="50">
        <v>0</v>
      </c>
      <c r="AJ381" s="49">
        <v>1</v>
      </c>
      <c r="AK381" s="50">
        <v>50</v>
      </c>
      <c r="AL381" s="49">
        <v>0</v>
      </c>
      <c r="AM381" s="50">
        <v>0</v>
      </c>
      <c r="AN381" s="49">
        <v>1</v>
      </c>
      <c r="AO381" s="50">
        <v>50</v>
      </c>
      <c r="AP381" s="49">
        <v>2</v>
      </c>
    </row>
    <row r="382" spans="1:42" ht="15">
      <c r="A382" s="66" t="s">
        <v>601</v>
      </c>
      <c r="B382" s="66" t="s">
        <v>636</v>
      </c>
      <c r="C382" s="67" t="s">
        <v>774</v>
      </c>
      <c r="D382" s="68">
        <v>3</v>
      </c>
      <c r="E382" s="69"/>
      <c r="F382" s="70">
        <v>40</v>
      </c>
      <c r="G382" s="67"/>
      <c r="H382" s="71"/>
      <c r="I382" s="72"/>
      <c r="J382" s="72"/>
      <c r="K382" s="35" t="s">
        <v>65</v>
      </c>
      <c r="L382" s="80">
        <v>382</v>
      </c>
      <c r="M382" s="80"/>
      <c r="N382" s="74"/>
      <c r="O382" s="82" t="s">
        <v>776</v>
      </c>
      <c r="P382" s="82" t="s">
        <v>197</v>
      </c>
      <c r="Q382" s="82" t="s">
        <v>1151</v>
      </c>
      <c r="R382" s="82" t="s">
        <v>601</v>
      </c>
      <c r="S382" s="82" t="s">
        <v>1674</v>
      </c>
      <c r="T382" s="84" t="str">
        <f>HYPERLINK("http://www.youtube.com/channel/UCKjNRS6dalpCuazYZBSp3eg")</f>
        <v>http://www.youtube.com/channel/UCKjNRS6dalpCuazYZBSp3eg</v>
      </c>
      <c r="U382" s="82"/>
      <c r="V382" s="82" t="s">
        <v>1834</v>
      </c>
      <c r="W382" s="84" t="str">
        <f>HYPERLINK("https://www.youtube.com/watch?v=V4-3xDi_Ems")</f>
        <v>https://www.youtube.com/watch?v=V4-3xDi_Ems</v>
      </c>
      <c r="X382" s="82" t="s">
        <v>1857</v>
      </c>
      <c r="Y382" s="82">
        <v>2</v>
      </c>
      <c r="Z382" s="86">
        <v>45134.25027777778</v>
      </c>
      <c r="AA382" s="86">
        <v>45134.25027777778</v>
      </c>
      <c r="AB382" s="82"/>
      <c r="AC382" s="82"/>
      <c r="AD382" s="82"/>
      <c r="AE382" s="82">
        <v>1</v>
      </c>
      <c r="AF382" s="81">
        <v>1</v>
      </c>
      <c r="AG382" s="81">
        <v>1</v>
      </c>
      <c r="AH382" s="49">
        <v>0</v>
      </c>
      <c r="AI382" s="50">
        <v>0</v>
      </c>
      <c r="AJ382" s="49">
        <v>1</v>
      </c>
      <c r="AK382" s="110">
        <v>16.666666666666668</v>
      </c>
      <c r="AL382" s="49">
        <v>0</v>
      </c>
      <c r="AM382" s="50">
        <v>0</v>
      </c>
      <c r="AN382" s="49">
        <v>2</v>
      </c>
      <c r="AO382" s="110">
        <v>33.333333333333336</v>
      </c>
      <c r="AP382" s="49">
        <v>6</v>
      </c>
    </row>
    <row r="383" spans="1:42" ht="15">
      <c r="A383" s="66" t="s">
        <v>602</v>
      </c>
      <c r="B383" s="66" t="s">
        <v>636</v>
      </c>
      <c r="C383" s="67" t="s">
        <v>774</v>
      </c>
      <c r="D383" s="68">
        <v>3</v>
      </c>
      <c r="E383" s="69"/>
      <c r="F383" s="70">
        <v>40</v>
      </c>
      <c r="G383" s="67"/>
      <c r="H383" s="71"/>
      <c r="I383" s="72"/>
      <c r="J383" s="72"/>
      <c r="K383" s="35" t="s">
        <v>65</v>
      </c>
      <c r="L383" s="80">
        <v>383</v>
      </c>
      <c r="M383" s="80"/>
      <c r="N383" s="74"/>
      <c r="O383" s="82" t="s">
        <v>776</v>
      </c>
      <c r="P383" s="82" t="s">
        <v>197</v>
      </c>
      <c r="Q383" s="82" t="s">
        <v>1152</v>
      </c>
      <c r="R383" s="82" t="s">
        <v>602</v>
      </c>
      <c r="S383" s="82" t="s">
        <v>1675</v>
      </c>
      <c r="T383" s="84" t="str">
        <f>HYPERLINK("http://www.youtube.com/channel/UCYxc3jUaC_advAw2utm_-KQ")</f>
        <v>http://www.youtube.com/channel/UCYxc3jUaC_advAw2utm_-KQ</v>
      </c>
      <c r="U383" s="82"/>
      <c r="V383" s="82" t="s">
        <v>1834</v>
      </c>
      <c r="W383" s="84" t="str">
        <f>HYPERLINK("https://www.youtube.com/watch?v=V4-3xDi_Ems")</f>
        <v>https://www.youtube.com/watch?v=V4-3xDi_Ems</v>
      </c>
      <c r="X383" s="82" t="s">
        <v>1857</v>
      </c>
      <c r="Y383" s="82">
        <v>0</v>
      </c>
      <c r="Z383" s="86">
        <v>45135.35668981481</v>
      </c>
      <c r="AA383" s="86">
        <v>45135.35668981481</v>
      </c>
      <c r="AB383" s="82"/>
      <c r="AC383" s="82"/>
      <c r="AD383" s="82"/>
      <c r="AE383" s="82">
        <v>1</v>
      </c>
      <c r="AF383" s="81">
        <v>1</v>
      </c>
      <c r="AG383" s="81">
        <v>1</v>
      </c>
      <c r="AH383" s="49">
        <v>0</v>
      </c>
      <c r="AI383" s="50">
        <v>0</v>
      </c>
      <c r="AJ383" s="49">
        <v>1</v>
      </c>
      <c r="AK383" s="110">
        <v>5.882352941176471</v>
      </c>
      <c r="AL383" s="49">
        <v>0</v>
      </c>
      <c r="AM383" s="50">
        <v>0</v>
      </c>
      <c r="AN383" s="49">
        <v>5</v>
      </c>
      <c r="AO383" s="110">
        <v>29.41176470588235</v>
      </c>
      <c r="AP383" s="49">
        <v>17</v>
      </c>
    </row>
    <row r="384" spans="1:42" ht="15">
      <c r="A384" s="66" t="s">
        <v>603</v>
      </c>
      <c r="B384" s="66" t="s">
        <v>636</v>
      </c>
      <c r="C384" s="67" t="s">
        <v>774</v>
      </c>
      <c r="D384" s="68">
        <v>3</v>
      </c>
      <c r="E384" s="69"/>
      <c r="F384" s="70">
        <v>40</v>
      </c>
      <c r="G384" s="67"/>
      <c r="H384" s="71"/>
      <c r="I384" s="72"/>
      <c r="J384" s="72"/>
      <c r="K384" s="35" t="s">
        <v>65</v>
      </c>
      <c r="L384" s="80">
        <v>384</v>
      </c>
      <c r="M384" s="80"/>
      <c r="N384" s="74"/>
      <c r="O384" s="82" t="s">
        <v>776</v>
      </c>
      <c r="P384" s="82" t="s">
        <v>197</v>
      </c>
      <c r="Q384" s="82" t="s">
        <v>1153</v>
      </c>
      <c r="R384" s="82" t="s">
        <v>603</v>
      </c>
      <c r="S384" s="82" t="s">
        <v>1676</v>
      </c>
      <c r="T384" s="84" t="str">
        <f>HYPERLINK("http://www.youtube.com/channel/UChANq4tvKdU1QdScYMd40Yg")</f>
        <v>http://www.youtube.com/channel/UChANq4tvKdU1QdScYMd40Yg</v>
      </c>
      <c r="U384" s="82"/>
      <c r="V384" s="82" t="s">
        <v>1834</v>
      </c>
      <c r="W384" s="84" t="str">
        <f>HYPERLINK("https://www.youtube.com/watch?v=V4-3xDi_Ems")</f>
        <v>https://www.youtube.com/watch?v=V4-3xDi_Ems</v>
      </c>
      <c r="X384" s="82" t="s">
        <v>1857</v>
      </c>
      <c r="Y384" s="82">
        <v>0</v>
      </c>
      <c r="Z384" s="86">
        <v>45136.11189814815</v>
      </c>
      <c r="AA384" s="86">
        <v>45136.11189814815</v>
      </c>
      <c r="AB384" s="82"/>
      <c r="AC384" s="82"/>
      <c r="AD384" s="82"/>
      <c r="AE384" s="82">
        <v>1</v>
      </c>
      <c r="AF384" s="81">
        <v>1</v>
      </c>
      <c r="AG384" s="81">
        <v>1</v>
      </c>
      <c r="AH384" s="49">
        <v>0</v>
      </c>
      <c r="AI384" s="50">
        <v>0</v>
      </c>
      <c r="AJ384" s="49">
        <v>1</v>
      </c>
      <c r="AK384" s="110">
        <v>16.666666666666668</v>
      </c>
      <c r="AL384" s="49">
        <v>0</v>
      </c>
      <c r="AM384" s="50">
        <v>0</v>
      </c>
      <c r="AN384" s="49">
        <v>4</v>
      </c>
      <c r="AO384" s="110">
        <v>66.66666666666667</v>
      </c>
      <c r="AP384" s="49">
        <v>6</v>
      </c>
    </row>
    <row r="385" spans="1:42" ht="15">
      <c r="A385" s="66" t="s">
        <v>604</v>
      </c>
      <c r="B385" s="66" t="s">
        <v>636</v>
      </c>
      <c r="C385" s="67" t="s">
        <v>774</v>
      </c>
      <c r="D385" s="68">
        <v>3</v>
      </c>
      <c r="E385" s="69"/>
      <c r="F385" s="70">
        <v>40</v>
      </c>
      <c r="G385" s="67"/>
      <c r="H385" s="71"/>
      <c r="I385" s="72"/>
      <c r="J385" s="72"/>
      <c r="K385" s="35" t="s">
        <v>65</v>
      </c>
      <c r="L385" s="80">
        <v>385</v>
      </c>
      <c r="M385" s="80"/>
      <c r="N385" s="74"/>
      <c r="O385" s="82" t="s">
        <v>776</v>
      </c>
      <c r="P385" s="82" t="s">
        <v>197</v>
      </c>
      <c r="Q385" s="82" t="s">
        <v>1154</v>
      </c>
      <c r="R385" s="82" t="s">
        <v>604</v>
      </c>
      <c r="S385" s="82" t="s">
        <v>1677</v>
      </c>
      <c r="T385" s="84" t="str">
        <f>HYPERLINK("http://www.youtube.com/channel/UC-b5bld7GfVrvnXlfEJq43w")</f>
        <v>http://www.youtube.com/channel/UC-b5bld7GfVrvnXlfEJq43w</v>
      </c>
      <c r="U385" s="82"/>
      <c r="V385" s="82" t="s">
        <v>1834</v>
      </c>
      <c r="W385" s="84" t="str">
        <f>HYPERLINK("https://www.youtube.com/watch?v=V4-3xDi_Ems")</f>
        <v>https://www.youtube.com/watch?v=V4-3xDi_Ems</v>
      </c>
      <c r="X385" s="82" t="s">
        <v>1857</v>
      </c>
      <c r="Y385" s="82">
        <v>0</v>
      </c>
      <c r="Z385" s="86">
        <v>45136.461863425924</v>
      </c>
      <c r="AA385" s="86">
        <v>45136.461863425924</v>
      </c>
      <c r="AB385" s="82"/>
      <c r="AC385" s="82"/>
      <c r="AD385" s="82"/>
      <c r="AE385" s="82">
        <v>1</v>
      </c>
      <c r="AF385" s="81">
        <v>1</v>
      </c>
      <c r="AG385" s="81">
        <v>1</v>
      </c>
      <c r="AH385" s="49">
        <v>0</v>
      </c>
      <c r="AI385" s="50">
        <v>0</v>
      </c>
      <c r="AJ385" s="49">
        <v>0</v>
      </c>
      <c r="AK385" s="50">
        <v>0</v>
      </c>
      <c r="AL385" s="49">
        <v>0</v>
      </c>
      <c r="AM385" s="50">
        <v>0</v>
      </c>
      <c r="AN385" s="49">
        <v>1</v>
      </c>
      <c r="AO385" s="50">
        <v>100</v>
      </c>
      <c r="AP385" s="49">
        <v>1</v>
      </c>
    </row>
    <row r="386" spans="1:42" ht="15">
      <c r="A386" s="66" t="s">
        <v>605</v>
      </c>
      <c r="B386" s="66" t="s">
        <v>636</v>
      </c>
      <c r="C386" s="67" t="s">
        <v>774</v>
      </c>
      <c r="D386" s="68">
        <v>3</v>
      </c>
      <c r="E386" s="69"/>
      <c r="F386" s="70">
        <v>40</v>
      </c>
      <c r="G386" s="67"/>
      <c r="H386" s="71"/>
      <c r="I386" s="72"/>
      <c r="J386" s="72"/>
      <c r="K386" s="35" t="s">
        <v>65</v>
      </c>
      <c r="L386" s="80">
        <v>386</v>
      </c>
      <c r="M386" s="80"/>
      <c r="N386" s="74"/>
      <c r="O386" s="82" t="s">
        <v>776</v>
      </c>
      <c r="P386" s="82" t="s">
        <v>197</v>
      </c>
      <c r="Q386" s="82" t="s">
        <v>1155</v>
      </c>
      <c r="R386" s="82" t="s">
        <v>605</v>
      </c>
      <c r="S386" s="82" t="s">
        <v>1678</v>
      </c>
      <c r="T386" s="84" t="str">
        <f>HYPERLINK("http://www.youtube.com/channel/UC6-sshOU8XVke5x-hcBeiAg")</f>
        <v>http://www.youtube.com/channel/UC6-sshOU8XVke5x-hcBeiAg</v>
      </c>
      <c r="U386" s="82"/>
      <c r="V386" s="82" t="s">
        <v>1834</v>
      </c>
      <c r="W386" s="84" t="str">
        <f>HYPERLINK("https://www.youtube.com/watch?v=V4-3xDi_Ems")</f>
        <v>https://www.youtube.com/watch?v=V4-3xDi_Ems</v>
      </c>
      <c r="X386" s="82" t="s">
        <v>1857</v>
      </c>
      <c r="Y386" s="82">
        <v>0</v>
      </c>
      <c r="Z386" s="86">
        <v>45136.869097222225</v>
      </c>
      <c r="AA386" s="86">
        <v>45136.90021990741</v>
      </c>
      <c r="AB386" s="82"/>
      <c r="AC386" s="82"/>
      <c r="AD386" s="82"/>
      <c r="AE386" s="82">
        <v>1</v>
      </c>
      <c r="AF386" s="81">
        <v>1</v>
      </c>
      <c r="AG386" s="81">
        <v>1</v>
      </c>
      <c r="AH386" s="49">
        <v>2</v>
      </c>
      <c r="AI386" s="110">
        <v>7.142857142857143</v>
      </c>
      <c r="AJ386" s="49">
        <v>0</v>
      </c>
      <c r="AK386" s="50">
        <v>0</v>
      </c>
      <c r="AL386" s="49">
        <v>0</v>
      </c>
      <c r="AM386" s="50">
        <v>0</v>
      </c>
      <c r="AN386" s="49">
        <v>5</v>
      </c>
      <c r="AO386" s="110">
        <v>17.857142857142858</v>
      </c>
      <c r="AP386" s="49">
        <v>28</v>
      </c>
    </row>
    <row r="387" spans="1:42" ht="15">
      <c r="A387" s="66" t="s">
        <v>606</v>
      </c>
      <c r="B387" s="66" t="s">
        <v>636</v>
      </c>
      <c r="C387" s="67" t="s">
        <v>774</v>
      </c>
      <c r="D387" s="68">
        <v>3</v>
      </c>
      <c r="E387" s="69"/>
      <c r="F387" s="70">
        <v>40</v>
      </c>
      <c r="G387" s="67"/>
      <c r="H387" s="71"/>
      <c r="I387" s="72"/>
      <c r="J387" s="72"/>
      <c r="K387" s="35" t="s">
        <v>65</v>
      </c>
      <c r="L387" s="80">
        <v>387</v>
      </c>
      <c r="M387" s="80"/>
      <c r="N387" s="74"/>
      <c r="O387" s="82" t="s">
        <v>776</v>
      </c>
      <c r="P387" s="82" t="s">
        <v>197</v>
      </c>
      <c r="Q387" s="82" t="s">
        <v>1156</v>
      </c>
      <c r="R387" s="82" t="s">
        <v>606</v>
      </c>
      <c r="S387" s="82" t="s">
        <v>1679</v>
      </c>
      <c r="T387" s="84" t="str">
        <f>HYPERLINK("http://www.youtube.com/channel/UCg3vNLph88TBkW0azZeDCrg")</f>
        <v>http://www.youtube.com/channel/UCg3vNLph88TBkW0azZeDCrg</v>
      </c>
      <c r="U387" s="82"/>
      <c r="V387" s="82" t="s">
        <v>1834</v>
      </c>
      <c r="W387" s="84" t="str">
        <f>HYPERLINK("https://www.youtube.com/watch?v=V4-3xDi_Ems")</f>
        <v>https://www.youtube.com/watch?v=V4-3xDi_Ems</v>
      </c>
      <c r="X387" s="82" t="s">
        <v>1857</v>
      </c>
      <c r="Y387" s="82">
        <v>1</v>
      </c>
      <c r="Z387" s="86">
        <v>45138.8215625</v>
      </c>
      <c r="AA387" s="86">
        <v>45138.8215625</v>
      </c>
      <c r="AB387" s="82"/>
      <c r="AC387" s="82"/>
      <c r="AD387" s="82"/>
      <c r="AE387" s="82">
        <v>1</v>
      </c>
      <c r="AF387" s="81">
        <v>1</v>
      </c>
      <c r="AG387" s="81">
        <v>1</v>
      </c>
      <c r="AH387" s="49">
        <v>0</v>
      </c>
      <c r="AI387" s="50">
        <v>0</v>
      </c>
      <c r="AJ387" s="49">
        <v>0</v>
      </c>
      <c r="AK387" s="50">
        <v>0</v>
      </c>
      <c r="AL387" s="49">
        <v>0</v>
      </c>
      <c r="AM387" s="50">
        <v>0</v>
      </c>
      <c r="AN387" s="49">
        <v>2</v>
      </c>
      <c r="AO387" s="50">
        <v>50</v>
      </c>
      <c r="AP387" s="49">
        <v>4</v>
      </c>
    </row>
    <row r="388" spans="1:42" ht="15">
      <c r="A388" s="66" t="s">
        <v>607</v>
      </c>
      <c r="B388" s="66" t="s">
        <v>636</v>
      </c>
      <c r="C388" s="67" t="s">
        <v>774</v>
      </c>
      <c r="D388" s="68">
        <v>3</v>
      </c>
      <c r="E388" s="69"/>
      <c r="F388" s="70">
        <v>40</v>
      </c>
      <c r="G388" s="67"/>
      <c r="H388" s="71"/>
      <c r="I388" s="72"/>
      <c r="J388" s="72"/>
      <c r="K388" s="35" t="s">
        <v>65</v>
      </c>
      <c r="L388" s="80">
        <v>388</v>
      </c>
      <c r="M388" s="80"/>
      <c r="N388" s="74"/>
      <c r="O388" s="82" t="s">
        <v>776</v>
      </c>
      <c r="P388" s="82" t="s">
        <v>197</v>
      </c>
      <c r="Q388" s="82" t="s">
        <v>1157</v>
      </c>
      <c r="R388" s="82" t="s">
        <v>607</v>
      </c>
      <c r="S388" s="82" t="s">
        <v>1680</v>
      </c>
      <c r="T388" s="84" t="str">
        <f>HYPERLINK("http://www.youtube.com/channel/UCoCaIO-DdddRTRYNZdtFkEw")</f>
        <v>http://www.youtube.com/channel/UCoCaIO-DdddRTRYNZdtFkEw</v>
      </c>
      <c r="U388" s="82"/>
      <c r="V388" s="82" t="s">
        <v>1834</v>
      </c>
      <c r="W388" s="84" t="str">
        <f>HYPERLINK("https://www.youtube.com/watch?v=V4-3xDi_Ems")</f>
        <v>https://www.youtube.com/watch?v=V4-3xDi_Ems</v>
      </c>
      <c r="X388" s="82" t="s">
        <v>1857</v>
      </c>
      <c r="Y388" s="82">
        <v>0</v>
      </c>
      <c r="Z388" s="86">
        <v>45141.71103009259</v>
      </c>
      <c r="AA388" s="86">
        <v>45141.71103009259</v>
      </c>
      <c r="AB388" s="82"/>
      <c r="AC388" s="82"/>
      <c r="AD388" s="82"/>
      <c r="AE388" s="82">
        <v>1</v>
      </c>
      <c r="AF388" s="81">
        <v>1</v>
      </c>
      <c r="AG388" s="81">
        <v>1</v>
      </c>
      <c r="AH388" s="49">
        <v>4</v>
      </c>
      <c r="AI388" s="110">
        <v>11.11111111111111</v>
      </c>
      <c r="AJ388" s="49">
        <v>0</v>
      </c>
      <c r="AK388" s="50">
        <v>0</v>
      </c>
      <c r="AL388" s="49">
        <v>0</v>
      </c>
      <c r="AM388" s="50">
        <v>0</v>
      </c>
      <c r="AN388" s="49">
        <v>6</v>
      </c>
      <c r="AO388" s="110">
        <v>16.666666666666668</v>
      </c>
      <c r="AP388" s="49">
        <v>36</v>
      </c>
    </row>
    <row r="389" spans="1:42" ht="15">
      <c r="A389" s="66" t="s">
        <v>608</v>
      </c>
      <c r="B389" s="66" t="s">
        <v>636</v>
      </c>
      <c r="C389" s="67" t="s">
        <v>774</v>
      </c>
      <c r="D389" s="68">
        <v>3</v>
      </c>
      <c r="E389" s="69"/>
      <c r="F389" s="70">
        <v>40</v>
      </c>
      <c r="G389" s="67"/>
      <c r="H389" s="71"/>
      <c r="I389" s="72"/>
      <c r="J389" s="72"/>
      <c r="K389" s="35" t="s">
        <v>65</v>
      </c>
      <c r="L389" s="80">
        <v>389</v>
      </c>
      <c r="M389" s="80"/>
      <c r="N389" s="74"/>
      <c r="O389" s="82" t="s">
        <v>776</v>
      </c>
      <c r="P389" s="82" t="s">
        <v>197</v>
      </c>
      <c r="Q389" s="82" t="s">
        <v>1158</v>
      </c>
      <c r="R389" s="82" t="s">
        <v>608</v>
      </c>
      <c r="S389" s="82" t="s">
        <v>1681</v>
      </c>
      <c r="T389" s="84" t="str">
        <f>HYPERLINK("http://www.youtube.com/channel/UCRfK4-iCXd6kUqe63s6TlhA")</f>
        <v>http://www.youtube.com/channel/UCRfK4-iCXd6kUqe63s6TlhA</v>
      </c>
      <c r="U389" s="82"/>
      <c r="V389" s="82" t="s">
        <v>1834</v>
      </c>
      <c r="W389" s="84" t="str">
        <f>HYPERLINK("https://www.youtube.com/watch?v=V4-3xDi_Ems")</f>
        <v>https://www.youtube.com/watch?v=V4-3xDi_Ems</v>
      </c>
      <c r="X389" s="82" t="s">
        <v>1857</v>
      </c>
      <c r="Y389" s="82">
        <v>5</v>
      </c>
      <c r="Z389" s="86">
        <v>45142.507048611114</v>
      </c>
      <c r="AA389" s="86">
        <v>45142.507048611114</v>
      </c>
      <c r="AB389" s="82"/>
      <c r="AC389" s="82"/>
      <c r="AD389" s="82"/>
      <c r="AE389" s="82">
        <v>1</v>
      </c>
      <c r="AF389" s="81">
        <v>1</v>
      </c>
      <c r="AG389" s="81">
        <v>1</v>
      </c>
      <c r="AH389" s="49">
        <v>1</v>
      </c>
      <c r="AI389" s="110">
        <v>4.166666666666667</v>
      </c>
      <c r="AJ389" s="49">
        <v>1</v>
      </c>
      <c r="AK389" s="110">
        <v>4.166666666666667</v>
      </c>
      <c r="AL389" s="49">
        <v>0</v>
      </c>
      <c r="AM389" s="50">
        <v>0</v>
      </c>
      <c r="AN389" s="49">
        <v>6</v>
      </c>
      <c r="AO389" s="50">
        <v>25</v>
      </c>
      <c r="AP389" s="49">
        <v>24</v>
      </c>
    </row>
    <row r="390" spans="1:42" ht="15">
      <c r="A390" s="66" t="s">
        <v>609</v>
      </c>
      <c r="B390" s="66" t="s">
        <v>636</v>
      </c>
      <c r="C390" s="67" t="s">
        <v>774</v>
      </c>
      <c r="D390" s="68">
        <v>3</v>
      </c>
      <c r="E390" s="69"/>
      <c r="F390" s="70">
        <v>40</v>
      </c>
      <c r="G390" s="67"/>
      <c r="H390" s="71"/>
      <c r="I390" s="72"/>
      <c r="J390" s="72"/>
      <c r="K390" s="35" t="s">
        <v>65</v>
      </c>
      <c r="L390" s="80">
        <v>390</v>
      </c>
      <c r="M390" s="80"/>
      <c r="N390" s="74"/>
      <c r="O390" s="82" t="s">
        <v>776</v>
      </c>
      <c r="P390" s="82" t="s">
        <v>197</v>
      </c>
      <c r="Q390" s="82" t="s">
        <v>1159</v>
      </c>
      <c r="R390" s="82" t="s">
        <v>609</v>
      </c>
      <c r="S390" s="82" t="s">
        <v>1682</v>
      </c>
      <c r="T390" s="84" t="str">
        <f>HYPERLINK("http://www.youtube.com/channel/UCRbpHc-o1zXXfeqMbQXeV3w")</f>
        <v>http://www.youtube.com/channel/UCRbpHc-o1zXXfeqMbQXeV3w</v>
      </c>
      <c r="U390" s="82"/>
      <c r="V390" s="82" t="s">
        <v>1834</v>
      </c>
      <c r="W390" s="84" t="str">
        <f>HYPERLINK("https://www.youtube.com/watch?v=V4-3xDi_Ems")</f>
        <v>https://www.youtube.com/watch?v=V4-3xDi_Ems</v>
      </c>
      <c r="X390" s="82" t="s">
        <v>1857</v>
      </c>
      <c r="Y390" s="82">
        <v>0</v>
      </c>
      <c r="Z390" s="86">
        <v>45143.11927083333</v>
      </c>
      <c r="AA390" s="86">
        <v>45143.11927083333</v>
      </c>
      <c r="AB390" s="82"/>
      <c r="AC390" s="82"/>
      <c r="AD390" s="82"/>
      <c r="AE390" s="82">
        <v>1</v>
      </c>
      <c r="AF390" s="81">
        <v>1</v>
      </c>
      <c r="AG390" s="81">
        <v>1</v>
      </c>
      <c r="AH390" s="49">
        <v>0</v>
      </c>
      <c r="AI390" s="50">
        <v>0</v>
      </c>
      <c r="AJ390" s="49">
        <v>0</v>
      </c>
      <c r="AK390" s="50">
        <v>0</v>
      </c>
      <c r="AL390" s="49">
        <v>0</v>
      </c>
      <c r="AM390" s="50">
        <v>0</v>
      </c>
      <c r="AN390" s="49">
        <v>1</v>
      </c>
      <c r="AO390" s="50">
        <v>100</v>
      </c>
      <c r="AP390" s="49">
        <v>1</v>
      </c>
    </row>
    <row r="391" spans="1:42" ht="15">
      <c r="A391" s="66" t="s">
        <v>610</v>
      </c>
      <c r="B391" s="66" t="s">
        <v>636</v>
      </c>
      <c r="C391" s="67" t="s">
        <v>774</v>
      </c>
      <c r="D391" s="68">
        <v>3</v>
      </c>
      <c r="E391" s="69"/>
      <c r="F391" s="70">
        <v>40</v>
      </c>
      <c r="G391" s="67"/>
      <c r="H391" s="71"/>
      <c r="I391" s="72"/>
      <c r="J391" s="72"/>
      <c r="K391" s="35" t="s">
        <v>65</v>
      </c>
      <c r="L391" s="80">
        <v>391</v>
      </c>
      <c r="M391" s="80"/>
      <c r="N391" s="74"/>
      <c r="O391" s="82" t="s">
        <v>776</v>
      </c>
      <c r="P391" s="82" t="s">
        <v>197</v>
      </c>
      <c r="Q391" s="82" t="s">
        <v>1160</v>
      </c>
      <c r="R391" s="82" t="s">
        <v>610</v>
      </c>
      <c r="S391" s="82" t="s">
        <v>1683</v>
      </c>
      <c r="T391" s="84" t="str">
        <f>HYPERLINK("http://www.youtube.com/channel/UCw2zFkGgV9x7h56OWzIhsQw")</f>
        <v>http://www.youtube.com/channel/UCw2zFkGgV9x7h56OWzIhsQw</v>
      </c>
      <c r="U391" s="82"/>
      <c r="V391" s="82" t="s">
        <v>1834</v>
      </c>
      <c r="W391" s="84" t="str">
        <f>HYPERLINK("https://www.youtube.com/watch?v=V4-3xDi_Ems")</f>
        <v>https://www.youtube.com/watch?v=V4-3xDi_Ems</v>
      </c>
      <c r="X391" s="82" t="s">
        <v>1857</v>
      </c>
      <c r="Y391" s="82">
        <v>0</v>
      </c>
      <c r="Z391" s="86">
        <v>45144.639918981484</v>
      </c>
      <c r="AA391" s="86">
        <v>45144.639918981484</v>
      </c>
      <c r="AB391" s="82"/>
      <c r="AC391" s="82"/>
      <c r="AD391" s="82"/>
      <c r="AE391" s="82">
        <v>1</v>
      </c>
      <c r="AF391" s="81">
        <v>1</v>
      </c>
      <c r="AG391" s="81">
        <v>1</v>
      </c>
      <c r="AH391" s="49">
        <v>1</v>
      </c>
      <c r="AI391" s="110">
        <v>3.0303030303030303</v>
      </c>
      <c r="AJ391" s="49">
        <v>3</v>
      </c>
      <c r="AK391" s="110">
        <v>9.090909090909092</v>
      </c>
      <c r="AL391" s="49">
        <v>0</v>
      </c>
      <c r="AM391" s="50">
        <v>0</v>
      </c>
      <c r="AN391" s="49">
        <v>9</v>
      </c>
      <c r="AO391" s="110">
        <v>27.272727272727273</v>
      </c>
      <c r="AP391" s="49">
        <v>33</v>
      </c>
    </row>
    <row r="392" spans="1:42" ht="15">
      <c r="A392" s="66" t="s">
        <v>611</v>
      </c>
      <c r="B392" s="66" t="s">
        <v>636</v>
      </c>
      <c r="C392" s="67" t="s">
        <v>774</v>
      </c>
      <c r="D392" s="68">
        <v>3</v>
      </c>
      <c r="E392" s="69"/>
      <c r="F392" s="70">
        <v>40</v>
      </c>
      <c r="G392" s="67"/>
      <c r="H392" s="71"/>
      <c r="I392" s="72"/>
      <c r="J392" s="72"/>
      <c r="K392" s="35" t="s">
        <v>65</v>
      </c>
      <c r="L392" s="80">
        <v>392</v>
      </c>
      <c r="M392" s="80"/>
      <c r="N392" s="74"/>
      <c r="O392" s="82" t="s">
        <v>776</v>
      </c>
      <c r="P392" s="82" t="s">
        <v>197</v>
      </c>
      <c r="Q392" s="82" t="s">
        <v>1161</v>
      </c>
      <c r="R392" s="82" t="s">
        <v>611</v>
      </c>
      <c r="S392" s="82" t="s">
        <v>1684</v>
      </c>
      <c r="T392" s="84" t="str">
        <f>HYPERLINK("http://www.youtube.com/channel/UCO2xUZoK5RDyNukqo6gxuYw")</f>
        <v>http://www.youtube.com/channel/UCO2xUZoK5RDyNukqo6gxuYw</v>
      </c>
      <c r="U392" s="82"/>
      <c r="V392" s="82" t="s">
        <v>1834</v>
      </c>
      <c r="W392" s="84" t="str">
        <f>HYPERLINK("https://www.youtube.com/watch?v=V4-3xDi_Ems")</f>
        <v>https://www.youtube.com/watch?v=V4-3xDi_Ems</v>
      </c>
      <c r="X392" s="82" t="s">
        <v>1857</v>
      </c>
      <c r="Y392" s="82">
        <v>0</v>
      </c>
      <c r="Z392" s="86">
        <v>45145.81413194445</v>
      </c>
      <c r="AA392" s="86">
        <v>45145.81413194445</v>
      </c>
      <c r="AB392" s="82"/>
      <c r="AC392" s="82"/>
      <c r="AD392" s="82"/>
      <c r="AE392" s="82">
        <v>1</v>
      </c>
      <c r="AF392" s="81">
        <v>1</v>
      </c>
      <c r="AG392" s="81">
        <v>1</v>
      </c>
      <c r="AH392" s="49">
        <v>0</v>
      </c>
      <c r="AI392" s="50">
        <v>0</v>
      </c>
      <c r="AJ392" s="49">
        <v>0</v>
      </c>
      <c r="AK392" s="50">
        <v>0</v>
      </c>
      <c r="AL392" s="49">
        <v>0</v>
      </c>
      <c r="AM392" s="50">
        <v>0</v>
      </c>
      <c r="AN392" s="49">
        <v>2</v>
      </c>
      <c r="AO392" s="50">
        <v>100</v>
      </c>
      <c r="AP392" s="49">
        <v>2</v>
      </c>
    </row>
    <row r="393" spans="1:42" ht="15">
      <c r="A393" s="66" t="s">
        <v>612</v>
      </c>
      <c r="B393" s="66" t="s">
        <v>636</v>
      </c>
      <c r="C393" s="67" t="s">
        <v>774</v>
      </c>
      <c r="D393" s="68">
        <v>3</v>
      </c>
      <c r="E393" s="69"/>
      <c r="F393" s="70">
        <v>40</v>
      </c>
      <c r="G393" s="67"/>
      <c r="H393" s="71"/>
      <c r="I393" s="72"/>
      <c r="J393" s="72"/>
      <c r="K393" s="35" t="s">
        <v>65</v>
      </c>
      <c r="L393" s="80">
        <v>393</v>
      </c>
      <c r="M393" s="80"/>
      <c r="N393" s="74"/>
      <c r="O393" s="82" t="s">
        <v>776</v>
      </c>
      <c r="P393" s="82" t="s">
        <v>197</v>
      </c>
      <c r="Q393" s="82" t="s">
        <v>1162</v>
      </c>
      <c r="R393" s="82" t="s">
        <v>612</v>
      </c>
      <c r="S393" s="82" t="s">
        <v>1685</v>
      </c>
      <c r="T393" s="84" t="str">
        <f>HYPERLINK("http://www.youtube.com/channel/UCDCiRw1N5YI3MvkPzOMM0iA")</f>
        <v>http://www.youtube.com/channel/UCDCiRw1N5YI3MvkPzOMM0iA</v>
      </c>
      <c r="U393" s="82"/>
      <c r="V393" s="82" t="s">
        <v>1834</v>
      </c>
      <c r="W393" s="84" t="str">
        <f>HYPERLINK("https://www.youtube.com/watch?v=V4-3xDi_Ems")</f>
        <v>https://www.youtube.com/watch?v=V4-3xDi_Ems</v>
      </c>
      <c r="X393" s="82" t="s">
        <v>1857</v>
      </c>
      <c r="Y393" s="82">
        <v>0</v>
      </c>
      <c r="Z393" s="86">
        <v>45146.40719907408</v>
      </c>
      <c r="AA393" s="86">
        <v>45146.40719907408</v>
      </c>
      <c r="AB393" s="82"/>
      <c r="AC393" s="82"/>
      <c r="AD393" s="82"/>
      <c r="AE393" s="82">
        <v>1</v>
      </c>
      <c r="AF393" s="81">
        <v>1</v>
      </c>
      <c r="AG393" s="81">
        <v>1</v>
      </c>
      <c r="AH393" s="49">
        <v>0</v>
      </c>
      <c r="AI393" s="50">
        <v>0</v>
      </c>
      <c r="AJ393" s="49">
        <v>1</v>
      </c>
      <c r="AK393" s="50">
        <v>10</v>
      </c>
      <c r="AL393" s="49">
        <v>0</v>
      </c>
      <c r="AM393" s="50">
        <v>0</v>
      </c>
      <c r="AN393" s="49">
        <v>3</v>
      </c>
      <c r="AO393" s="50">
        <v>30</v>
      </c>
      <c r="AP393" s="49">
        <v>10</v>
      </c>
    </row>
    <row r="394" spans="1:42" ht="15">
      <c r="A394" s="66" t="s">
        <v>613</v>
      </c>
      <c r="B394" s="66" t="s">
        <v>636</v>
      </c>
      <c r="C394" s="67" t="s">
        <v>774</v>
      </c>
      <c r="D394" s="68">
        <v>3</v>
      </c>
      <c r="E394" s="69"/>
      <c r="F394" s="70">
        <v>40</v>
      </c>
      <c r="G394" s="67"/>
      <c r="H394" s="71"/>
      <c r="I394" s="72"/>
      <c r="J394" s="72"/>
      <c r="K394" s="35" t="s">
        <v>65</v>
      </c>
      <c r="L394" s="80">
        <v>394</v>
      </c>
      <c r="M394" s="80"/>
      <c r="N394" s="74"/>
      <c r="O394" s="82" t="s">
        <v>776</v>
      </c>
      <c r="P394" s="82" t="s">
        <v>197</v>
      </c>
      <c r="Q394" s="82" t="s">
        <v>1163</v>
      </c>
      <c r="R394" s="82" t="s">
        <v>613</v>
      </c>
      <c r="S394" s="82" t="s">
        <v>1686</v>
      </c>
      <c r="T394" s="84" t="str">
        <f>HYPERLINK("http://www.youtube.com/channel/UCWbtHCdm7dHwaxI3apWk0tQ")</f>
        <v>http://www.youtube.com/channel/UCWbtHCdm7dHwaxI3apWk0tQ</v>
      </c>
      <c r="U394" s="82"/>
      <c r="V394" s="82" t="s">
        <v>1834</v>
      </c>
      <c r="W394" s="84" t="str">
        <f>HYPERLINK("https://www.youtube.com/watch?v=V4-3xDi_Ems")</f>
        <v>https://www.youtube.com/watch?v=V4-3xDi_Ems</v>
      </c>
      <c r="X394" s="82" t="s">
        <v>1857</v>
      </c>
      <c r="Y394" s="82">
        <v>0</v>
      </c>
      <c r="Z394" s="86">
        <v>45147.05892361111</v>
      </c>
      <c r="AA394" s="86">
        <v>45147.05892361111</v>
      </c>
      <c r="AB394" s="82"/>
      <c r="AC394" s="82"/>
      <c r="AD394" s="82"/>
      <c r="AE394" s="82">
        <v>1</v>
      </c>
      <c r="AF394" s="81">
        <v>1</v>
      </c>
      <c r="AG394" s="81">
        <v>1</v>
      </c>
      <c r="AH394" s="49">
        <v>0</v>
      </c>
      <c r="AI394" s="50">
        <v>0</v>
      </c>
      <c r="AJ394" s="49">
        <v>0</v>
      </c>
      <c r="AK394" s="50">
        <v>0</v>
      </c>
      <c r="AL394" s="49">
        <v>0</v>
      </c>
      <c r="AM394" s="50">
        <v>0</v>
      </c>
      <c r="AN394" s="49">
        <v>3</v>
      </c>
      <c r="AO394" s="50">
        <v>30</v>
      </c>
      <c r="AP394" s="49">
        <v>10</v>
      </c>
    </row>
    <row r="395" spans="1:42" ht="15">
      <c r="A395" s="66" t="s">
        <v>614</v>
      </c>
      <c r="B395" s="66" t="s">
        <v>636</v>
      </c>
      <c r="C395" s="67" t="s">
        <v>774</v>
      </c>
      <c r="D395" s="68">
        <v>3</v>
      </c>
      <c r="E395" s="69"/>
      <c r="F395" s="70">
        <v>40</v>
      </c>
      <c r="G395" s="67"/>
      <c r="H395" s="71"/>
      <c r="I395" s="72"/>
      <c r="J395" s="72"/>
      <c r="K395" s="35" t="s">
        <v>65</v>
      </c>
      <c r="L395" s="80">
        <v>395</v>
      </c>
      <c r="M395" s="80"/>
      <c r="N395" s="74"/>
      <c r="O395" s="82" t="s">
        <v>776</v>
      </c>
      <c r="P395" s="82" t="s">
        <v>197</v>
      </c>
      <c r="Q395" s="82" t="s">
        <v>1164</v>
      </c>
      <c r="R395" s="82" t="s">
        <v>614</v>
      </c>
      <c r="S395" s="82" t="s">
        <v>1687</v>
      </c>
      <c r="T395" s="84" t="str">
        <f>HYPERLINK("http://www.youtube.com/channel/UCKcoMTqxz7Qj8WdRIF6r7iA")</f>
        <v>http://www.youtube.com/channel/UCKcoMTqxz7Qj8WdRIF6r7iA</v>
      </c>
      <c r="U395" s="82"/>
      <c r="V395" s="82" t="s">
        <v>1834</v>
      </c>
      <c r="W395" s="84" t="str">
        <f>HYPERLINK("https://www.youtube.com/watch?v=V4-3xDi_Ems")</f>
        <v>https://www.youtube.com/watch?v=V4-3xDi_Ems</v>
      </c>
      <c r="X395" s="82" t="s">
        <v>1857</v>
      </c>
      <c r="Y395" s="82">
        <v>0</v>
      </c>
      <c r="Z395" s="86">
        <v>45147.100173611114</v>
      </c>
      <c r="AA395" s="86">
        <v>45147.100173611114</v>
      </c>
      <c r="AB395" s="82"/>
      <c r="AC395" s="82"/>
      <c r="AD395" s="82"/>
      <c r="AE395" s="82">
        <v>1</v>
      </c>
      <c r="AF395" s="81">
        <v>1</v>
      </c>
      <c r="AG395" s="81">
        <v>1</v>
      </c>
      <c r="AH395" s="49">
        <v>0</v>
      </c>
      <c r="AI395" s="50">
        <v>0</v>
      </c>
      <c r="AJ395" s="49">
        <v>0</v>
      </c>
      <c r="AK395" s="50">
        <v>0</v>
      </c>
      <c r="AL395" s="49">
        <v>0</v>
      </c>
      <c r="AM395" s="50">
        <v>0</v>
      </c>
      <c r="AN395" s="49">
        <v>1</v>
      </c>
      <c r="AO395" s="110">
        <v>33.333333333333336</v>
      </c>
      <c r="AP395" s="49">
        <v>3</v>
      </c>
    </row>
    <row r="396" spans="1:42" ht="15">
      <c r="A396" s="66" t="s">
        <v>615</v>
      </c>
      <c r="B396" s="66" t="s">
        <v>636</v>
      </c>
      <c r="C396" s="67" t="s">
        <v>774</v>
      </c>
      <c r="D396" s="68">
        <v>3</v>
      </c>
      <c r="E396" s="69"/>
      <c r="F396" s="70">
        <v>40</v>
      </c>
      <c r="G396" s="67"/>
      <c r="H396" s="71"/>
      <c r="I396" s="72"/>
      <c r="J396" s="72"/>
      <c r="K396" s="35" t="s">
        <v>65</v>
      </c>
      <c r="L396" s="80">
        <v>396</v>
      </c>
      <c r="M396" s="80"/>
      <c r="N396" s="74"/>
      <c r="O396" s="82" t="s">
        <v>776</v>
      </c>
      <c r="P396" s="82" t="s">
        <v>197</v>
      </c>
      <c r="Q396" s="82" t="s">
        <v>1165</v>
      </c>
      <c r="R396" s="82" t="s">
        <v>615</v>
      </c>
      <c r="S396" s="82" t="s">
        <v>1688</v>
      </c>
      <c r="T396" s="84" t="str">
        <f>HYPERLINK("http://www.youtube.com/channel/UCLbwznb7IXELp0YxtULXpMQ")</f>
        <v>http://www.youtube.com/channel/UCLbwznb7IXELp0YxtULXpMQ</v>
      </c>
      <c r="U396" s="82"/>
      <c r="V396" s="82" t="s">
        <v>1834</v>
      </c>
      <c r="W396" s="84" t="str">
        <f>HYPERLINK("https://www.youtube.com/watch?v=V4-3xDi_Ems")</f>
        <v>https://www.youtube.com/watch?v=V4-3xDi_Ems</v>
      </c>
      <c r="X396" s="82" t="s">
        <v>1857</v>
      </c>
      <c r="Y396" s="82">
        <v>0</v>
      </c>
      <c r="Z396" s="86">
        <v>45147.33863425926</v>
      </c>
      <c r="AA396" s="86">
        <v>45147.33863425926</v>
      </c>
      <c r="AB396" s="82"/>
      <c r="AC396" s="82"/>
      <c r="AD396" s="82"/>
      <c r="AE396" s="82">
        <v>1</v>
      </c>
      <c r="AF396" s="81">
        <v>1</v>
      </c>
      <c r="AG396" s="81">
        <v>1</v>
      </c>
      <c r="AH396" s="49">
        <v>0</v>
      </c>
      <c r="AI396" s="50">
        <v>0</v>
      </c>
      <c r="AJ396" s="49">
        <v>0</v>
      </c>
      <c r="AK396" s="50">
        <v>0</v>
      </c>
      <c r="AL396" s="49">
        <v>0</v>
      </c>
      <c r="AM396" s="50">
        <v>0</v>
      </c>
      <c r="AN396" s="49">
        <v>1</v>
      </c>
      <c r="AO396" s="50">
        <v>12.5</v>
      </c>
      <c r="AP396" s="49">
        <v>8</v>
      </c>
    </row>
    <row r="397" spans="1:42" ht="15">
      <c r="A397" s="66" t="s">
        <v>616</v>
      </c>
      <c r="B397" s="66" t="s">
        <v>636</v>
      </c>
      <c r="C397" s="67" t="s">
        <v>774</v>
      </c>
      <c r="D397" s="68">
        <v>3</v>
      </c>
      <c r="E397" s="69"/>
      <c r="F397" s="70">
        <v>40</v>
      </c>
      <c r="G397" s="67"/>
      <c r="H397" s="71"/>
      <c r="I397" s="72"/>
      <c r="J397" s="72"/>
      <c r="K397" s="35" t="s">
        <v>65</v>
      </c>
      <c r="L397" s="80">
        <v>397</v>
      </c>
      <c r="M397" s="80"/>
      <c r="N397" s="74"/>
      <c r="O397" s="82" t="s">
        <v>776</v>
      </c>
      <c r="P397" s="82" t="s">
        <v>197</v>
      </c>
      <c r="Q397" s="82" t="s">
        <v>1166</v>
      </c>
      <c r="R397" s="82" t="s">
        <v>616</v>
      </c>
      <c r="S397" s="82" t="s">
        <v>1689</v>
      </c>
      <c r="T397" s="84" t="str">
        <f>HYPERLINK("http://www.youtube.com/channel/UCqbTtfu9tQTvXsYsSfFFhzw")</f>
        <v>http://www.youtube.com/channel/UCqbTtfu9tQTvXsYsSfFFhzw</v>
      </c>
      <c r="U397" s="82"/>
      <c r="V397" s="82" t="s">
        <v>1834</v>
      </c>
      <c r="W397" s="84" t="str">
        <f>HYPERLINK("https://www.youtube.com/watch?v=V4-3xDi_Ems")</f>
        <v>https://www.youtube.com/watch?v=V4-3xDi_Ems</v>
      </c>
      <c r="X397" s="82" t="s">
        <v>1857</v>
      </c>
      <c r="Y397" s="82">
        <v>0</v>
      </c>
      <c r="Z397" s="86">
        <v>45147.51537037037</v>
      </c>
      <c r="AA397" s="86">
        <v>45147.51537037037</v>
      </c>
      <c r="AB397" s="82"/>
      <c r="AC397" s="82"/>
      <c r="AD397" s="82"/>
      <c r="AE397" s="82">
        <v>1</v>
      </c>
      <c r="AF397" s="81">
        <v>1</v>
      </c>
      <c r="AG397" s="81">
        <v>1</v>
      </c>
      <c r="AH397" s="49">
        <v>1</v>
      </c>
      <c r="AI397" s="50">
        <v>25</v>
      </c>
      <c r="AJ397" s="49">
        <v>0</v>
      </c>
      <c r="AK397" s="50">
        <v>0</v>
      </c>
      <c r="AL397" s="49">
        <v>0</v>
      </c>
      <c r="AM397" s="50">
        <v>0</v>
      </c>
      <c r="AN397" s="49">
        <v>1</v>
      </c>
      <c r="AO397" s="50">
        <v>25</v>
      </c>
      <c r="AP397" s="49">
        <v>4</v>
      </c>
    </row>
    <row r="398" spans="1:42" ht="15">
      <c r="A398" s="66" t="s">
        <v>617</v>
      </c>
      <c r="B398" s="66" t="s">
        <v>636</v>
      </c>
      <c r="C398" s="67" t="s">
        <v>774</v>
      </c>
      <c r="D398" s="68">
        <v>3</v>
      </c>
      <c r="E398" s="69"/>
      <c r="F398" s="70">
        <v>40</v>
      </c>
      <c r="G398" s="67"/>
      <c r="H398" s="71"/>
      <c r="I398" s="72"/>
      <c r="J398" s="72"/>
      <c r="K398" s="35" t="s">
        <v>65</v>
      </c>
      <c r="L398" s="80">
        <v>398</v>
      </c>
      <c r="M398" s="80"/>
      <c r="N398" s="74"/>
      <c r="O398" s="82" t="s">
        <v>776</v>
      </c>
      <c r="P398" s="82" t="s">
        <v>197</v>
      </c>
      <c r="Q398" s="82" t="s">
        <v>1167</v>
      </c>
      <c r="R398" s="82" t="s">
        <v>617</v>
      </c>
      <c r="S398" s="82" t="s">
        <v>1690</v>
      </c>
      <c r="T398" s="84" t="str">
        <f>HYPERLINK("http://www.youtube.com/channel/UCIlsvXr6slgsp3xfEfzB8gg")</f>
        <v>http://www.youtube.com/channel/UCIlsvXr6slgsp3xfEfzB8gg</v>
      </c>
      <c r="U398" s="82"/>
      <c r="V398" s="82" t="s">
        <v>1834</v>
      </c>
      <c r="W398" s="84" t="str">
        <f>HYPERLINK("https://www.youtube.com/watch?v=V4-3xDi_Ems")</f>
        <v>https://www.youtube.com/watch?v=V4-3xDi_Ems</v>
      </c>
      <c r="X398" s="82" t="s">
        <v>1857</v>
      </c>
      <c r="Y398" s="82">
        <v>0</v>
      </c>
      <c r="Z398" s="86">
        <v>45152.49182870371</v>
      </c>
      <c r="AA398" s="86">
        <v>45152.49182870371</v>
      </c>
      <c r="AB398" s="82"/>
      <c r="AC398" s="82"/>
      <c r="AD398" s="82"/>
      <c r="AE398" s="82">
        <v>1</v>
      </c>
      <c r="AF398" s="81">
        <v>1</v>
      </c>
      <c r="AG398" s="81">
        <v>1</v>
      </c>
      <c r="AH398" s="49">
        <v>4</v>
      </c>
      <c r="AI398" s="110">
        <v>3.8095238095238093</v>
      </c>
      <c r="AJ398" s="49">
        <v>2</v>
      </c>
      <c r="AK398" s="110">
        <v>1.9047619047619047</v>
      </c>
      <c r="AL398" s="49">
        <v>0</v>
      </c>
      <c r="AM398" s="50">
        <v>0</v>
      </c>
      <c r="AN398" s="49">
        <v>24</v>
      </c>
      <c r="AO398" s="110">
        <v>22.857142857142858</v>
      </c>
      <c r="AP398" s="49">
        <v>105</v>
      </c>
    </row>
    <row r="399" spans="1:42" ht="15">
      <c r="A399" s="66" t="s">
        <v>618</v>
      </c>
      <c r="B399" s="66" t="s">
        <v>636</v>
      </c>
      <c r="C399" s="67" t="s">
        <v>774</v>
      </c>
      <c r="D399" s="68">
        <v>3</v>
      </c>
      <c r="E399" s="69"/>
      <c r="F399" s="70">
        <v>40</v>
      </c>
      <c r="G399" s="67"/>
      <c r="H399" s="71"/>
      <c r="I399" s="72"/>
      <c r="J399" s="72"/>
      <c r="K399" s="35" t="s">
        <v>65</v>
      </c>
      <c r="L399" s="80">
        <v>399</v>
      </c>
      <c r="M399" s="80"/>
      <c r="N399" s="74"/>
      <c r="O399" s="82" t="s">
        <v>776</v>
      </c>
      <c r="P399" s="82" t="s">
        <v>197</v>
      </c>
      <c r="Q399" s="82" t="s">
        <v>1168</v>
      </c>
      <c r="R399" s="82" t="s">
        <v>618</v>
      </c>
      <c r="S399" s="82" t="s">
        <v>1691</v>
      </c>
      <c r="T399" s="84" t="str">
        <f>HYPERLINK("http://www.youtube.com/channel/UCjIiEH0pLLOD70rgztI7-tw")</f>
        <v>http://www.youtube.com/channel/UCjIiEH0pLLOD70rgztI7-tw</v>
      </c>
      <c r="U399" s="82"/>
      <c r="V399" s="82" t="s">
        <v>1834</v>
      </c>
      <c r="W399" s="84" t="str">
        <f>HYPERLINK("https://www.youtube.com/watch?v=V4-3xDi_Ems")</f>
        <v>https://www.youtube.com/watch?v=V4-3xDi_Ems</v>
      </c>
      <c r="X399" s="82" t="s">
        <v>1857</v>
      </c>
      <c r="Y399" s="82">
        <v>0</v>
      </c>
      <c r="Z399" s="86">
        <v>45152.95552083333</v>
      </c>
      <c r="AA399" s="86">
        <v>45152.95552083333</v>
      </c>
      <c r="AB399" s="82"/>
      <c r="AC399" s="82"/>
      <c r="AD399" s="82"/>
      <c r="AE399" s="82">
        <v>1</v>
      </c>
      <c r="AF399" s="81">
        <v>1</v>
      </c>
      <c r="AG399" s="81">
        <v>1</v>
      </c>
      <c r="AH399" s="49">
        <v>1</v>
      </c>
      <c r="AI399" s="110">
        <v>7.142857142857143</v>
      </c>
      <c r="AJ399" s="49">
        <v>1</v>
      </c>
      <c r="AK399" s="110">
        <v>7.142857142857143</v>
      </c>
      <c r="AL399" s="49">
        <v>0</v>
      </c>
      <c r="AM399" s="50">
        <v>0</v>
      </c>
      <c r="AN399" s="49">
        <v>3</v>
      </c>
      <c r="AO399" s="110">
        <v>21.428571428571427</v>
      </c>
      <c r="AP399" s="49">
        <v>14</v>
      </c>
    </row>
    <row r="400" spans="1:42" ht="15">
      <c r="A400" s="66" t="s">
        <v>619</v>
      </c>
      <c r="B400" s="66" t="s">
        <v>636</v>
      </c>
      <c r="C400" s="67" t="s">
        <v>774</v>
      </c>
      <c r="D400" s="68">
        <v>3</v>
      </c>
      <c r="E400" s="69"/>
      <c r="F400" s="70">
        <v>40</v>
      </c>
      <c r="G400" s="67"/>
      <c r="H400" s="71"/>
      <c r="I400" s="72"/>
      <c r="J400" s="72"/>
      <c r="K400" s="35" t="s">
        <v>65</v>
      </c>
      <c r="L400" s="80">
        <v>400</v>
      </c>
      <c r="M400" s="80"/>
      <c r="N400" s="74"/>
      <c r="O400" s="82" t="s">
        <v>776</v>
      </c>
      <c r="P400" s="82" t="s">
        <v>197</v>
      </c>
      <c r="Q400" s="82" t="s">
        <v>1169</v>
      </c>
      <c r="R400" s="82" t="s">
        <v>619</v>
      </c>
      <c r="S400" s="82" t="s">
        <v>1692</v>
      </c>
      <c r="T400" s="84" t="str">
        <f>HYPERLINK("http://www.youtube.com/channel/UCy5alV9seV9cbMwIhrSghaQ")</f>
        <v>http://www.youtube.com/channel/UCy5alV9seV9cbMwIhrSghaQ</v>
      </c>
      <c r="U400" s="82"/>
      <c r="V400" s="82" t="s">
        <v>1834</v>
      </c>
      <c r="W400" s="84" t="str">
        <f>HYPERLINK("https://www.youtube.com/watch?v=V4-3xDi_Ems")</f>
        <v>https://www.youtube.com/watch?v=V4-3xDi_Ems</v>
      </c>
      <c r="X400" s="82" t="s">
        <v>1857</v>
      </c>
      <c r="Y400" s="82">
        <v>1</v>
      </c>
      <c r="Z400" s="86">
        <v>45153.90356481481</v>
      </c>
      <c r="AA400" s="86">
        <v>45153.90356481481</v>
      </c>
      <c r="AB400" s="82"/>
      <c r="AC400" s="82"/>
      <c r="AD400" s="82"/>
      <c r="AE400" s="82">
        <v>1</v>
      </c>
      <c r="AF400" s="81">
        <v>1</v>
      </c>
      <c r="AG400" s="81">
        <v>1</v>
      </c>
      <c r="AH400" s="49">
        <v>0</v>
      </c>
      <c r="AI400" s="50">
        <v>0</v>
      </c>
      <c r="AJ400" s="49">
        <v>2</v>
      </c>
      <c r="AK400" s="110">
        <v>11.764705882352942</v>
      </c>
      <c r="AL400" s="49">
        <v>0</v>
      </c>
      <c r="AM400" s="50">
        <v>0</v>
      </c>
      <c r="AN400" s="49">
        <v>6</v>
      </c>
      <c r="AO400" s="110">
        <v>35.294117647058826</v>
      </c>
      <c r="AP400" s="49">
        <v>17</v>
      </c>
    </row>
    <row r="401" spans="1:42" ht="15">
      <c r="A401" s="66" t="s">
        <v>620</v>
      </c>
      <c r="B401" s="66" t="s">
        <v>636</v>
      </c>
      <c r="C401" s="67" t="s">
        <v>774</v>
      </c>
      <c r="D401" s="68">
        <v>3</v>
      </c>
      <c r="E401" s="69"/>
      <c r="F401" s="70">
        <v>40</v>
      </c>
      <c r="G401" s="67"/>
      <c r="H401" s="71"/>
      <c r="I401" s="72"/>
      <c r="J401" s="72"/>
      <c r="K401" s="35" t="s">
        <v>65</v>
      </c>
      <c r="L401" s="80">
        <v>401</v>
      </c>
      <c r="M401" s="80"/>
      <c r="N401" s="74"/>
      <c r="O401" s="82" t="s">
        <v>776</v>
      </c>
      <c r="P401" s="82" t="s">
        <v>197</v>
      </c>
      <c r="Q401" s="82" t="s">
        <v>1170</v>
      </c>
      <c r="R401" s="82" t="s">
        <v>620</v>
      </c>
      <c r="S401" s="82" t="s">
        <v>1693</v>
      </c>
      <c r="T401" s="84" t="str">
        <f>HYPERLINK("http://www.youtube.com/channel/UC8CF8mRiWUxpq8P7YawQMgg")</f>
        <v>http://www.youtube.com/channel/UC8CF8mRiWUxpq8P7YawQMgg</v>
      </c>
      <c r="U401" s="82"/>
      <c r="V401" s="82" t="s">
        <v>1834</v>
      </c>
      <c r="W401" s="84" t="str">
        <f>HYPERLINK("https://www.youtube.com/watch?v=V4-3xDi_Ems")</f>
        <v>https://www.youtube.com/watch?v=V4-3xDi_Ems</v>
      </c>
      <c r="X401" s="82" t="s">
        <v>1857</v>
      </c>
      <c r="Y401" s="82">
        <v>0</v>
      </c>
      <c r="Z401" s="86">
        <v>45154.47760416667</v>
      </c>
      <c r="AA401" s="86">
        <v>45154.47760416667</v>
      </c>
      <c r="AB401" s="82"/>
      <c r="AC401" s="82"/>
      <c r="AD401" s="82"/>
      <c r="AE401" s="82">
        <v>1</v>
      </c>
      <c r="AF401" s="81">
        <v>1</v>
      </c>
      <c r="AG401" s="81">
        <v>1</v>
      </c>
      <c r="AH401" s="49">
        <v>0</v>
      </c>
      <c r="AI401" s="50">
        <v>0</v>
      </c>
      <c r="AJ401" s="49">
        <v>0</v>
      </c>
      <c r="AK401" s="50">
        <v>0</v>
      </c>
      <c r="AL401" s="49">
        <v>0</v>
      </c>
      <c r="AM401" s="50">
        <v>0</v>
      </c>
      <c r="AN401" s="49">
        <v>6</v>
      </c>
      <c r="AO401" s="50">
        <v>75</v>
      </c>
      <c r="AP401" s="49">
        <v>8</v>
      </c>
    </row>
    <row r="402" spans="1:42" ht="15">
      <c r="A402" s="66" t="s">
        <v>621</v>
      </c>
      <c r="B402" s="66" t="s">
        <v>636</v>
      </c>
      <c r="C402" s="67" t="s">
        <v>774</v>
      </c>
      <c r="D402" s="68">
        <v>3</v>
      </c>
      <c r="E402" s="69"/>
      <c r="F402" s="70">
        <v>40</v>
      </c>
      <c r="G402" s="67"/>
      <c r="H402" s="71"/>
      <c r="I402" s="72"/>
      <c r="J402" s="72"/>
      <c r="K402" s="35" t="s">
        <v>65</v>
      </c>
      <c r="L402" s="80">
        <v>402</v>
      </c>
      <c r="M402" s="80"/>
      <c r="N402" s="74"/>
      <c r="O402" s="82" t="s">
        <v>776</v>
      </c>
      <c r="P402" s="82" t="s">
        <v>197</v>
      </c>
      <c r="Q402" s="82" t="s">
        <v>1171</v>
      </c>
      <c r="R402" s="82" t="s">
        <v>621</v>
      </c>
      <c r="S402" s="82" t="s">
        <v>1694</v>
      </c>
      <c r="T402" s="84" t="str">
        <f>HYPERLINK("http://www.youtube.com/channel/UCqX177w_PiXGgkfXfnW4wtw")</f>
        <v>http://www.youtube.com/channel/UCqX177w_PiXGgkfXfnW4wtw</v>
      </c>
      <c r="U402" s="82"/>
      <c r="V402" s="82" t="s">
        <v>1834</v>
      </c>
      <c r="W402" s="84" t="str">
        <f>HYPERLINK("https://www.youtube.com/watch?v=V4-3xDi_Ems")</f>
        <v>https://www.youtube.com/watch?v=V4-3xDi_Ems</v>
      </c>
      <c r="X402" s="82" t="s">
        <v>1857</v>
      </c>
      <c r="Y402" s="82">
        <v>0</v>
      </c>
      <c r="Z402" s="86">
        <v>45156.0781712963</v>
      </c>
      <c r="AA402" s="86">
        <v>45156.0781712963</v>
      </c>
      <c r="AB402" s="82"/>
      <c r="AC402" s="82"/>
      <c r="AD402" s="82"/>
      <c r="AE402" s="82">
        <v>1</v>
      </c>
      <c r="AF402" s="81">
        <v>1</v>
      </c>
      <c r="AG402" s="81">
        <v>1</v>
      </c>
      <c r="AH402" s="49">
        <v>0</v>
      </c>
      <c r="AI402" s="50">
        <v>0</v>
      </c>
      <c r="AJ402" s="49">
        <v>0</v>
      </c>
      <c r="AK402" s="50">
        <v>0</v>
      </c>
      <c r="AL402" s="49">
        <v>0</v>
      </c>
      <c r="AM402" s="50">
        <v>0</v>
      </c>
      <c r="AN402" s="49">
        <v>3</v>
      </c>
      <c r="AO402" s="50">
        <v>30</v>
      </c>
      <c r="AP402" s="49">
        <v>10</v>
      </c>
    </row>
    <row r="403" spans="1:42" ht="15">
      <c r="A403" s="66" t="s">
        <v>622</v>
      </c>
      <c r="B403" s="66" t="s">
        <v>636</v>
      </c>
      <c r="C403" s="67" t="s">
        <v>4788</v>
      </c>
      <c r="D403" s="68">
        <v>10</v>
      </c>
      <c r="E403" s="69"/>
      <c r="F403" s="70">
        <v>15</v>
      </c>
      <c r="G403" s="67"/>
      <c r="H403" s="71"/>
      <c r="I403" s="72"/>
      <c r="J403" s="72"/>
      <c r="K403" s="35" t="s">
        <v>65</v>
      </c>
      <c r="L403" s="80">
        <v>403</v>
      </c>
      <c r="M403" s="80"/>
      <c r="N403" s="74"/>
      <c r="O403" s="82" t="s">
        <v>776</v>
      </c>
      <c r="P403" s="82" t="s">
        <v>197</v>
      </c>
      <c r="Q403" s="82" t="s">
        <v>1172</v>
      </c>
      <c r="R403" s="82" t="s">
        <v>622</v>
      </c>
      <c r="S403" s="82" t="s">
        <v>1695</v>
      </c>
      <c r="T403" s="84" t="str">
        <f>HYPERLINK("http://www.youtube.com/channel/UCwiD2VBz53qs5CzkKaYLVuw")</f>
        <v>http://www.youtube.com/channel/UCwiD2VBz53qs5CzkKaYLVuw</v>
      </c>
      <c r="U403" s="82"/>
      <c r="V403" s="82" t="s">
        <v>1831</v>
      </c>
      <c r="W403" s="84" t="str">
        <f>HYPERLINK("https://www.youtube.com/watch?v=5QB8QAuirzA")</f>
        <v>https://www.youtube.com/watch?v=5QB8QAuirzA</v>
      </c>
      <c r="X403" s="82" t="s">
        <v>1857</v>
      </c>
      <c r="Y403" s="82">
        <v>0</v>
      </c>
      <c r="Z403" s="86">
        <v>45157.5496875</v>
      </c>
      <c r="AA403" s="86">
        <v>45157.5496875</v>
      </c>
      <c r="AB403" s="82"/>
      <c r="AC403" s="82"/>
      <c r="AD403" s="82"/>
      <c r="AE403" s="82">
        <v>4</v>
      </c>
      <c r="AF403" s="81">
        <v>1</v>
      </c>
      <c r="AG403" s="81">
        <v>1</v>
      </c>
      <c r="AH403" s="49">
        <v>0</v>
      </c>
      <c r="AI403" s="50">
        <v>0</v>
      </c>
      <c r="AJ403" s="49">
        <v>0</v>
      </c>
      <c r="AK403" s="50">
        <v>0</v>
      </c>
      <c r="AL403" s="49">
        <v>0</v>
      </c>
      <c r="AM403" s="50">
        <v>0</v>
      </c>
      <c r="AN403" s="49">
        <v>2</v>
      </c>
      <c r="AO403" s="50">
        <v>50</v>
      </c>
      <c r="AP403" s="49">
        <v>4</v>
      </c>
    </row>
    <row r="404" spans="1:42" ht="15">
      <c r="A404" s="66" t="s">
        <v>623</v>
      </c>
      <c r="B404" s="66" t="s">
        <v>636</v>
      </c>
      <c r="C404" s="67" t="s">
        <v>774</v>
      </c>
      <c r="D404" s="68">
        <v>3</v>
      </c>
      <c r="E404" s="69"/>
      <c r="F404" s="70">
        <v>40</v>
      </c>
      <c r="G404" s="67"/>
      <c r="H404" s="71"/>
      <c r="I404" s="72"/>
      <c r="J404" s="72"/>
      <c r="K404" s="35" t="s">
        <v>65</v>
      </c>
      <c r="L404" s="80">
        <v>404</v>
      </c>
      <c r="M404" s="80"/>
      <c r="N404" s="74"/>
      <c r="O404" s="82" t="s">
        <v>776</v>
      </c>
      <c r="P404" s="82" t="s">
        <v>197</v>
      </c>
      <c r="Q404" s="82" t="s">
        <v>1173</v>
      </c>
      <c r="R404" s="82" t="s">
        <v>623</v>
      </c>
      <c r="S404" s="82" t="s">
        <v>1696</v>
      </c>
      <c r="T404" s="84" t="str">
        <f>HYPERLINK("http://www.youtube.com/channel/UC29ufL-6rZlQq74mCGo4qCA")</f>
        <v>http://www.youtube.com/channel/UC29ufL-6rZlQq74mCGo4qCA</v>
      </c>
      <c r="U404" s="82"/>
      <c r="V404" s="82" t="s">
        <v>1834</v>
      </c>
      <c r="W404" s="84" t="str">
        <f>HYPERLINK("https://www.youtube.com/watch?v=V4-3xDi_Ems")</f>
        <v>https://www.youtube.com/watch?v=V4-3xDi_Ems</v>
      </c>
      <c r="X404" s="82" t="s">
        <v>1857</v>
      </c>
      <c r="Y404" s="82">
        <v>0</v>
      </c>
      <c r="Z404" s="86">
        <v>45158.4858912037</v>
      </c>
      <c r="AA404" s="86">
        <v>45158.4858912037</v>
      </c>
      <c r="AB404" s="82"/>
      <c r="AC404" s="82"/>
      <c r="AD404" s="82"/>
      <c r="AE404" s="82">
        <v>1</v>
      </c>
      <c r="AF404" s="81">
        <v>1</v>
      </c>
      <c r="AG404" s="81">
        <v>1</v>
      </c>
      <c r="AH404" s="49">
        <v>0</v>
      </c>
      <c r="AI404" s="50">
        <v>0</v>
      </c>
      <c r="AJ404" s="49">
        <v>0</v>
      </c>
      <c r="AK404" s="50">
        <v>0</v>
      </c>
      <c r="AL404" s="49">
        <v>0</v>
      </c>
      <c r="AM404" s="50">
        <v>0</v>
      </c>
      <c r="AN404" s="49">
        <v>6</v>
      </c>
      <c r="AO404" s="110">
        <v>54.54545454545455</v>
      </c>
      <c r="AP404" s="49">
        <v>11</v>
      </c>
    </row>
    <row r="405" spans="1:42" ht="15">
      <c r="A405" s="66" t="s">
        <v>624</v>
      </c>
      <c r="B405" s="66" t="s">
        <v>636</v>
      </c>
      <c r="C405" s="67" t="s">
        <v>774</v>
      </c>
      <c r="D405" s="68">
        <v>3</v>
      </c>
      <c r="E405" s="69"/>
      <c r="F405" s="70">
        <v>40</v>
      </c>
      <c r="G405" s="67"/>
      <c r="H405" s="71"/>
      <c r="I405" s="72"/>
      <c r="J405" s="72"/>
      <c r="K405" s="35" t="s">
        <v>65</v>
      </c>
      <c r="L405" s="80">
        <v>405</v>
      </c>
      <c r="M405" s="80"/>
      <c r="N405" s="74"/>
      <c r="O405" s="82" t="s">
        <v>776</v>
      </c>
      <c r="P405" s="82" t="s">
        <v>197</v>
      </c>
      <c r="Q405" s="82" t="s">
        <v>1174</v>
      </c>
      <c r="R405" s="82" t="s">
        <v>624</v>
      </c>
      <c r="S405" s="82" t="s">
        <v>1697</v>
      </c>
      <c r="T405" s="84" t="str">
        <f>HYPERLINK("http://www.youtube.com/channel/UCc-G6FYQXHiTE0f7-ZkFV5Q")</f>
        <v>http://www.youtube.com/channel/UCc-G6FYQXHiTE0f7-ZkFV5Q</v>
      </c>
      <c r="U405" s="82"/>
      <c r="V405" s="82" t="s">
        <v>1834</v>
      </c>
      <c r="W405" s="84" t="str">
        <f>HYPERLINK("https://www.youtube.com/watch?v=V4-3xDi_Ems")</f>
        <v>https://www.youtube.com/watch?v=V4-3xDi_Ems</v>
      </c>
      <c r="X405" s="82" t="s">
        <v>1857</v>
      </c>
      <c r="Y405" s="82">
        <v>0</v>
      </c>
      <c r="Z405" s="86">
        <v>45158.66454861111</v>
      </c>
      <c r="AA405" s="86">
        <v>45158.66454861111</v>
      </c>
      <c r="AB405" s="82"/>
      <c r="AC405" s="82"/>
      <c r="AD405" s="82"/>
      <c r="AE405" s="82">
        <v>1</v>
      </c>
      <c r="AF405" s="81">
        <v>1</v>
      </c>
      <c r="AG405" s="81">
        <v>1</v>
      </c>
      <c r="AH405" s="49">
        <v>1</v>
      </c>
      <c r="AI405" s="50">
        <v>6.25</v>
      </c>
      <c r="AJ405" s="49">
        <v>1</v>
      </c>
      <c r="AK405" s="50">
        <v>6.25</v>
      </c>
      <c r="AL405" s="49">
        <v>0</v>
      </c>
      <c r="AM405" s="50">
        <v>0</v>
      </c>
      <c r="AN405" s="49">
        <v>5</v>
      </c>
      <c r="AO405" s="50">
        <v>31.25</v>
      </c>
      <c r="AP405" s="49">
        <v>16</v>
      </c>
    </row>
    <row r="406" spans="1:42" ht="15">
      <c r="A406" s="66" t="s">
        <v>625</v>
      </c>
      <c r="B406" s="66" t="s">
        <v>636</v>
      </c>
      <c r="C406" s="67" t="s">
        <v>774</v>
      </c>
      <c r="D406" s="68">
        <v>3</v>
      </c>
      <c r="E406" s="69"/>
      <c r="F406" s="70">
        <v>40</v>
      </c>
      <c r="G406" s="67"/>
      <c r="H406" s="71"/>
      <c r="I406" s="72"/>
      <c r="J406" s="72"/>
      <c r="K406" s="35" t="s">
        <v>65</v>
      </c>
      <c r="L406" s="80">
        <v>406</v>
      </c>
      <c r="M406" s="80"/>
      <c r="N406" s="74"/>
      <c r="O406" s="82" t="s">
        <v>776</v>
      </c>
      <c r="P406" s="82" t="s">
        <v>197</v>
      </c>
      <c r="Q406" s="82" t="s">
        <v>1175</v>
      </c>
      <c r="R406" s="82" t="s">
        <v>625</v>
      </c>
      <c r="S406" s="82" t="s">
        <v>1698</v>
      </c>
      <c r="T406" s="84" t="str">
        <f>HYPERLINK("http://www.youtube.com/channel/UCdh0Do1iYOiMKV-grkbjcjQ")</f>
        <v>http://www.youtube.com/channel/UCdh0Do1iYOiMKV-grkbjcjQ</v>
      </c>
      <c r="U406" s="82"/>
      <c r="V406" s="82" t="s">
        <v>1834</v>
      </c>
      <c r="W406" s="84" t="str">
        <f>HYPERLINK("https://www.youtube.com/watch?v=V4-3xDi_Ems")</f>
        <v>https://www.youtube.com/watch?v=V4-3xDi_Ems</v>
      </c>
      <c r="X406" s="82" t="s">
        <v>1857</v>
      </c>
      <c r="Y406" s="82">
        <v>0</v>
      </c>
      <c r="Z406" s="86">
        <v>45160.29943287037</v>
      </c>
      <c r="AA406" s="86">
        <v>45160.29943287037</v>
      </c>
      <c r="AB406" s="82"/>
      <c r="AC406" s="82"/>
      <c r="AD406" s="82"/>
      <c r="AE406" s="82">
        <v>1</v>
      </c>
      <c r="AF406" s="81">
        <v>1</v>
      </c>
      <c r="AG406" s="81">
        <v>1</v>
      </c>
      <c r="AH406" s="49">
        <v>0</v>
      </c>
      <c r="AI406" s="50">
        <v>0</v>
      </c>
      <c r="AJ406" s="49">
        <v>0</v>
      </c>
      <c r="AK406" s="50">
        <v>0</v>
      </c>
      <c r="AL406" s="49">
        <v>0</v>
      </c>
      <c r="AM406" s="50">
        <v>0</v>
      </c>
      <c r="AN406" s="49">
        <v>1</v>
      </c>
      <c r="AO406" s="50">
        <v>50</v>
      </c>
      <c r="AP406" s="49">
        <v>2</v>
      </c>
    </row>
    <row r="407" spans="1:42" ht="15">
      <c r="A407" s="66" t="s">
        <v>626</v>
      </c>
      <c r="B407" s="66" t="s">
        <v>636</v>
      </c>
      <c r="C407" s="67" t="s">
        <v>774</v>
      </c>
      <c r="D407" s="68">
        <v>3</v>
      </c>
      <c r="E407" s="69"/>
      <c r="F407" s="70">
        <v>40</v>
      </c>
      <c r="G407" s="67"/>
      <c r="H407" s="71"/>
      <c r="I407" s="72"/>
      <c r="J407" s="72"/>
      <c r="K407" s="35" t="s">
        <v>65</v>
      </c>
      <c r="L407" s="80">
        <v>407</v>
      </c>
      <c r="M407" s="80"/>
      <c r="N407" s="74"/>
      <c r="O407" s="82" t="s">
        <v>776</v>
      </c>
      <c r="P407" s="82" t="s">
        <v>197</v>
      </c>
      <c r="Q407" s="82" t="s">
        <v>1176</v>
      </c>
      <c r="R407" s="82" t="s">
        <v>626</v>
      </c>
      <c r="S407" s="82" t="s">
        <v>1699</v>
      </c>
      <c r="T407" s="84" t="str">
        <f>HYPERLINK("http://www.youtube.com/channel/UCq_cL6-MVd7lmoT8GcqkGew")</f>
        <v>http://www.youtube.com/channel/UCq_cL6-MVd7lmoT8GcqkGew</v>
      </c>
      <c r="U407" s="82"/>
      <c r="V407" s="82" t="s">
        <v>1834</v>
      </c>
      <c r="W407" s="84" t="str">
        <f>HYPERLINK("https://www.youtube.com/watch?v=V4-3xDi_Ems")</f>
        <v>https://www.youtube.com/watch?v=V4-3xDi_Ems</v>
      </c>
      <c r="X407" s="82" t="s">
        <v>1857</v>
      </c>
      <c r="Y407" s="82">
        <v>0</v>
      </c>
      <c r="Z407" s="86">
        <v>45163.4071875</v>
      </c>
      <c r="AA407" s="86">
        <v>45163.4071875</v>
      </c>
      <c r="AB407" s="82"/>
      <c r="AC407" s="82"/>
      <c r="AD407" s="82"/>
      <c r="AE407" s="82">
        <v>1</v>
      </c>
      <c r="AF407" s="81">
        <v>1</v>
      </c>
      <c r="AG407" s="81">
        <v>1</v>
      </c>
      <c r="AH407" s="49">
        <v>0</v>
      </c>
      <c r="AI407" s="50">
        <v>0</v>
      </c>
      <c r="AJ407" s="49">
        <v>0</v>
      </c>
      <c r="AK407" s="50">
        <v>0</v>
      </c>
      <c r="AL407" s="49">
        <v>0</v>
      </c>
      <c r="AM407" s="50">
        <v>0</v>
      </c>
      <c r="AN407" s="49">
        <v>8</v>
      </c>
      <c r="AO407" s="110">
        <v>34.78260869565217</v>
      </c>
      <c r="AP407" s="49">
        <v>23</v>
      </c>
    </row>
    <row r="408" spans="1:42" ht="15">
      <c r="A408" s="66" t="s">
        <v>627</v>
      </c>
      <c r="B408" s="66" t="s">
        <v>636</v>
      </c>
      <c r="C408" s="67" t="s">
        <v>774</v>
      </c>
      <c r="D408" s="68">
        <v>3</v>
      </c>
      <c r="E408" s="69"/>
      <c r="F408" s="70">
        <v>40</v>
      </c>
      <c r="G408" s="67"/>
      <c r="H408" s="71"/>
      <c r="I408" s="72"/>
      <c r="J408" s="72"/>
      <c r="K408" s="35" t="s">
        <v>65</v>
      </c>
      <c r="L408" s="80">
        <v>408</v>
      </c>
      <c r="M408" s="80"/>
      <c r="N408" s="74"/>
      <c r="O408" s="82" t="s">
        <v>776</v>
      </c>
      <c r="P408" s="82" t="s">
        <v>197</v>
      </c>
      <c r="Q408" s="82" t="s">
        <v>1177</v>
      </c>
      <c r="R408" s="82" t="s">
        <v>627</v>
      </c>
      <c r="S408" s="82" t="s">
        <v>1700</v>
      </c>
      <c r="T408" s="84" t="str">
        <f>HYPERLINK("http://www.youtube.com/channel/UCOl9T2briN9rXOhHtA-2UVQ")</f>
        <v>http://www.youtube.com/channel/UCOl9T2briN9rXOhHtA-2UVQ</v>
      </c>
      <c r="U408" s="82"/>
      <c r="V408" s="82" t="s">
        <v>1834</v>
      </c>
      <c r="W408" s="84" t="str">
        <f>HYPERLINK("https://www.youtube.com/watch?v=V4-3xDi_Ems")</f>
        <v>https://www.youtube.com/watch?v=V4-3xDi_Ems</v>
      </c>
      <c r="X408" s="82" t="s">
        <v>1857</v>
      </c>
      <c r="Y408" s="82">
        <v>0</v>
      </c>
      <c r="Z408" s="86">
        <v>45164.16236111111</v>
      </c>
      <c r="AA408" s="86">
        <v>45164.16236111111</v>
      </c>
      <c r="AB408" s="82"/>
      <c r="AC408" s="82"/>
      <c r="AD408" s="82"/>
      <c r="AE408" s="82">
        <v>1</v>
      </c>
      <c r="AF408" s="81">
        <v>1</v>
      </c>
      <c r="AG408" s="81">
        <v>1</v>
      </c>
      <c r="AH408" s="49">
        <v>1</v>
      </c>
      <c r="AI408" s="110">
        <v>5.2631578947368425</v>
      </c>
      <c r="AJ408" s="49">
        <v>0</v>
      </c>
      <c r="AK408" s="50">
        <v>0</v>
      </c>
      <c r="AL408" s="49">
        <v>0</v>
      </c>
      <c r="AM408" s="50">
        <v>0</v>
      </c>
      <c r="AN408" s="49">
        <v>6</v>
      </c>
      <c r="AO408" s="110">
        <v>31.57894736842105</v>
      </c>
      <c r="AP408" s="49">
        <v>19</v>
      </c>
    </row>
    <row r="409" spans="1:42" ht="15">
      <c r="A409" s="66" t="s">
        <v>628</v>
      </c>
      <c r="B409" s="66" t="s">
        <v>636</v>
      </c>
      <c r="C409" s="67" t="s">
        <v>774</v>
      </c>
      <c r="D409" s="68">
        <v>3</v>
      </c>
      <c r="E409" s="69"/>
      <c r="F409" s="70">
        <v>40</v>
      </c>
      <c r="G409" s="67"/>
      <c r="H409" s="71"/>
      <c r="I409" s="72"/>
      <c r="J409" s="72"/>
      <c r="K409" s="35" t="s">
        <v>65</v>
      </c>
      <c r="L409" s="80">
        <v>409</v>
      </c>
      <c r="M409" s="80"/>
      <c r="N409" s="74"/>
      <c r="O409" s="82" t="s">
        <v>776</v>
      </c>
      <c r="P409" s="82" t="s">
        <v>197</v>
      </c>
      <c r="Q409" s="82" t="s">
        <v>1178</v>
      </c>
      <c r="R409" s="82" t="s">
        <v>628</v>
      </c>
      <c r="S409" s="82" t="s">
        <v>1701</v>
      </c>
      <c r="T409" s="84" t="str">
        <f>HYPERLINK("http://www.youtube.com/channel/UCUWn49F_co-2qUwxo0pnCgA")</f>
        <v>http://www.youtube.com/channel/UCUWn49F_co-2qUwxo0pnCgA</v>
      </c>
      <c r="U409" s="82"/>
      <c r="V409" s="82" t="s">
        <v>1834</v>
      </c>
      <c r="W409" s="84" t="str">
        <f>HYPERLINK("https://www.youtube.com/watch?v=V4-3xDi_Ems")</f>
        <v>https://www.youtube.com/watch?v=V4-3xDi_Ems</v>
      </c>
      <c r="X409" s="82" t="s">
        <v>1857</v>
      </c>
      <c r="Y409" s="82">
        <v>0</v>
      </c>
      <c r="Z409" s="86">
        <v>45166.4119212963</v>
      </c>
      <c r="AA409" s="86">
        <v>45166.4119212963</v>
      </c>
      <c r="AB409" s="82"/>
      <c r="AC409" s="82"/>
      <c r="AD409" s="82"/>
      <c r="AE409" s="82">
        <v>1</v>
      </c>
      <c r="AF409" s="81">
        <v>1</v>
      </c>
      <c r="AG409" s="81">
        <v>1</v>
      </c>
      <c r="AH409" s="49">
        <v>0</v>
      </c>
      <c r="AI409" s="50">
        <v>0</v>
      </c>
      <c r="AJ409" s="49">
        <v>1</v>
      </c>
      <c r="AK409" s="110">
        <v>7.6923076923076925</v>
      </c>
      <c r="AL409" s="49">
        <v>0</v>
      </c>
      <c r="AM409" s="50">
        <v>0</v>
      </c>
      <c r="AN409" s="49">
        <v>5</v>
      </c>
      <c r="AO409" s="110">
        <v>38.46153846153846</v>
      </c>
      <c r="AP409" s="49">
        <v>13</v>
      </c>
    </row>
    <row r="410" spans="1:42" ht="15">
      <c r="A410" s="66" t="s">
        <v>629</v>
      </c>
      <c r="B410" s="66" t="s">
        <v>636</v>
      </c>
      <c r="C410" s="67" t="s">
        <v>774</v>
      </c>
      <c r="D410" s="68">
        <v>3</v>
      </c>
      <c r="E410" s="69"/>
      <c r="F410" s="70">
        <v>40</v>
      </c>
      <c r="G410" s="67"/>
      <c r="H410" s="71"/>
      <c r="I410" s="72"/>
      <c r="J410" s="72"/>
      <c r="K410" s="35" t="s">
        <v>65</v>
      </c>
      <c r="L410" s="80">
        <v>410</v>
      </c>
      <c r="M410" s="80"/>
      <c r="N410" s="74"/>
      <c r="O410" s="82" t="s">
        <v>776</v>
      </c>
      <c r="P410" s="82" t="s">
        <v>197</v>
      </c>
      <c r="Q410" s="82" t="s">
        <v>1179</v>
      </c>
      <c r="R410" s="82" t="s">
        <v>629</v>
      </c>
      <c r="S410" s="82" t="s">
        <v>1702</v>
      </c>
      <c r="T410" s="84" t="str">
        <f>HYPERLINK("http://www.youtube.com/channel/UCbItBcjAoT3zq55mgQk64zA")</f>
        <v>http://www.youtube.com/channel/UCbItBcjAoT3zq55mgQk64zA</v>
      </c>
      <c r="U410" s="82"/>
      <c r="V410" s="82" t="s">
        <v>1834</v>
      </c>
      <c r="W410" s="84" t="str">
        <f>HYPERLINK("https://www.youtube.com/watch?v=V4-3xDi_Ems")</f>
        <v>https://www.youtube.com/watch?v=V4-3xDi_Ems</v>
      </c>
      <c r="X410" s="82" t="s">
        <v>1857</v>
      </c>
      <c r="Y410" s="82">
        <v>0</v>
      </c>
      <c r="Z410" s="86">
        <v>45167.991215277776</v>
      </c>
      <c r="AA410" s="86">
        <v>45167.991215277776</v>
      </c>
      <c r="AB410" s="82"/>
      <c r="AC410" s="82"/>
      <c r="AD410" s="82"/>
      <c r="AE410" s="82">
        <v>1</v>
      </c>
      <c r="AF410" s="81">
        <v>1</v>
      </c>
      <c r="AG410" s="81">
        <v>1</v>
      </c>
      <c r="AH410" s="49">
        <v>0</v>
      </c>
      <c r="AI410" s="50">
        <v>0</v>
      </c>
      <c r="AJ410" s="49">
        <v>0</v>
      </c>
      <c r="AK410" s="50">
        <v>0</v>
      </c>
      <c r="AL410" s="49">
        <v>0</v>
      </c>
      <c r="AM410" s="50">
        <v>0</v>
      </c>
      <c r="AN410" s="49">
        <v>1</v>
      </c>
      <c r="AO410" s="110">
        <v>9.090909090909092</v>
      </c>
      <c r="AP410" s="49">
        <v>11</v>
      </c>
    </row>
    <row r="411" spans="1:42" ht="15">
      <c r="A411" s="66" t="s">
        <v>630</v>
      </c>
      <c r="B411" s="66" t="s">
        <v>636</v>
      </c>
      <c r="C411" s="67" t="s">
        <v>774</v>
      </c>
      <c r="D411" s="68">
        <v>3</v>
      </c>
      <c r="E411" s="69"/>
      <c r="F411" s="70">
        <v>40</v>
      </c>
      <c r="G411" s="67"/>
      <c r="H411" s="71"/>
      <c r="I411" s="72"/>
      <c r="J411" s="72"/>
      <c r="K411" s="35" t="s">
        <v>65</v>
      </c>
      <c r="L411" s="80">
        <v>411</v>
      </c>
      <c r="M411" s="80"/>
      <c r="N411" s="74"/>
      <c r="O411" s="82" t="s">
        <v>776</v>
      </c>
      <c r="P411" s="82" t="s">
        <v>197</v>
      </c>
      <c r="Q411" s="82" t="s">
        <v>1180</v>
      </c>
      <c r="R411" s="82" t="s">
        <v>630</v>
      </c>
      <c r="S411" s="82" t="s">
        <v>1703</v>
      </c>
      <c r="T411" s="84" t="str">
        <f>HYPERLINK("http://www.youtube.com/channel/UCQR2UEbaLONB77tVFAQd-BQ")</f>
        <v>http://www.youtube.com/channel/UCQR2UEbaLONB77tVFAQd-BQ</v>
      </c>
      <c r="U411" s="82"/>
      <c r="V411" s="82" t="s">
        <v>1834</v>
      </c>
      <c r="W411" s="84" t="str">
        <f>HYPERLINK("https://www.youtube.com/watch?v=V4-3xDi_Ems")</f>
        <v>https://www.youtube.com/watch?v=V4-3xDi_Ems</v>
      </c>
      <c r="X411" s="82" t="s">
        <v>1857</v>
      </c>
      <c r="Y411" s="82">
        <v>0</v>
      </c>
      <c r="Z411" s="86">
        <v>45172.64162037037</v>
      </c>
      <c r="AA411" s="86">
        <v>45172.64162037037</v>
      </c>
      <c r="AB411" s="82"/>
      <c r="AC411" s="82"/>
      <c r="AD411" s="82"/>
      <c r="AE411" s="82">
        <v>1</v>
      </c>
      <c r="AF411" s="81">
        <v>1</v>
      </c>
      <c r="AG411" s="81">
        <v>1</v>
      </c>
      <c r="AH411" s="49">
        <v>0</v>
      </c>
      <c r="AI411" s="50">
        <v>0</v>
      </c>
      <c r="AJ411" s="49">
        <v>1</v>
      </c>
      <c r="AK411" s="110">
        <v>14.285714285714286</v>
      </c>
      <c r="AL411" s="49">
        <v>0</v>
      </c>
      <c r="AM411" s="50">
        <v>0</v>
      </c>
      <c r="AN411" s="49">
        <v>0</v>
      </c>
      <c r="AO411" s="50">
        <v>0</v>
      </c>
      <c r="AP411" s="49">
        <v>7</v>
      </c>
    </row>
    <row r="412" spans="1:42" ht="15">
      <c r="A412" s="66" t="s">
        <v>631</v>
      </c>
      <c r="B412" s="66" t="s">
        <v>636</v>
      </c>
      <c r="C412" s="67" t="s">
        <v>774</v>
      </c>
      <c r="D412" s="68">
        <v>3</v>
      </c>
      <c r="E412" s="69"/>
      <c r="F412" s="70">
        <v>40</v>
      </c>
      <c r="G412" s="67"/>
      <c r="H412" s="71"/>
      <c r="I412" s="72"/>
      <c r="J412" s="72"/>
      <c r="K412" s="35" t="s">
        <v>65</v>
      </c>
      <c r="L412" s="80">
        <v>412</v>
      </c>
      <c r="M412" s="80"/>
      <c r="N412" s="74"/>
      <c r="O412" s="82" t="s">
        <v>776</v>
      </c>
      <c r="P412" s="82" t="s">
        <v>197</v>
      </c>
      <c r="Q412" s="82" t="s">
        <v>1181</v>
      </c>
      <c r="R412" s="82" t="s">
        <v>631</v>
      </c>
      <c r="S412" s="82" t="s">
        <v>1704</v>
      </c>
      <c r="T412" s="84" t="str">
        <f>HYPERLINK("http://www.youtube.com/channel/UC2gpqDFhqNpiziVdgQVlGpg")</f>
        <v>http://www.youtube.com/channel/UC2gpqDFhqNpiziVdgQVlGpg</v>
      </c>
      <c r="U412" s="82"/>
      <c r="V412" s="82" t="s">
        <v>1834</v>
      </c>
      <c r="W412" s="84" t="str">
        <f>HYPERLINK("https://www.youtube.com/watch?v=V4-3xDi_Ems")</f>
        <v>https://www.youtube.com/watch?v=V4-3xDi_Ems</v>
      </c>
      <c r="X412" s="82" t="s">
        <v>1857</v>
      </c>
      <c r="Y412" s="82">
        <v>0</v>
      </c>
      <c r="Z412" s="86">
        <v>45176.9746875</v>
      </c>
      <c r="AA412" s="86">
        <v>45176.9746875</v>
      </c>
      <c r="AB412" s="82"/>
      <c r="AC412" s="82"/>
      <c r="AD412" s="82"/>
      <c r="AE412" s="82">
        <v>1</v>
      </c>
      <c r="AF412" s="81">
        <v>1</v>
      </c>
      <c r="AG412" s="81">
        <v>1</v>
      </c>
      <c r="AH412" s="49">
        <v>0</v>
      </c>
      <c r="AI412" s="50">
        <v>0</v>
      </c>
      <c r="AJ412" s="49">
        <v>1</v>
      </c>
      <c r="AK412" s="110">
        <v>6.666666666666667</v>
      </c>
      <c r="AL412" s="49">
        <v>0</v>
      </c>
      <c r="AM412" s="50">
        <v>0</v>
      </c>
      <c r="AN412" s="49">
        <v>6</v>
      </c>
      <c r="AO412" s="50">
        <v>40</v>
      </c>
      <c r="AP412" s="49">
        <v>15</v>
      </c>
    </row>
    <row r="413" spans="1:42" ht="15">
      <c r="A413" s="66" t="s">
        <v>632</v>
      </c>
      <c r="B413" s="66" t="s">
        <v>636</v>
      </c>
      <c r="C413" s="67" t="s">
        <v>774</v>
      </c>
      <c r="D413" s="68">
        <v>3</v>
      </c>
      <c r="E413" s="69"/>
      <c r="F413" s="70">
        <v>40</v>
      </c>
      <c r="G413" s="67"/>
      <c r="H413" s="71"/>
      <c r="I413" s="72"/>
      <c r="J413" s="72"/>
      <c r="K413" s="35" t="s">
        <v>65</v>
      </c>
      <c r="L413" s="80">
        <v>413</v>
      </c>
      <c r="M413" s="80"/>
      <c r="N413" s="74"/>
      <c r="O413" s="82" t="s">
        <v>776</v>
      </c>
      <c r="P413" s="82" t="s">
        <v>197</v>
      </c>
      <c r="Q413" s="82" t="s">
        <v>1182</v>
      </c>
      <c r="R413" s="82" t="s">
        <v>632</v>
      </c>
      <c r="S413" s="82" t="s">
        <v>1705</v>
      </c>
      <c r="T413" s="84" t="str">
        <f>HYPERLINK("http://www.youtube.com/channel/UCSAiw_lOoornMF7bgO9qozg")</f>
        <v>http://www.youtube.com/channel/UCSAiw_lOoornMF7bgO9qozg</v>
      </c>
      <c r="U413" s="82"/>
      <c r="V413" s="82" t="s">
        <v>1834</v>
      </c>
      <c r="W413" s="84" t="str">
        <f>HYPERLINK("https://www.youtube.com/watch?v=V4-3xDi_Ems")</f>
        <v>https://www.youtube.com/watch?v=V4-3xDi_Ems</v>
      </c>
      <c r="X413" s="82" t="s">
        <v>1857</v>
      </c>
      <c r="Y413" s="82">
        <v>0</v>
      </c>
      <c r="Z413" s="86">
        <v>45177.098275462966</v>
      </c>
      <c r="AA413" s="86">
        <v>45177.098275462966</v>
      </c>
      <c r="AB413" s="82"/>
      <c r="AC413" s="82"/>
      <c r="AD413" s="82"/>
      <c r="AE413" s="82">
        <v>1</v>
      </c>
      <c r="AF413" s="81">
        <v>1</v>
      </c>
      <c r="AG413" s="81">
        <v>1</v>
      </c>
      <c r="AH413" s="49">
        <v>2</v>
      </c>
      <c r="AI413" s="110">
        <v>1.9801980198019802</v>
      </c>
      <c r="AJ413" s="49">
        <v>2</v>
      </c>
      <c r="AK413" s="110">
        <v>1.9801980198019802</v>
      </c>
      <c r="AL413" s="49">
        <v>0</v>
      </c>
      <c r="AM413" s="50">
        <v>0</v>
      </c>
      <c r="AN413" s="49">
        <v>25</v>
      </c>
      <c r="AO413" s="110">
        <v>24.752475247524753</v>
      </c>
      <c r="AP413" s="49">
        <v>101</v>
      </c>
    </row>
    <row r="414" spans="1:42" ht="15">
      <c r="A414" s="66" t="s">
        <v>633</v>
      </c>
      <c r="B414" s="66" t="s">
        <v>636</v>
      </c>
      <c r="C414" s="67" t="s">
        <v>774</v>
      </c>
      <c r="D414" s="68">
        <v>3</v>
      </c>
      <c r="E414" s="69"/>
      <c r="F414" s="70">
        <v>40</v>
      </c>
      <c r="G414" s="67"/>
      <c r="H414" s="71"/>
      <c r="I414" s="72"/>
      <c r="J414" s="72"/>
      <c r="K414" s="35" t="s">
        <v>65</v>
      </c>
      <c r="L414" s="80">
        <v>414</v>
      </c>
      <c r="M414" s="80"/>
      <c r="N414" s="74"/>
      <c r="O414" s="82" t="s">
        <v>776</v>
      </c>
      <c r="P414" s="82" t="s">
        <v>197</v>
      </c>
      <c r="Q414" s="82" t="s">
        <v>1183</v>
      </c>
      <c r="R414" s="82" t="s">
        <v>633</v>
      </c>
      <c r="S414" s="82" t="s">
        <v>1706</v>
      </c>
      <c r="T414" s="84" t="str">
        <f>HYPERLINK("http://www.youtube.com/channel/UCLEIkFjlJXhXU8hu-JUp0Kg")</f>
        <v>http://www.youtube.com/channel/UCLEIkFjlJXhXU8hu-JUp0Kg</v>
      </c>
      <c r="U414" s="82"/>
      <c r="V414" s="82" t="s">
        <v>1834</v>
      </c>
      <c r="W414" s="84" t="str">
        <f>HYPERLINK("https://www.youtube.com/watch?v=V4-3xDi_Ems")</f>
        <v>https://www.youtube.com/watch?v=V4-3xDi_Ems</v>
      </c>
      <c r="X414" s="82" t="s">
        <v>1857</v>
      </c>
      <c r="Y414" s="82">
        <v>0</v>
      </c>
      <c r="Z414" s="86">
        <v>45182.12905092593</v>
      </c>
      <c r="AA414" s="86">
        <v>45182.12905092593</v>
      </c>
      <c r="AB414" s="82"/>
      <c r="AC414" s="82"/>
      <c r="AD414" s="82"/>
      <c r="AE414" s="82">
        <v>1</v>
      </c>
      <c r="AF414" s="81">
        <v>1</v>
      </c>
      <c r="AG414" s="81">
        <v>1</v>
      </c>
      <c r="AH414" s="49">
        <v>0</v>
      </c>
      <c r="AI414" s="50">
        <v>0</v>
      </c>
      <c r="AJ414" s="49">
        <v>0</v>
      </c>
      <c r="AK414" s="50">
        <v>0</v>
      </c>
      <c r="AL414" s="49">
        <v>0</v>
      </c>
      <c r="AM414" s="50">
        <v>0</v>
      </c>
      <c r="AN414" s="49">
        <v>3</v>
      </c>
      <c r="AO414" s="50">
        <v>100</v>
      </c>
      <c r="AP414" s="49">
        <v>3</v>
      </c>
    </row>
    <row r="415" spans="1:42" ht="15">
      <c r="A415" s="66" t="s">
        <v>634</v>
      </c>
      <c r="B415" s="66" t="s">
        <v>636</v>
      </c>
      <c r="C415" s="67" t="s">
        <v>774</v>
      </c>
      <c r="D415" s="68">
        <v>3</v>
      </c>
      <c r="E415" s="69"/>
      <c r="F415" s="70">
        <v>40</v>
      </c>
      <c r="G415" s="67"/>
      <c r="H415" s="71"/>
      <c r="I415" s="72"/>
      <c r="J415" s="72"/>
      <c r="K415" s="35" t="s">
        <v>65</v>
      </c>
      <c r="L415" s="80">
        <v>415</v>
      </c>
      <c r="M415" s="80"/>
      <c r="N415" s="74"/>
      <c r="O415" s="82" t="s">
        <v>776</v>
      </c>
      <c r="P415" s="82" t="s">
        <v>197</v>
      </c>
      <c r="Q415" s="82" t="s">
        <v>1184</v>
      </c>
      <c r="R415" s="82" t="s">
        <v>634</v>
      </c>
      <c r="S415" s="82" t="s">
        <v>1707</v>
      </c>
      <c r="T415" s="84" t="str">
        <f>HYPERLINK("http://www.youtube.com/channel/UCq45QdoE7QppeSdeeds4DYQ")</f>
        <v>http://www.youtube.com/channel/UCq45QdoE7QppeSdeeds4DYQ</v>
      </c>
      <c r="U415" s="82"/>
      <c r="V415" s="82" t="s">
        <v>1834</v>
      </c>
      <c r="W415" s="84" t="str">
        <f>HYPERLINK("https://www.youtube.com/watch?v=V4-3xDi_Ems")</f>
        <v>https://www.youtube.com/watch?v=V4-3xDi_Ems</v>
      </c>
      <c r="X415" s="82" t="s">
        <v>1857</v>
      </c>
      <c r="Y415" s="82">
        <v>0</v>
      </c>
      <c r="Z415" s="86">
        <v>45183.82104166667</v>
      </c>
      <c r="AA415" s="86">
        <v>45183.82104166667</v>
      </c>
      <c r="AB415" s="82"/>
      <c r="AC415" s="82"/>
      <c r="AD415" s="82"/>
      <c r="AE415" s="82">
        <v>1</v>
      </c>
      <c r="AF415" s="81">
        <v>1</v>
      </c>
      <c r="AG415" s="81">
        <v>1</v>
      </c>
      <c r="AH415" s="49">
        <v>0</v>
      </c>
      <c r="AI415" s="50">
        <v>0</v>
      </c>
      <c r="AJ415" s="49">
        <v>0</v>
      </c>
      <c r="AK415" s="50">
        <v>0</v>
      </c>
      <c r="AL415" s="49">
        <v>0</v>
      </c>
      <c r="AM415" s="50">
        <v>0</v>
      </c>
      <c r="AN415" s="49">
        <v>3</v>
      </c>
      <c r="AO415" s="50">
        <v>50</v>
      </c>
      <c r="AP415" s="49">
        <v>6</v>
      </c>
    </row>
    <row r="416" spans="1:42" ht="15">
      <c r="A416" s="66" t="s">
        <v>635</v>
      </c>
      <c r="B416" s="66" t="s">
        <v>636</v>
      </c>
      <c r="C416" s="67" t="s">
        <v>774</v>
      </c>
      <c r="D416" s="68">
        <v>3</v>
      </c>
      <c r="E416" s="69"/>
      <c r="F416" s="70">
        <v>40</v>
      </c>
      <c r="G416" s="67"/>
      <c r="H416" s="71"/>
      <c r="I416" s="72"/>
      <c r="J416" s="72"/>
      <c r="K416" s="35" t="s">
        <v>65</v>
      </c>
      <c r="L416" s="80">
        <v>416</v>
      </c>
      <c r="M416" s="80"/>
      <c r="N416" s="74"/>
      <c r="O416" s="82" t="s">
        <v>776</v>
      </c>
      <c r="P416" s="82" t="s">
        <v>197</v>
      </c>
      <c r="Q416" s="82" t="s">
        <v>1185</v>
      </c>
      <c r="R416" s="82" t="s">
        <v>635</v>
      </c>
      <c r="S416" s="82" t="s">
        <v>1708</v>
      </c>
      <c r="T416" s="84" t="str">
        <f>HYPERLINK("http://www.youtube.com/channel/UCTrJv01LlzVcp2oUcOwkb4Q")</f>
        <v>http://www.youtube.com/channel/UCTrJv01LlzVcp2oUcOwkb4Q</v>
      </c>
      <c r="U416" s="82"/>
      <c r="V416" s="82" t="s">
        <v>1834</v>
      </c>
      <c r="W416" s="84" t="str">
        <f>HYPERLINK("https://www.youtube.com/watch?v=V4-3xDi_Ems")</f>
        <v>https://www.youtube.com/watch?v=V4-3xDi_Ems</v>
      </c>
      <c r="X416" s="82" t="s">
        <v>1857</v>
      </c>
      <c r="Y416" s="82">
        <v>0</v>
      </c>
      <c r="Z416" s="86">
        <v>45187.180925925924</v>
      </c>
      <c r="AA416" s="86">
        <v>45187.180925925924</v>
      </c>
      <c r="AB416" s="82"/>
      <c r="AC416" s="82"/>
      <c r="AD416" s="82"/>
      <c r="AE416" s="82">
        <v>1</v>
      </c>
      <c r="AF416" s="81">
        <v>1</v>
      </c>
      <c r="AG416" s="81">
        <v>1</v>
      </c>
      <c r="AH416" s="49">
        <v>1</v>
      </c>
      <c r="AI416" s="110">
        <v>3.7037037037037037</v>
      </c>
      <c r="AJ416" s="49">
        <v>1</v>
      </c>
      <c r="AK416" s="110">
        <v>3.7037037037037037</v>
      </c>
      <c r="AL416" s="49">
        <v>0</v>
      </c>
      <c r="AM416" s="50">
        <v>0</v>
      </c>
      <c r="AN416" s="49">
        <v>11</v>
      </c>
      <c r="AO416" s="110">
        <v>40.74074074074074</v>
      </c>
      <c r="AP416" s="49">
        <v>27</v>
      </c>
    </row>
    <row r="417" spans="1:42" ht="15">
      <c r="A417" s="66" t="s">
        <v>636</v>
      </c>
      <c r="B417" s="66" t="s">
        <v>636</v>
      </c>
      <c r="C417" s="67" t="s">
        <v>4788</v>
      </c>
      <c r="D417" s="68">
        <v>10</v>
      </c>
      <c r="E417" s="69"/>
      <c r="F417" s="70">
        <v>15</v>
      </c>
      <c r="G417" s="67"/>
      <c r="H417" s="71"/>
      <c r="I417" s="72"/>
      <c r="J417" s="72"/>
      <c r="K417" s="35" t="s">
        <v>65</v>
      </c>
      <c r="L417" s="80">
        <v>417</v>
      </c>
      <c r="M417" s="80"/>
      <c r="N417" s="74"/>
      <c r="O417" s="82" t="s">
        <v>777</v>
      </c>
      <c r="P417" s="82"/>
      <c r="Q417" s="82"/>
      <c r="R417" s="82"/>
      <c r="S417" s="82"/>
      <c r="T417" s="82"/>
      <c r="U417" s="82"/>
      <c r="V417" s="82" t="s">
        <v>1831</v>
      </c>
      <c r="W417" s="84" t="str">
        <f>HYPERLINK("https://www.youtube.com/watch?v=5QB8QAuirzA")</f>
        <v>https://www.youtube.com/watch?v=5QB8QAuirzA</v>
      </c>
      <c r="X417" s="82"/>
      <c r="Y417" s="82"/>
      <c r="Z417" s="86">
        <v>44945.21082175926</v>
      </c>
      <c r="AA417" s="82"/>
      <c r="AB417" s="82"/>
      <c r="AC417" s="82"/>
      <c r="AD417" s="82"/>
      <c r="AE417" s="82">
        <v>4</v>
      </c>
      <c r="AF417" s="81">
        <v>1</v>
      </c>
      <c r="AG417" s="81">
        <v>1</v>
      </c>
      <c r="AH417" s="49"/>
      <c r="AI417" s="50"/>
      <c r="AJ417" s="49"/>
      <c r="AK417" s="50"/>
      <c r="AL417" s="49"/>
      <c r="AM417" s="50"/>
      <c r="AN417" s="49"/>
      <c r="AO417" s="50"/>
      <c r="AP417" s="49"/>
    </row>
    <row r="418" spans="1:42" ht="15">
      <c r="A418" s="66" t="s">
        <v>637</v>
      </c>
      <c r="B418" s="66" t="s">
        <v>636</v>
      </c>
      <c r="C418" s="67" t="s">
        <v>774</v>
      </c>
      <c r="D418" s="68">
        <v>3</v>
      </c>
      <c r="E418" s="69"/>
      <c r="F418" s="70">
        <v>40</v>
      </c>
      <c r="G418" s="67"/>
      <c r="H418" s="71"/>
      <c r="I418" s="72"/>
      <c r="J418" s="72"/>
      <c r="K418" s="35" t="s">
        <v>65</v>
      </c>
      <c r="L418" s="80">
        <v>418</v>
      </c>
      <c r="M418" s="80"/>
      <c r="N418" s="74"/>
      <c r="O418" s="82" t="s">
        <v>776</v>
      </c>
      <c r="P418" s="82" t="s">
        <v>197</v>
      </c>
      <c r="Q418" s="82" t="s">
        <v>1186</v>
      </c>
      <c r="R418" s="82" t="s">
        <v>637</v>
      </c>
      <c r="S418" s="82" t="s">
        <v>1709</v>
      </c>
      <c r="T418" s="84" t="str">
        <f>HYPERLINK("http://www.youtube.com/channel/UCs4aCS-UjgJdhFfnqmLjigg")</f>
        <v>http://www.youtube.com/channel/UCs4aCS-UjgJdhFfnqmLjigg</v>
      </c>
      <c r="U418" s="82"/>
      <c r="V418" s="82" t="s">
        <v>1834</v>
      </c>
      <c r="W418" s="84" t="str">
        <f>HYPERLINK("https://www.youtube.com/watch?v=V4-3xDi_Ems")</f>
        <v>https://www.youtube.com/watch?v=V4-3xDi_Ems</v>
      </c>
      <c r="X418" s="82" t="s">
        <v>1857</v>
      </c>
      <c r="Y418" s="82">
        <v>0</v>
      </c>
      <c r="Z418" s="86">
        <v>45187.58148148148</v>
      </c>
      <c r="AA418" s="86">
        <v>45187.58148148148</v>
      </c>
      <c r="AB418" s="82"/>
      <c r="AC418" s="82"/>
      <c r="AD418" s="82"/>
      <c r="AE418" s="82">
        <v>1</v>
      </c>
      <c r="AF418" s="81">
        <v>1</v>
      </c>
      <c r="AG418" s="81">
        <v>1</v>
      </c>
      <c r="AH418" s="49">
        <v>0</v>
      </c>
      <c r="AI418" s="50">
        <v>0</v>
      </c>
      <c r="AJ418" s="49">
        <v>0</v>
      </c>
      <c r="AK418" s="50">
        <v>0</v>
      </c>
      <c r="AL418" s="49">
        <v>0</v>
      </c>
      <c r="AM418" s="50">
        <v>0</v>
      </c>
      <c r="AN418" s="49">
        <v>3</v>
      </c>
      <c r="AO418" s="110">
        <v>23.076923076923077</v>
      </c>
      <c r="AP418" s="49">
        <v>13</v>
      </c>
    </row>
    <row r="419" spans="1:42" ht="15">
      <c r="A419" s="66" t="s">
        <v>638</v>
      </c>
      <c r="B419" s="66" t="s">
        <v>640</v>
      </c>
      <c r="C419" s="67" t="s">
        <v>774</v>
      </c>
      <c r="D419" s="68">
        <v>3</v>
      </c>
      <c r="E419" s="69"/>
      <c r="F419" s="70">
        <v>40</v>
      </c>
      <c r="G419" s="67"/>
      <c r="H419" s="71"/>
      <c r="I419" s="72"/>
      <c r="J419" s="72"/>
      <c r="K419" s="35" t="s">
        <v>65</v>
      </c>
      <c r="L419" s="80">
        <v>419</v>
      </c>
      <c r="M419" s="80"/>
      <c r="N419" s="74"/>
      <c r="O419" s="82" t="s">
        <v>776</v>
      </c>
      <c r="P419" s="82" t="s">
        <v>197</v>
      </c>
      <c r="Q419" s="82" t="s">
        <v>1187</v>
      </c>
      <c r="R419" s="82" t="s">
        <v>638</v>
      </c>
      <c r="S419" s="82" t="s">
        <v>1710</v>
      </c>
      <c r="T419" s="84" t="str">
        <f>HYPERLINK("http://www.youtube.com/channel/UCq-kuTyqK2aMMhi4QYa2gYA")</f>
        <v>http://www.youtube.com/channel/UCq-kuTyqK2aMMhi4QYa2gYA</v>
      </c>
      <c r="U419" s="82"/>
      <c r="V419" s="82" t="s">
        <v>1835</v>
      </c>
      <c r="W419" s="84" t="str">
        <f>HYPERLINK("https://www.youtube.com/watch?v=3aUEvg57hAI")</f>
        <v>https://www.youtube.com/watch?v=3aUEvg57hAI</v>
      </c>
      <c r="X419" s="82" t="s">
        <v>1857</v>
      </c>
      <c r="Y419" s="82">
        <v>0</v>
      </c>
      <c r="Z419" s="86">
        <v>44935.61840277778</v>
      </c>
      <c r="AA419" s="86">
        <v>44935.61840277778</v>
      </c>
      <c r="AB419" s="82"/>
      <c r="AC419" s="82"/>
      <c r="AD419" s="82"/>
      <c r="AE419" s="82">
        <v>1</v>
      </c>
      <c r="AF419" s="81">
        <v>10</v>
      </c>
      <c r="AG419" s="81">
        <v>10</v>
      </c>
      <c r="AH419" s="49">
        <v>0</v>
      </c>
      <c r="AI419" s="50">
        <v>0</v>
      </c>
      <c r="AJ419" s="49">
        <v>0</v>
      </c>
      <c r="AK419" s="50">
        <v>0</v>
      </c>
      <c r="AL419" s="49">
        <v>0</v>
      </c>
      <c r="AM419" s="50">
        <v>0</v>
      </c>
      <c r="AN419" s="49">
        <v>3</v>
      </c>
      <c r="AO419" s="50">
        <v>75</v>
      </c>
      <c r="AP419" s="49">
        <v>4</v>
      </c>
    </row>
    <row r="420" spans="1:42" ht="15">
      <c r="A420" s="66" t="s">
        <v>639</v>
      </c>
      <c r="B420" s="66" t="s">
        <v>640</v>
      </c>
      <c r="C420" s="67" t="s">
        <v>774</v>
      </c>
      <c r="D420" s="68">
        <v>3</v>
      </c>
      <c r="E420" s="69"/>
      <c r="F420" s="70">
        <v>40</v>
      </c>
      <c r="G420" s="67"/>
      <c r="H420" s="71"/>
      <c r="I420" s="72"/>
      <c r="J420" s="72"/>
      <c r="K420" s="35" t="s">
        <v>65</v>
      </c>
      <c r="L420" s="80">
        <v>420</v>
      </c>
      <c r="M420" s="80"/>
      <c r="N420" s="74"/>
      <c r="O420" s="82" t="s">
        <v>776</v>
      </c>
      <c r="P420" s="82" t="s">
        <v>197</v>
      </c>
      <c r="Q420" s="82" t="s">
        <v>1188</v>
      </c>
      <c r="R420" s="82" t="s">
        <v>639</v>
      </c>
      <c r="S420" s="82" t="s">
        <v>1711</v>
      </c>
      <c r="T420" s="84" t="str">
        <f>HYPERLINK("http://www.youtube.com/channel/UCW73fJdVVUhT29oChWWXe3w")</f>
        <v>http://www.youtube.com/channel/UCW73fJdVVUhT29oChWWXe3w</v>
      </c>
      <c r="U420" s="82"/>
      <c r="V420" s="82" t="s">
        <v>1835</v>
      </c>
      <c r="W420" s="84" t="str">
        <f>HYPERLINK("https://www.youtube.com/watch?v=3aUEvg57hAI")</f>
        <v>https://www.youtube.com/watch?v=3aUEvg57hAI</v>
      </c>
      <c r="X420" s="82" t="s">
        <v>1857</v>
      </c>
      <c r="Y420" s="82">
        <v>0</v>
      </c>
      <c r="Z420" s="86">
        <v>44936.74078703704</v>
      </c>
      <c r="AA420" s="86">
        <v>44936.74078703704</v>
      </c>
      <c r="AB420" s="82"/>
      <c r="AC420" s="82"/>
      <c r="AD420" s="82"/>
      <c r="AE420" s="82">
        <v>1</v>
      </c>
      <c r="AF420" s="81">
        <v>10</v>
      </c>
      <c r="AG420" s="81">
        <v>10</v>
      </c>
      <c r="AH420" s="49">
        <v>3</v>
      </c>
      <c r="AI420" s="110">
        <v>13.636363636363637</v>
      </c>
      <c r="AJ420" s="49">
        <v>0</v>
      </c>
      <c r="AK420" s="50">
        <v>0</v>
      </c>
      <c r="AL420" s="49">
        <v>0</v>
      </c>
      <c r="AM420" s="50">
        <v>0</v>
      </c>
      <c r="AN420" s="49">
        <v>7</v>
      </c>
      <c r="AO420" s="110">
        <v>31.818181818181817</v>
      </c>
      <c r="AP420" s="49">
        <v>22</v>
      </c>
    </row>
    <row r="421" spans="1:42" ht="15">
      <c r="A421" s="66" t="s">
        <v>640</v>
      </c>
      <c r="B421" s="66" t="s">
        <v>640</v>
      </c>
      <c r="C421" s="67" t="s">
        <v>774</v>
      </c>
      <c r="D421" s="68">
        <v>3</v>
      </c>
      <c r="E421" s="69"/>
      <c r="F421" s="70">
        <v>40</v>
      </c>
      <c r="G421" s="67"/>
      <c r="H421" s="71"/>
      <c r="I421" s="72"/>
      <c r="J421" s="72"/>
      <c r="K421" s="35" t="s">
        <v>65</v>
      </c>
      <c r="L421" s="80">
        <v>421</v>
      </c>
      <c r="M421" s="80"/>
      <c r="N421" s="74"/>
      <c r="O421" s="82" t="s">
        <v>777</v>
      </c>
      <c r="P421" s="82"/>
      <c r="Q421" s="82"/>
      <c r="R421" s="82"/>
      <c r="S421" s="82"/>
      <c r="T421" s="82"/>
      <c r="U421" s="82"/>
      <c r="V421" s="82" t="s">
        <v>1835</v>
      </c>
      <c r="W421" s="84" t="str">
        <f>HYPERLINK("https://www.youtube.com/watch?v=3aUEvg57hAI")</f>
        <v>https://www.youtube.com/watch?v=3aUEvg57hAI</v>
      </c>
      <c r="X421" s="82"/>
      <c r="Y421" s="82"/>
      <c r="Z421" s="86">
        <v>44935.127384259256</v>
      </c>
      <c r="AA421" s="82"/>
      <c r="AB421" s="82"/>
      <c r="AC421" s="82"/>
      <c r="AD421" s="82"/>
      <c r="AE421" s="82">
        <v>1</v>
      </c>
      <c r="AF421" s="81">
        <v>10</v>
      </c>
      <c r="AG421" s="81">
        <v>10</v>
      </c>
      <c r="AH421" s="49"/>
      <c r="AI421" s="50"/>
      <c r="AJ421" s="49"/>
      <c r="AK421" s="50"/>
      <c r="AL421" s="49"/>
      <c r="AM421" s="50"/>
      <c r="AN421" s="49"/>
      <c r="AO421" s="50"/>
      <c r="AP421" s="49"/>
    </row>
    <row r="422" spans="1:42" ht="15">
      <c r="A422" s="66" t="s">
        <v>641</v>
      </c>
      <c r="B422" s="66" t="s">
        <v>640</v>
      </c>
      <c r="C422" s="67" t="s">
        <v>774</v>
      </c>
      <c r="D422" s="68">
        <v>3</v>
      </c>
      <c r="E422" s="69"/>
      <c r="F422" s="70">
        <v>40</v>
      </c>
      <c r="G422" s="67"/>
      <c r="H422" s="71"/>
      <c r="I422" s="72"/>
      <c r="J422" s="72"/>
      <c r="K422" s="35" t="s">
        <v>65</v>
      </c>
      <c r="L422" s="80">
        <v>422</v>
      </c>
      <c r="M422" s="80"/>
      <c r="N422" s="74"/>
      <c r="O422" s="82" t="s">
        <v>776</v>
      </c>
      <c r="P422" s="82" t="s">
        <v>197</v>
      </c>
      <c r="Q422" s="82" t="s">
        <v>1189</v>
      </c>
      <c r="R422" s="82" t="s">
        <v>641</v>
      </c>
      <c r="S422" s="82" t="s">
        <v>1712</v>
      </c>
      <c r="T422" s="84" t="str">
        <f>HYPERLINK("http://www.youtube.com/channel/UClMjhzaO86ynNplMrRfoB4Q")</f>
        <v>http://www.youtube.com/channel/UClMjhzaO86ynNplMrRfoB4Q</v>
      </c>
      <c r="U422" s="82"/>
      <c r="V422" s="82" t="s">
        <v>1835</v>
      </c>
      <c r="W422" s="84" t="str">
        <f>HYPERLINK("https://www.youtube.com/watch?v=3aUEvg57hAI")</f>
        <v>https://www.youtube.com/watch?v=3aUEvg57hAI</v>
      </c>
      <c r="X422" s="82" t="s">
        <v>1857</v>
      </c>
      <c r="Y422" s="82">
        <v>0</v>
      </c>
      <c r="Z422" s="86">
        <v>44939.78768518518</v>
      </c>
      <c r="AA422" s="86">
        <v>44939.78768518518</v>
      </c>
      <c r="AB422" s="82"/>
      <c r="AC422" s="82"/>
      <c r="AD422" s="82"/>
      <c r="AE422" s="82">
        <v>1</v>
      </c>
      <c r="AF422" s="81">
        <v>10</v>
      </c>
      <c r="AG422" s="81">
        <v>10</v>
      </c>
      <c r="AH422" s="49">
        <v>1</v>
      </c>
      <c r="AI422" s="50">
        <v>50</v>
      </c>
      <c r="AJ422" s="49">
        <v>0</v>
      </c>
      <c r="AK422" s="50">
        <v>0</v>
      </c>
      <c r="AL422" s="49">
        <v>0</v>
      </c>
      <c r="AM422" s="50">
        <v>0</v>
      </c>
      <c r="AN422" s="49">
        <v>0</v>
      </c>
      <c r="AO422" s="50">
        <v>0</v>
      </c>
      <c r="AP422" s="49">
        <v>2</v>
      </c>
    </row>
    <row r="423" spans="1:42" ht="15">
      <c r="A423" s="66" t="s">
        <v>642</v>
      </c>
      <c r="B423" s="66" t="s">
        <v>668</v>
      </c>
      <c r="C423" s="67" t="s">
        <v>774</v>
      </c>
      <c r="D423" s="68">
        <v>3</v>
      </c>
      <c r="E423" s="69"/>
      <c r="F423" s="70">
        <v>40</v>
      </c>
      <c r="G423" s="67"/>
      <c r="H423" s="71"/>
      <c r="I423" s="72"/>
      <c r="J423" s="72"/>
      <c r="K423" s="35" t="s">
        <v>65</v>
      </c>
      <c r="L423" s="80">
        <v>423</v>
      </c>
      <c r="M423" s="80"/>
      <c r="N423" s="74"/>
      <c r="O423" s="82" t="s">
        <v>776</v>
      </c>
      <c r="P423" s="82" t="s">
        <v>197</v>
      </c>
      <c r="Q423" s="82" t="s">
        <v>1190</v>
      </c>
      <c r="R423" s="82" t="s">
        <v>642</v>
      </c>
      <c r="S423" s="82" t="s">
        <v>1713</v>
      </c>
      <c r="T423" s="84" t="str">
        <f>HYPERLINK("http://www.youtube.com/channel/UCrUXf4iY0j_IQGpFPsTQa1Q")</f>
        <v>http://www.youtube.com/channel/UCrUXf4iY0j_IQGpFPsTQa1Q</v>
      </c>
      <c r="U423" s="82"/>
      <c r="V423" s="82" t="s">
        <v>1836</v>
      </c>
      <c r="W423" s="84" t="str">
        <f>HYPERLINK("https://www.youtube.com/watch?v=HeygX8UYhCA")</f>
        <v>https://www.youtube.com/watch?v=HeygX8UYhCA</v>
      </c>
      <c r="X423" s="82" t="s">
        <v>1857</v>
      </c>
      <c r="Y423" s="82">
        <v>2</v>
      </c>
      <c r="Z423" s="86">
        <v>45178.18150462963</v>
      </c>
      <c r="AA423" s="86">
        <v>45178.184212962966</v>
      </c>
      <c r="AB423" s="82"/>
      <c r="AC423" s="82"/>
      <c r="AD423" s="82"/>
      <c r="AE423" s="82">
        <v>1</v>
      </c>
      <c r="AF423" s="81">
        <v>5</v>
      </c>
      <c r="AG423" s="81">
        <v>5</v>
      </c>
      <c r="AH423" s="49">
        <v>1</v>
      </c>
      <c r="AI423" s="110">
        <v>7.6923076923076925</v>
      </c>
      <c r="AJ423" s="49">
        <v>0</v>
      </c>
      <c r="AK423" s="50">
        <v>0</v>
      </c>
      <c r="AL423" s="49">
        <v>0</v>
      </c>
      <c r="AM423" s="50">
        <v>0</v>
      </c>
      <c r="AN423" s="49">
        <v>5</v>
      </c>
      <c r="AO423" s="110">
        <v>38.46153846153846</v>
      </c>
      <c r="AP423" s="49">
        <v>13</v>
      </c>
    </row>
    <row r="424" spans="1:42" ht="15">
      <c r="A424" s="66" t="s">
        <v>643</v>
      </c>
      <c r="B424" s="66" t="s">
        <v>668</v>
      </c>
      <c r="C424" s="67" t="s">
        <v>774</v>
      </c>
      <c r="D424" s="68">
        <v>3</v>
      </c>
      <c r="E424" s="69"/>
      <c r="F424" s="70">
        <v>40</v>
      </c>
      <c r="G424" s="67"/>
      <c r="H424" s="71"/>
      <c r="I424" s="72"/>
      <c r="J424" s="72"/>
      <c r="K424" s="35" t="s">
        <v>65</v>
      </c>
      <c r="L424" s="80">
        <v>424</v>
      </c>
      <c r="M424" s="80"/>
      <c r="N424" s="74"/>
      <c r="O424" s="82" t="s">
        <v>776</v>
      </c>
      <c r="P424" s="82" t="s">
        <v>197</v>
      </c>
      <c r="Q424" s="82" t="s">
        <v>1191</v>
      </c>
      <c r="R424" s="82" t="s">
        <v>643</v>
      </c>
      <c r="S424" s="82" t="s">
        <v>1714</v>
      </c>
      <c r="T424" s="84" t="str">
        <f>HYPERLINK("http://www.youtube.com/channel/UCgM23NLmNQQP4rdr0z9OV6w")</f>
        <v>http://www.youtube.com/channel/UCgM23NLmNQQP4rdr0z9OV6w</v>
      </c>
      <c r="U424" s="82"/>
      <c r="V424" s="82" t="s">
        <v>1836</v>
      </c>
      <c r="W424" s="84" t="str">
        <f>HYPERLINK("https://www.youtube.com/watch?v=HeygX8UYhCA")</f>
        <v>https://www.youtube.com/watch?v=HeygX8UYhCA</v>
      </c>
      <c r="X424" s="82" t="s">
        <v>1857</v>
      </c>
      <c r="Y424" s="82">
        <v>1</v>
      </c>
      <c r="Z424" s="86">
        <v>45178.19395833334</v>
      </c>
      <c r="AA424" s="86">
        <v>45178.19395833334</v>
      </c>
      <c r="AB424" s="82"/>
      <c r="AC424" s="82"/>
      <c r="AD424" s="82"/>
      <c r="AE424" s="82">
        <v>1</v>
      </c>
      <c r="AF424" s="81">
        <v>5</v>
      </c>
      <c r="AG424" s="81">
        <v>5</v>
      </c>
      <c r="AH424" s="49">
        <v>1</v>
      </c>
      <c r="AI424" s="110">
        <v>1.3157894736842106</v>
      </c>
      <c r="AJ424" s="49">
        <v>0</v>
      </c>
      <c r="AK424" s="50">
        <v>0</v>
      </c>
      <c r="AL424" s="49">
        <v>0</v>
      </c>
      <c r="AM424" s="50">
        <v>0</v>
      </c>
      <c r="AN424" s="49">
        <v>23</v>
      </c>
      <c r="AO424" s="110">
        <v>30.263157894736842</v>
      </c>
      <c r="AP424" s="49">
        <v>76</v>
      </c>
    </row>
    <row r="425" spans="1:42" ht="15">
      <c r="A425" s="66" t="s">
        <v>644</v>
      </c>
      <c r="B425" s="66" t="s">
        <v>668</v>
      </c>
      <c r="C425" s="67" t="s">
        <v>774</v>
      </c>
      <c r="D425" s="68">
        <v>3</v>
      </c>
      <c r="E425" s="69"/>
      <c r="F425" s="70">
        <v>40</v>
      </c>
      <c r="G425" s="67"/>
      <c r="H425" s="71"/>
      <c r="I425" s="72"/>
      <c r="J425" s="72"/>
      <c r="K425" s="35" t="s">
        <v>65</v>
      </c>
      <c r="L425" s="80">
        <v>425</v>
      </c>
      <c r="M425" s="80"/>
      <c r="N425" s="74"/>
      <c r="O425" s="82" t="s">
        <v>776</v>
      </c>
      <c r="P425" s="82" t="s">
        <v>197</v>
      </c>
      <c r="Q425" s="82" t="s">
        <v>1192</v>
      </c>
      <c r="R425" s="82" t="s">
        <v>644</v>
      </c>
      <c r="S425" s="82" t="s">
        <v>1715</v>
      </c>
      <c r="T425" s="84" t="str">
        <f>HYPERLINK("http://www.youtube.com/channel/UCqXLQYDIEN1NdwqGDImJ5jA")</f>
        <v>http://www.youtube.com/channel/UCqXLQYDIEN1NdwqGDImJ5jA</v>
      </c>
      <c r="U425" s="82"/>
      <c r="V425" s="82" t="s">
        <v>1836</v>
      </c>
      <c r="W425" s="84" t="str">
        <f>HYPERLINK("https://www.youtube.com/watch?v=HeygX8UYhCA")</f>
        <v>https://www.youtube.com/watch?v=HeygX8UYhCA</v>
      </c>
      <c r="X425" s="82" t="s">
        <v>1857</v>
      </c>
      <c r="Y425" s="82">
        <v>8</v>
      </c>
      <c r="Z425" s="86">
        <v>45178.23746527778</v>
      </c>
      <c r="AA425" s="86">
        <v>45178.23746527778</v>
      </c>
      <c r="AB425" s="82"/>
      <c r="AC425" s="82"/>
      <c r="AD425" s="82"/>
      <c r="AE425" s="82">
        <v>1</v>
      </c>
      <c r="AF425" s="81">
        <v>5</v>
      </c>
      <c r="AG425" s="81">
        <v>5</v>
      </c>
      <c r="AH425" s="49">
        <v>0</v>
      </c>
      <c r="AI425" s="50">
        <v>0</v>
      </c>
      <c r="AJ425" s="49">
        <v>0</v>
      </c>
      <c r="AK425" s="50">
        <v>0</v>
      </c>
      <c r="AL425" s="49">
        <v>0</v>
      </c>
      <c r="AM425" s="50">
        <v>0</v>
      </c>
      <c r="AN425" s="49">
        <v>5</v>
      </c>
      <c r="AO425" s="50">
        <v>50</v>
      </c>
      <c r="AP425" s="49">
        <v>10</v>
      </c>
    </row>
    <row r="426" spans="1:42" ht="15">
      <c r="A426" s="66" t="s">
        <v>645</v>
      </c>
      <c r="B426" s="66" t="s">
        <v>668</v>
      </c>
      <c r="C426" s="67" t="s">
        <v>774</v>
      </c>
      <c r="D426" s="68">
        <v>3</v>
      </c>
      <c r="E426" s="69"/>
      <c r="F426" s="70">
        <v>40</v>
      </c>
      <c r="G426" s="67"/>
      <c r="H426" s="71"/>
      <c r="I426" s="72"/>
      <c r="J426" s="72"/>
      <c r="K426" s="35" t="s">
        <v>65</v>
      </c>
      <c r="L426" s="80">
        <v>426</v>
      </c>
      <c r="M426" s="80"/>
      <c r="N426" s="74"/>
      <c r="O426" s="82" t="s">
        <v>776</v>
      </c>
      <c r="P426" s="82" t="s">
        <v>197</v>
      </c>
      <c r="Q426" s="82" t="s">
        <v>1193</v>
      </c>
      <c r="R426" s="82" t="s">
        <v>645</v>
      </c>
      <c r="S426" s="82" t="s">
        <v>1716</v>
      </c>
      <c r="T426" s="84" t="str">
        <f>HYPERLINK("http://www.youtube.com/channel/UCwbTK9LMWW5Hu683te9YcRQ")</f>
        <v>http://www.youtube.com/channel/UCwbTK9LMWW5Hu683te9YcRQ</v>
      </c>
      <c r="U426" s="82"/>
      <c r="V426" s="82" t="s">
        <v>1836</v>
      </c>
      <c r="W426" s="84" t="str">
        <f>HYPERLINK("https://www.youtube.com/watch?v=HeygX8UYhCA")</f>
        <v>https://www.youtube.com/watch?v=HeygX8UYhCA</v>
      </c>
      <c r="X426" s="82" t="s">
        <v>1857</v>
      </c>
      <c r="Y426" s="82">
        <v>0</v>
      </c>
      <c r="Z426" s="86">
        <v>45178.25258101852</v>
      </c>
      <c r="AA426" s="86">
        <v>45178.25258101852</v>
      </c>
      <c r="AB426" s="82"/>
      <c r="AC426" s="82"/>
      <c r="AD426" s="82"/>
      <c r="AE426" s="82">
        <v>1</v>
      </c>
      <c r="AF426" s="81">
        <v>5</v>
      </c>
      <c r="AG426" s="81">
        <v>5</v>
      </c>
      <c r="AH426" s="49">
        <v>0</v>
      </c>
      <c r="AI426" s="50">
        <v>0</v>
      </c>
      <c r="AJ426" s="49">
        <v>2</v>
      </c>
      <c r="AK426" s="50">
        <v>25</v>
      </c>
      <c r="AL426" s="49">
        <v>0</v>
      </c>
      <c r="AM426" s="50">
        <v>0</v>
      </c>
      <c r="AN426" s="49">
        <v>1</v>
      </c>
      <c r="AO426" s="50">
        <v>12.5</v>
      </c>
      <c r="AP426" s="49">
        <v>8</v>
      </c>
    </row>
    <row r="427" spans="1:42" ht="15">
      <c r="A427" s="66" t="s">
        <v>646</v>
      </c>
      <c r="B427" s="66" t="s">
        <v>668</v>
      </c>
      <c r="C427" s="67" t="s">
        <v>774</v>
      </c>
      <c r="D427" s="68">
        <v>3</v>
      </c>
      <c r="E427" s="69"/>
      <c r="F427" s="70">
        <v>40</v>
      </c>
      <c r="G427" s="67"/>
      <c r="H427" s="71"/>
      <c r="I427" s="72"/>
      <c r="J427" s="72"/>
      <c r="K427" s="35" t="s">
        <v>65</v>
      </c>
      <c r="L427" s="80">
        <v>427</v>
      </c>
      <c r="M427" s="80"/>
      <c r="N427" s="74"/>
      <c r="O427" s="82" t="s">
        <v>776</v>
      </c>
      <c r="P427" s="82" t="s">
        <v>197</v>
      </c>
      <c r="Q427" s="82" t="s">
        <v>1194</v>
      </c>
      <c r="R427" s="82" t="s">
        <v>646</v>
      </c>
      <c r="S427" s="82" t="s">
        <v>1717</v>
      </c>
      <c r="T427" s="84" t="str">
        <f>HYPERLINK("http://www.youtube.com/channel/UCE8wRMsUR3Q2lj3izQ-yN6A")</f>
        <v>http://www.youtube.com/channel/UCE8wRMsUR3Q2lj3izQ-yN6A</v>
      </c>
      <c r="U427" s="82"/>
      <c r="V427" s="82" t="s">
        <v>1836</v>
      </c>
      <c r="W427" s="84" t="str">
        <f>HYPERLINK("https://www.youtube.com/watch?v=HeygX8UYhCA")</f>
        <v>https://www.youtube.com/watch?v=HeygX8UYhCA</v>
      </c>
      <c r="X427" s="82" t="s">
        <v>1857</v>
      </c>
      <c r="Y427" s="82">
        <v>11</v>
      </c>
      <c r="Z427" s="86">
        <v>45178.267476851855</v>
      </c>
      <c r="AA427" s="86">
        <v>45178.267476851855</v>
      </c>
      <c r="AB427" s="82"/>
      <c r="AC427" s="82"/>
      <c r="AD427" s="82"/>
      <c r="AE427" s="82">
        <v>1</v>
      </c>
      <c r="AF427" s="81">
        <v>5</v>
      </c>
      <c r="AG427" s="81">
        <v>5</v>
      </c>
      <c r="AH427" s="49">
        <v>4</v>
      </c>
      <c r="AI427" s="110">
        <v>7.407407407407407</v>
      </c>
      <c r="AJ427" s="49">
        <v>0</v>
      </c>
      <c r="AK427" s="50">
        <v>0</v>
      </c>
      <c r="AL427" s="49">
        <v>0</v>
      </c>
      <c r="AM427" s="50">
        <v>0</v>
      </c>
      <c r="AN427" s="49">
        <v>20</v>
      </c>
      <c r="AO427" s="110">
        <v>37.03703703703704</v>
      </c>
      <c r="AP427" s="49">
        <v>54</v>
      </c>
    </row>
    <row r="428" spans="1:42" ht="15">
      <c r="A428" s="66" t="s">
        <v>647</v>
      </c>
      <c r="B428" s="66" t="s">
        <v>668</v>
      </c>
      <c r="C428" s="67" t="s">
        <v>774</v>
      </c>
      <c r="D428" s="68">
        <v>3</v>
      </c>
      <c r="E428" s="69"/>
      <c r="F428" s="70">
        <v>40</v>
      </c>
      <c r="G428" s="67"/>
      <c r="H428" s="71"/>
      <c r="I428" s="72"/>
      <c r="J428" s="72"/>
      <c r="K428" s="35" t="s">
        <v>65</v>
      </c>
      <c r="L428" s="80">
        <v>428</v>
      </c>
      <c r="M428" s="80"/>
      <c r="N428" s="74"/>
      <c r="O428" s="82" t="s">
        <v>776</v>
      </c>
      <c r="P428" s="82" t="s">
        <v>197</v>
      </c>
      <c r="Q428" s="82" t="s">
        <v>1195</v>
      </c>
      <c r="R428" s="82" t="s">
        <v>647</v>
      </c>
      <c r="S428" s="82" t="s">
        <v>1718</v>
      </c>
      <c r="T428" s="84" t="str">
        <f>HYPERLINK("http://www.youtube.com/channel/UCAl9DhRv3T6VbQFhMy4ZfjA")</f>
        <v>http://www.youtube.com/channel/UCAl9DhRv3T6VbQFhMy4ZfjA</v>
      </c>
      <c r="U428" s="82"/>
      <c r="V428" s="82" t="s">
        <v>1836</v>
      </c>
      <c r="W428" s="84" t="str">
        <f>HYPERLINK("https://www.youtube.com/watch?v=HeygX8UYhCA")</f>
        <v>https://www.youtube.com/watch?v=HeygX8UYhCA</v>
      </c>
      <c r="X428" s="82" t="s">
        <v>1857</v>
      </c>
      <c r="Y428" s="82">
        <v>3</v>
      </c>
      <c r="Z428" s="86">
        <v>45178.470555555556</v>
      </c>
      <c r="AA428" s="86">
        <v>45178.470555555556</v>
      </c>
      <c r="AB428" s="82"/>
      <c r="AC428" s="82"/>
      <c r="AD428" s="82"/>
      <c r="AE428" s="82">
        <v>1</v>
      </c>
      <c r="AF428" s="81">
        <v>5</v>
      </c>
      <c r="AG428" s="81">
        <v>5</v>
      </c>
      <c r="AH428" s="49">
        <v>0</v>
      </c>
      <c r="AI428" s="50">
        <v>0</v>
      </c>
      <c r="AJ428" s="49">
        <v>1</v>
      </c>
      <c r="AK428" s="110">
        <v>3.7037037037037037</v>
      </c>
      <c r="AL428" s="49">
        <v>0</v>
      </c>
      <c r="AM428" s="50">
        <v>0</v>
      </c>
      <c r="AN428" s="49">
        <v>8</v>
      </c>
      <c r="AO428" s="110">
        <v>29.62962962962963</v>
      </c>
      <c r="AP428" s="49">
        <v>27</v>
      </c>
    </row>
    <row r="429" spans="1:42" ht="15">
      <c r="A429" s="66" t="s">
        <v>648</v>
      </c>
      <c r="B429" s="66" t="s">
        <v>668</v>
      </c>
      <c r="C429" s="67" t="s">
        <v>774</v>
      </c>
      <c r="D429" s="68">
        <v>3</v>
      </c>
      <c r="E429" s="69"/>
      <c r="F429" s="70">
        <v>40</v>
      </c>
      <c r="G429" s="67"/>
      <c r="H429" s="71"/>
      <c r="I429" s="72"/>
      <c r="J429" s="72"/>
      <c r="K429" s="35" t="s">
        <v>65</v>
      </c>
      <c r="L429" s="80">
        <v>429</v>
      </c>
      <c r="M429" s="80"/>
      <c r="N429" s="74"/>
      <c r="O429" s="82" t="s">
        <v>776</v>
      </c>
      <c r="P429" s="82" t="s">
        <v>197</v>
      </c>
      <c r="Q429" s="82" t="s">
        <v>1196</v>
      </c>
      <c r="R429" s="82" t="s">
        <v>648</v>
      </c>
      <c r="S429" s="82" t="s">
        <v>1719</v>
      </c>
      <c r="T429" s="84" t="str">
        <f>HYPERLINK("http://www.youtube.com/channel/UCqaNnkbltkl2EZ2q-f90l_w")</f>
        <v>http://www.youtube.com/channel/UCqaNnkbltkl2EZ2q-f90l_w</v>
      </c>
      <c r="U429" s="82"/>
      <c r="V429" s="82" t="s">
        <v>1836</v>
      </c>
      <c r="W429" s="84" t="str">
        <f>HYPERLINK("https://www.youtube.com/watch?v=HeygX8UYhCA")</f>
        <v>https://www.youtube.com/watch?v=HeygX8UYhCA</v>
      </c>
      <c r="X429" s="82" t="s">
        <v>1857</v>
      </c>
      <c r="Y429" s="82">
        <v>3</v>
      </c>
      <c r="Z429" s="86">
        <v>45178.4753125</v>
      </c>
      <c r="AA429" s="86">
        <v>45178.4753125</v>
      </c>
      <c r="AB429" s="82"/>
      <c r="AC429" s="82"/>
      <c r="AD429" s="82"/>
      <c r="AE429" s="82">
        <v>1</v>
      </c>
      <c r="AF429" s="81">
        <v>5</v>
      </c>
      <c r="AG429" s="81">
        <v>5</v>
      </c>
      <c r="AH429" s="49">
        <v>0</v>
      </c>
      <c r="AI429" s="50">
        <v>0</v>
      </c>
      <c r="AJ429" s="49">
        <v>1</v>
      </c>
      <c r="AK429" s="50">
        <v>12.5</v>
      </c>
      <c r="AL429" s="49">
        <v>0</v>
      </c>
      <c r="AM429" s="50">
        <v>0</v>
      </c>
      <c r="AN429" s="49">
        <v>4</v>
      </c>
      <c r="AO429" s="50">
        <v>50</v>
      </c>
      <c r="AP429" s="49">
        <v>8</v>
      </c>
    </row>
    <row r="430" spans="1:42" ht="15">
      <c r="A430" s="66" t="s">
        <v>649</v>
      </c>
      <c r="B430" s="66" t="s">
        <v>668</v>
      </c>
      <c r="C430" s="67" t="s">
        <v>774</v>
      </c>
      <c r="D430" s="68">
        <v>3</v>
      </c>
      <c r="E430" s="69"/>
      <c r="F430" s="70">
        <v>40</v>
      </c>
      <c r="G430" s="67"/>
      <c r="H430" s="71"/>
      <c r="I430" s="72"/>
      <c r="J430" s="72"/>
      <c r="K430" s="35" t="s">
        <v>65</v>
      </c>
      <c r="L430" s="80">
        <v>430</v>
      </c>
      <c r="M430" s="80"/>
      <c r="N430" s="74"/>
      <c r="O430" s="82" t="s">
        <v>776</v>
      </c>
      <c r="P430" s="82" t="s">
        <v>197</v>
      </c>
      <c r="Q430" s="82" t="s">
        <v>1197</v>
      </c>
      <c r="R430" s="82" t="s">
        <v>649</v>
      </c>
      <c r="S430" s="82" t="s">
        <v>1720</v>
      </c>
      <c r="T430" s="84" t="str">
        <f>HYPERLINK("http://www.youtube.com/channel/UCe4kPsTw5pTJC4Y1NmnxQRg")</f>
        <v>http://www.youtube.com/channel/UCe4kPsTw5pTJC4Y1NmnxQRg</v>
      </c>
      <c r="U430" s="82"/>
      <c r="V430" s="82" t="s">
        <v>1836</v>
      </c>
      <c r="W430" s="84" t="str">
        <f>HYPERLINK("https://www.youtube.com/watch?v=HeygX8UYhCA")</f>
        <v>https://www.youtube.com/watch?v=HeygX8UYhCA</v>
      </c>
      <c r="X430" s="82" t="s">
        <v>1857</v>
      </c>
      <c r="Y430" s="82">
        <v>6</v>
      </c>
      <c r="Z430" s="86">
        <v>45178.584131944444</v>
      </c>
      <c r="AA430" s="86">
        <v>45178.584131944444</v>
      </c>
      <c r="AB430" s="82"/>
      <c r="AC430" s="82"/>
      <c r="AD430" s="82"/>
      <c r="AE430" s="82">
        <v>1</v>
      </c>
      <c r="AF430" s="81">
        <v>5</v>
      </c>
      <c r="AG430" s="81">
        <v>5</v>
      </c>
      <c r="AH430" s="49">
        <v>0</v>
      </c>
      <c r="AI430" s="50">
        <v>0</v>
      </c>
      <c r="AJ430" s="49">
        <v>1</v>
      </c>
      <c r="AK430" s="110">
        <v>3.0303030303030303</v>
      </c>
      <c r="AL430" s="49">
        <v>0</v>
      </c>
      <c r="AM430" s="50">
        <v>0</v>
      </c>
      <c r="AN430" s="49">
        <v>11</v>
      </c>
      <c r="AO430" s="110">
        <v>33.333333333333336</v>
      </c>
      <c r="AP430" s="49">
        <v>33</v>
      </c>
    </row>
    <row r="431" spans="1:42" ht="15">
      <c r="A431" s="66" t="s">
        <v>650</v>
      </c>
      <c r="B431" s="66" t="s">
        <v>668</v>
      </c>
      <c r="C431" s="67" t="s">
        <v>774</v>
      </c>
      <c r="D431" s="68">
        <v>3</v>
      </c>
      <c r="E431" s="69"/>
      <c r="F431" s="70">
        <v>40</v>
      </c>
      <c r="G431" s="67"/>
      <c r="H431" s="71"/>
      <c r="I431" s="72"/>
      <c r="J431" s="72"/>
      <c r="K431" s="35" t="s">
        <v>65</v>
      </c>
      <c r="L431" s="80">
        <v>431</v>
      </c>
      <c r="M431" s="80"/>
      <c r="N431" s="74"/>
      <c r="O431" s="82" t="s">
        <v>776</v>
      </c>
      <c r="P431" s="82" t="s">
        <v>197</v>
      </c>
      <c r="Q431" s="82" t="s">
        <v>1198</v>
      </c>
      <c r="R431" s="82" t="s">
        <v>650</v>
      </c>
      <c r="S431" s="82" t="s">
        <v>1721</v>
      </c>
      <c r="T431" s="84" t="str">
        <f>HYPERLINK("http://www.youtube.com/channel/UC0LCq_OqhMElPUSFvxbp_WQ")</f>
        <v>http://www.youtube.com/channel/UC0LCq_OqhMElPUSFvxbp_WQ</v>
      </c>
      <c r="U431" s="82"/>
      <c r="V431" s="82" t="s">
        <v>1836</v>
      </c>
      <c r="W431" s="84" t="str">
        <f>HYPERLINK("https://www.youtube.com/watch?v=HeygX8UYhCA")</f>
        <v>https://www.youtube.com/watch?v=HeygX8UYhCA</v>
      </c>
      <c r="X431" s="82" t="s">
        <v>1857</v>
      </c>
      <c r="Y431" s="82">
        <v>0</v>
      </c>
      <c r="Z431" s="86">
        <v>45178.6772337963</v>
      </c>
      <c r="AA431" s="86">
        <v>45178.6772337963</v>
      </c>
      <c r="AB431" s="82"/>
      <c r="AC431" s="82"/>
      <c r="AD431" s="82"/>
      <c r="AE431" s="82">
        <v>1</v>
      </c>
      <c r="AF431" s="81">
        <v>5</v>
      </c>
      <c r="AG431" s="81">
        <v>5</v>
      </c>
      <c r="AH431" s="49">
        <v>1</v>
      </c>
      <c r="AI431" s="110">
        <v>6.666666666666667</v>
      </c>
      <c r="AJ431" s="49">
        <v>4</v>
      </c>
      <c r="AK431" s="110">
        <v>26.666666666666668</v>
      </c>
      <c r="AL431" s="49">
        <v>0</v>
      </c>
      <c r="AM431" s="50">
        <v>0</v>
      </c>
      <c r="AN431" s="49">
        <v>1</v>
      </c>
      <c r="AO431" s="110">
        <v>6.666666666666667</v>
      </c>
      <c r="AP431" s="49">
        <v>15</v>
      </c>
    </row>
    <row r="432" spans="1:42" ht="15">
      <c r="A432" s="66" t="s">
        <v>651</v>
      </c>
      <c r="B432" s="66" t="s">
        <v>668</v>
      </c>
      <c r="C432" s="67" t="s">
        <v>774</v>
      </c>
      <c r="D432" s="68">
        <v>3</v>
      </c>
      <c r="E432" s="69"/>
      <c r="F432" s="70">
        <v>40</v>
      </c>
      <c r="G432" s="67"/>
      <c r="H432" s="71"/>
      <c r="I432" s="72"/>
      <c r="J432" s="72"/>
      <c r="K432" s="35" t="s">
        <v>65</v>
      </c>
      <c r="L432" s="80">
        <v>432</v>
      </c>
      <c r="M432" s="80"/>
      <c r="N432" s="74"/>
      <c r="O432" s="82" t="s">
        <v>776</v>
      </c>
      <c r="P432" s="82" t="s">
        <v>197</v>
      </c>
      <c r="Q432" s="82" t="s">
        <v>1199</v>
      </c>
      <c r="R432" s="82" t="s">
        <v>651</v>
      </c>
      <c r="S432" s="82" t="s">
        <v>1722</v>
      </c>
      <c r="T432" s="84" t="str">
        <f>HYPERLINK("http://www.youtube.com/channel/UCgFqD3On_ANmpXNY5EOG2HA")</f>
        <v>http://www.youtube.com/channel/UCgFqD3On_ANmpXNY5EOG2HA</v>
      </c>
      <c r="U432" s="82"/>
      <c r="V432" s="82" t="s">
        <v>1836</v>
      </c>
      <c r="W432" s="84" t="str">
        <f>HYPERLINK("https://www.youtube.com/watch?v=HeygX8UYhCA")</f>
        <v>https://www.youtube.com/watch?v=HeygX8UYhCA</v>
      </c>
      <c r="X432" s="82" t="s">
        <v>1857</v>
      </c>
      <c r="Y432" s="82">
        <v>1</v>
      </c>
      <c r="Z432" s="86">
        <v>45178.79415509259</v>
      </c>
      <c r="AA432" s="86">
        <v>45178.79415509259</v>
      </c>
      <c r="AB432" s="82"/>
      <c r="AC432" s="82"/>
      <c r="AD432" s="82"/>
      <c r="AE432" s="82">
        <v>1</v>
      </c>
      <c r="AF432" s="81">
        <v>5</v>
      </c>
      <c r="AG432" s="81">
        <v>5</v>
      </c>
      <c r="AH432" s="49">
        <v>0</v>
      </c>
      <c r="AI432" s="50">
        <v>0</v>
      </c>
      <c r="AJ432" s="49">
        <v>0</v>
      </c>
      <c r="AK432" s="50">
        <v>0</v>
      </c>
      <c r="AL432" s="49">
        <v>0</v>
      </c>
      <c r="AM432" s="50">
        <v>0</v>
      </c>
      <c r="AN432" s="49">
        <v>0</v>
      </c>
      <c r="AO432" s="50">
        <v>0</v>
      </c>
      <c r="AP432" s="49">
        <v>3</v>
      </c>
    </row>
    <row r="433" spans="1:42" ht="15">
      <c r="A433" s="66" t="s">
        <v>652</v>
      </c>
      <c r="B433" s="66" t="s">
        <v>668</v>
      </c>
      <c r="C433" s="67" t="s">
        <v>774</v>
      </c>
      <c r="D433" s="68">
        <v>3</v>
      </c>
      <c r="E433" s="69"/>
      <c r="F433" s="70">
        <v>40</v>
      </c>
      <c r="G433" s="67"/>
      <c r="H433" s="71"/>
      <c r="I433" s="72"/>
      <c r="J433" s="72"/>
      <c r="K433" s="35" t="s">
        <v>65</v>
      </c>
      <c r="L433" s="80">
        <v>433</v>
      </c>
      <c r="M433" s="80"/>
      <c r="N433" s="74"/>
      <c r="O433" s="82" t="s">
        <v>776</v>
      </c>
      <c r="P433" s="82" t="s">
        <v>197</v>
      </c>
      <c r="Q433" s="82" t="s">
        <v>1200</v>
      </c>
      <c r="R433" s="82" t="s">
        <v>652</v>
      </c>
      <c r="S433" s="82" t="s">
        <v>1723</v>
      </c>
      <c r="T433" s="84" t="str">
        <f>HYPERLINK("http://www.youtube.com/channel/UCOpDvOhCc0NB81DNvZeVQNg")</f>
        <v>http://www.youtube.com/channel/UCOpDvOhCc0NB81DNvZeVQNg</v>
      </c>
      <c r="U433" s="82"/>
      <c r="V433" s="82" t="s">
        <v>1836</v>
      </c>
      <c r="W433" s="84" t="str">
        <f>HYPERLINK("https://www.youtube.com/watch?v=HeygX8UYhCA")</f>
        <v>https://www.youtube.com/watch?v=HeygX8UYhCA</v>
      </c>
      <c r="X433" s="82" t="s">
        <v>1857</v>
      </c>
      <c r="Y433" s="82">
        <v>3</v>
      </c>
      <c r="Z433" s="86">
        <v>45178.79429398148</v>
      </c>
      <c r="AA433" s="86">
        <v>45178.79429398148</v>
      </c>
      <c r="AB433" s="82"/>
      <c r="AC433" s="82"/>
      <c r="AD433" s="82"/>
      <c r="AE433" s="82">
        <v>1</v>
      </c>
      <c r="AF433" s="81">
        <v>5</v>
      </c>
      <c r="AG433" s="81">
        <v>5</v>
      </c>
      <c r="AH433" s="49">
        <v>0</v>
      </c>
      <c r="AI433" s="50">
        <v>0</v>
      </c>
      <c r="AJ433" s="49">
        <v>1</v>
      </c>
      <c r="AK433" s="50">
        <v>12.5</v>
      </c>
      <c r="AL433" s="49">
        <v>0</v>
      </c>
      <c r="AM433" s="50">
        <v>0</v>
      </c>
      <c r="AN433" s="49">
        <v>0</v>
      </c>
      <c r="AO433" s="50">
        <v>0</v>
      </c>
      <c r="AP433" s="49">
        <v>8</v>
      </c>
    </row>
    <row r="434" spans="1:42" ht="15">
      <c r="A434" s="66" t="s">
        <v>653</v>
      </c>
      <c r="B434" s="66" t="s">
        <v>668</v>
      </c>
      <c r="C434" s="67" t="s">
        <v>774</v>
      </c>
      <c r="D434" s="68">
        <v>3</v>
      </c>
      <c r="E434" s="69"/>
      <c r="F434" s="70">
        <v>40</v>
      </c>
      <c r="G434" s="67"/>
      <c r="H434" s="71"/>
      <c r="I434" s="72"/>
      <c r="J434" s="72"/>
      <c r="K434" s="35" t="s">
        <v>65</v>
      </c>
      <c r="L434" s="80">
        <v>434</v>
      </c>
      <c r="M434" s="80"/>
      <c r="N434" s="74"/>
      <c r="O434" s="82" t="s">
        <v>776</v>
      </c>
      <c r="P434" s="82" t="s">
        <v>197</v>
      </c>
      <c r="Q434" s="82" t="s">
        <v>1201</v>
      </c>
      <c r="R434" s="82" t="s">
        <v>653</v>
      </c>
      <c r="S434" s="82" t="s">
        <v>1724</v>
      </c>
      <c r="T434" s="84" t="str">
        <f>HYPERLINK("http://www.youtube.com/channel/UCwrvFEDIvasD8EesYt-_VlA")</f>
        <v>http://www.youtube.com/channel/UCwrvFEDIvasD8EesYt-_VlA</v>
      </c>
      <c r="U434" s="82"/>
      <c r="V434" s="82" t="s">
        <v>1836</v>
      </c>
      <c r="W434" s="84" t="str">
        <f>HYPERLINK("https://www.youtube.com/watch?v=HeygX8UYhCA")</f>
        <v>https://www.youtube.com/watch?v=HeygX8UYhCA</v>
      </c>
      <c r="X434" s="82" t="s">
        <v>1857</v>
      </c>
      <c r="Y434" s="82">
        <v>0</v>
      </c>
      <c r="Z434" s="86">
        <v>45178.82922453704</v>
      </c>
      <c r="AA434" s="86">
        <v>45178.82922453704</v>
      </c>
      <c r="AB434" s="82"/>
      <c r="AC434" s="82"/>
      <c r="AD434" s="82"/>
      <c r="AE434" s="82">
        <v>1</v>
      </c>
      <c r="AF434" s="81">
        <v>5</v>
      </c>
      <c r="AG434" s="81">
        <v>5</v>
      </c>
      <c r="AH434" s="49">
        <v>0</v>
      </c>
      <c r="AI434" s="50">
        <v>0</v>
      </c>
      <c r="AJ434" s="49">
        <v>0</v>
      </c>
      <c r="AK434" s="50">
        <v>0</v>
      </c>
      <c r="AL434" s="49">
        <v>0</v>
      </c>
      <c r="AM434" s="50">
        <v>0</v>
      </c>
      <c r="AN434" s="49">
        <v>2</v>
      </c>
      <c r="AO434" s="50">
        <v>25</v>
      </c>
      <c r="AP434" s="49">
        <v>8</v>
      </c>
    </row>
    <row r="435" spans="1:42" ht="15">
      <c r="A435" s="66" t="s">
        <v>654</v>
      </c>
      <c r="B435" s="66" t="s">
        <v>668</v>
      </c>
      <c r="C435" s="67" t="s">
        <v>774</v>
      </c>
      <c r="D435" s="68">
        <v>3</v>
      </c>
      <c r="E435" s="69"/>
      <c r="F435" s="70">
        <v>40</v>
      </c>
      <c r="G435" s="67"/>
      <c r="H435" s="71"/>
      <c r="I435" s="72"/>
      <c r="J435" s="72"/>
      <c r="K435" s="35" t="s">
        <v>65</v>
      </c>
      <c r="L435" s="80">
        <v>435</v>
      </c>
      <c r="M435" s="80"/>
      <c r="N435" s="74"/>
      <c r="O435" s="82" t="s">
        <v>776</v>
      </c>
      <c r="P435" s="82" t="s">
        <v>197</v>
      </c>
      <c r="Q435" s="82" t="s">
        <v>1202</v>
      </c>
      <c r="R435" s="82" t="s">
        <v>654</v>
      </c>
      <c r="S435" s="82" t="s">
        <v>1725</v>
      </c>
      <c r="T435" s="84" t="str">
        <f>HYPERLINK("http://www.youtube.com/channel/UC4JGtkkIk0ZUCg_EDa_A5og")</f>
        <v>http://www.youtube.com/channel/UC4JGtkkIk0ZUCg_EDa_A5og</v>
      </c>
      <c r="U435" s="82"/>
      <c r="V435" s="82" t="s">
        <v>1836</v>
      </c>
      <c r="W435" s="84" t="str">
        <f>HYPERLINK("https://www.youtube.com/watch?v=HeygX8UYhCA")</f>
        <v>https://www.youtube.com/watch?v=HeygX8UYhCA</v>
      </c>
      <c r="X435" s="82" t="s">
        <v>1857</v>
      </c>
      <c r="Y435" s="82">
        <v>2</v>
      </c>
      <c r="Z435" s="86">
        <v>45179.86491898148</v>
      </c>
      <c r="AA435" s="86">
        <v>45179.86491898148</v>
      </c>
      <c r="AB435" s="82"/>
      <c r="AC435" s="82"/>
      <c r="AD435" s="82"/>
      <c r="AE435" s="82">
        <v>1</v>
      </c>
      <c r="AF435" s="81">
        <v>5</v>
      </c>
      <c r="AG435" s="81">
        <v>5</v>
      </c>
      <c r="AH435" s="49">
        <v>0</v>
      </c>
      <c r="AI435" s="50">
        <v>0</v>
      </c>
      <c r="AJ435" s="49">
        <v>1</v>
      </c>
      <c r="AK435" s="110">
        <v>7.142857142857143</v>
      </c>
      <c r="AL435" s="49">
        <v>0</v>
      </c>
      <c r="AM435" s="50">
        <v>0</v>
      </c>
      <c r="AN435" s="49">
        <v>7</v>
      </c>
      <c r="AO435" s="50">
        <v>50</v>
      </c>
      <c r="AP435" s="49">
        <v>14</v>
      </c>
    </row>
    <row r="436" spans="1:42" ht="15">
      <c r="A436" s="66" t="s">
        <v>655</v>
      </c>
      <c r="B436" s="66" t="s">
        <v>668</v>
      </c>
      <c r="C436" s="67" t="s">
        <v>774</v>
      </c>
      <c r="D436" s="68">
        <v>3</v>
      </c>
      <c r="E436" s="69"/>
      <c r="F436" s="70">
        <v>40</v>
      </c>
      <c r="G436" s="67"/>
      <c r="H436" s="71"/>
      <c r="I436" s="72"/>
      <c r="J436" s="72"/>
      <c r="K436" s="35" t="s">
        <v>65</v>
      </c>
      <c r="L436" s="80">
        <v>436</v>
      </c>
      <c r="M436" s="80"/>
      <c r="N436" s="74"/>
      <c r="O436" s="82" t="s">
        <v>776</v>
      </c>
      <c r="P436" s="82" t="s">
        <v>197</v>
      </c>
      <c r="Q436" s="82" t="s">
        <v>1203</v>
      </c>
      <c r="R436" s="82" t="s">
        <v>655</v>
      </c>
      <c r="S436" s="82" t="s">
        <v>1726</v>
      </c>
      <c r="T436" s="84" t="str">
        <f>HYPERLINK("http://www.youtube.com/channel/UCQuMHlEhwyQy55RLe_ZX2ww")</f>
        <v>http://www.youtube.com/channel/UCQuMHlEhwyQy55RLe_ZX2ww</v>
      </c>
      <c r="U436" s="82"/>
      <c r="V436" s="82" t="s">
        <v>1836</v>
      </c>
      <c r="W436" s="84" t="str">
        <f>HYPERLINK("https://www.youtube.com/watch?v=HeygX8UYhCA")</f>
        <v>https://www.youtube.com/watch?v=HeygX8UYhCA</v>
      </c>
      <c r="X436" s="82" t="s">
        <v>1857</v>
      </c>
      <c r="Y436" s="82">
        <v>1</v>
      </c>
      <c r="Z436" s="86">
        <v>45180.04833333333</v>
      </c>
      <c r="AA436" s="86">
        <v>45180.04833333333</v>
      </c>
      <c r="AB436" s="82"/>
      <c r="AC436" s="82"/>
      <c r="AD436" s="82"/>
      <c r="AE436" s="82">
        <v>1</v>
      </c>
      <c r="AF436" s="81">
        <v>5</v>
      </c>
      <c r="AG436" s="81">
        <v>5</v>
      </c>
      <c r="AH436" s="49">
        <v>1</v>
      </c>
      <c r="AI436" s="110">
        <v>7.6923076923076925</v>
      </c>
      <c r="AJ436" s="49">
        <v>0</v>
      </c>
      <c r="AK436" s="50">
        <v>0</v>
      </c>
      <c r="AL436" s="49">
        <v>0</v>
      </c>
      <c r="AM436" s="50">
        <v>0</v>
      </c>
      <c r="AN436" s="49">
        <v>4</v>
      </c>
      <c r="AO436" s="110">
        <v>30.76923076923077</v>
      </c>
      <c r="AP436" s="49">
        <v>13</v>
      </c>
    </row>
    <row r="437" spans="1:42" ht="15">
      <c r="A437" s="66" t="s">
        <v>656</v>
      </c>
      <c r="B437" s="66" t="s">
        <v>668</v>
      </c>
      <c r="C437" s="67" t="s">
        <v>4788</v>
      </c>
      <c r="D437" s="68">
        <v>10</v>
      </c>
      <c r="E437" s="69"/>
      <c r="F437" s="70">
        <v>15</v>
      </c>
      <c r="G437" s="67"/>
      <c r="H437" s="71"/>
      <c r="I437" s="72"/>
      <c r="J437" s="72"/>
      <c r="K437" s="35" t="s">
        <v>65</v>
      </c>
      <c r="L437" s="80">
        <v>437</v>
      </c>
      <c r="M437" s="80"/>
      <c r="N437" s="74"/>
      <c r="O437" s="82" t="s">
        <v>776</v>
      </c>
      <c r="P437" s="82" t="s">
        <v>197</v>
      </c>
      <c r="Q437" s="82" t="s">
        <v>1204</v>
      </c>
      <c r="R437" s="82" t="s">
        <v>656</v>
      </c>
      <c r="S437" s="82" t="s">
        <v>1727</v>
      </c>
      <c r="T437" s="84" t="str">
        <f>HYPERLINK("http://www.youtube.com/channel/UCJXrvYl_yi07f2WQ4bBi61A")</f>
        <v>http://www.youtube.com/channel/UCJXrvYl_yi07f2WQ4bBi61A</v>
      </c>
      <c r="U437" s="82"/>
      <c r="V437" s="82" t="s">
        <v>1836</v>
      </c>
      <c r="W437" s="84" t="str">
        <f>HYPERLINK("https://www.youtube.com/watch?v=HeygX8UYhCA")</f>
        <v>https://www.youtube.com/watch?v=HeygX8UYhCA</v>
      </c>
      <c r="X437" s="82" t="s">
        <v>1857</v>
      </c>
      <c r="Y437" s="82">
        <v>0</v>
      </c>
      <c r="Z437" s="86">
        <v>45180.93152777778</v>
      </c>
      <c r="AA437" s="86">
        <v>45180.93152777778</v>
      </c>
      <c r="AB437" s="82"/>
      <c r="AC437" s="82"/>
      <c r="AD437" s="82"/>
      <c r="AE437" s="82">
        <v>4</v>
      </c>
      <c r="AF437" s="81">
        <v>5</v>
      </c>
      <c r="AG437" s="81">
        <v>5</v>
      </c>
      <c r="AH437" s="49">
        <v>0</v>
      </c>
      <c r="AI437" s="50">
        <v>0</v>
      </c>
      <c r="AJ437" s="49">
        <v>1</v>
      </c>
      <c r="AK437" s="110">
        <v>4.761904761904762</v>
      </c>
      <c r="AL437" s="49">
        <v>0</v>
      </c>
      <c r="AM437" s="50">
        <v>0</v>
      </c>
      <c r="AN437" s="49">
        <v>8</v>
      </c>
      <c r="AO437" s="110">
        <v>38.095238095238095</v>
      </c>
      <c r="AP437" s="49">
        <v>21</v>
      </c>
    </row>
    <row r="438" spans="1:42" ht="15">
      <c r="A438" s="66" t="s">
        <v>657</v>
      </c>
      <c r="B438" s="66" t="s">
        <v>668</v>
      </c>
      <c r="C438" s="67" t="s">
        <v>774</v>
      </c>
      <c r="D438" s="68">
        <v>3</v>
      </c>
      <c r="E438" s="69"/>
      <c r="F438" s="70">
        <v>40</v>
      </c>
      <c r="G438" s="67"/>
      <c r="H438" s="71"/>
      <c r="I438" s="72"/>
      <c r="J438" s="72"/>
      <c r="K438" s="35" t="s">
        <v>65</v>
      </c>
      <c r="L438" s="80">
        <v>438</v>
      </c>
      <c r="M438" s="80"/>
      <c r="N438" s="74"/>
      <c r="O438" s="82" t="s">
        <v>776</v>
      </c>
      <c r="P438" s="82" t="s">
        <v>197</v>
      </c>
      <c r="Q438" s="82" t="s">
        <v>1205</v>
      </c>
      <c r="R438" s="82" t="s">
        <v>657</v>
      </c>
      <c r="S438" s="82" t="s">
        <v>1728</v>
      </c>
      <c r="T438" s="84" t="str">
        <f>HYPERLINK("http://www.youtube.com/channel/UC4xnqWp5r7wANtgDOImNqFg")</f>
        <v>http://www.youtube.com/channel/UC4xnqWp5r7wANtgDOImNqFg</v>
      </c>
      <c r="U438" s="82"/>
      <c r="V438" s="82" t="s">
        <v>1836</v>
      </c>
      <c r="W438" s="84" t="str">
        <f>HYPERLINK("https://www.youtube.com/watch?v=HeygX8UYhCA")</f>
        <v>https://www.youtube.com/watch?v=HeygX8UYhCA</v>
      </c>
      <c r="X438" s="82" t="s">
        <v>1857</v>
      </c>
      <c r="Y438" s="82">
        <v>0</v>
      </c>
      <c r="Z438" s="86">
        <v>45181.51783564815</v>
      </c>
      <c r="AA438" s="86">
        <v>45181.51820601852</v>
      </c>
      <c r="AB438" s="82"/>
      <c r="AC438" s="82"/>
      <c r="AD438" s="82"/>
      <c r="AE438" s="82">
        <v>1</v>
      </c>
      <c r="AF438" s="81">
        <v>5</v>
      </c>
      <c r="AG438" s="81">
        <v>5</v>
      </c>
      <c r="AH438" s="49">
        <v>0</v>
      </c>
      <c r="AI438" s="50">
        <v>0</v>
      </c>
      <c r="AJ438" s="49">
        <v>6</v>
      </c>
      <c r="AK438" s="110">
        <v>26.08695652173913</v>
      </c>
      <c r="AL438" s="49">
        <v>0</v>
      </c>
      <c r="AM438" s="50">
        <v>0</v>
      </c>
      <c r="AN438" s="49">
        <v>13</v>
      </c>
      <c r="AO438" s="110">
        <v>56.52173913043478</v>
      </c>
      <c r="AP438" s="49">
        <v>23</v>
      </c>
    </row>
    <row r="439" spans="1:42" ht="15">
      <c r="A439" s="66" t="s">
        <v>658</v>
      </c>
      <c r="B439" s="66" t="s">
        <v>660</v>
      </c>
      <c r="C439" s="67" t="s">
        <v>774</v>
      </c>
      <c r="D439" s="68">
        <v>3</v>
      </c>
      <c r="E439" s="69"/>
      <c r="F439" s="70">
        <v>40</v>
      </c>
      <c r="G439" s="67"/>
      <c r="H439" s="71"/>
      <c r="I439" s="72"/>
      <c r="J439" s="72"/>
      <c r="K439" s="35" t="s">
        <v>65</v>
      </c>
      <c r="L439" s="80">
        <v>439</v>
      </c>
      <c r="M439" s="80"/>
      <c r="N439" s="74"/>
      <c r="O439" s="82" t="s">
        <v>776</v>
      </c>
      <c r="P439" s="82" t="s">
        <v>197</v>
      </c>
      <c r="Q439" s="82" t="s">
        <v>1206</v>
      </c>
      <c r="R439" s="82" t="s">
        <v>658</v>
      </c>
      <c r="S439" s="82" t="s">
        <v>1729</v>
      </c>
      <c r="T439" s="84" t="str">
        <f>HYPERLINK("http://www.youtube.com/channel/UCighPl8K04wQmKEb0gHzF_A")</f>
        <v>http://www.youtube.com/channel/UCighPl8K04wQmKEb0gHzF_A</v>
      </c>
      <c r="U439" s="82"/>
      <c r="V439" s="82" t="s">
        <v>1837</v>
      </c>
      <c r="W439" s="84" t="str">
        <f>HYPERLINK("https://www.youtube.com/watch?v=RQV_2EyHtZw")</f>
        <v>https://www.youtube.com/watch?v=RQV_2EyHtZw</v>
      </c>
      <c r="X439" s="82" t="s">
        <v>1857</v>
      </c>
      <c r="Y439" s="82">
        <v>3</v>
      </c>
      <c r="Z439" s="86">
        <v>45150.043900462966</v>
      </c>
      <c r="AA439" s="86">
        <v>45150.043900462966</v>
      </c>
      <c r="AB439" s="82"/>
      <c r="AC439" s="82"/>
      <c r="AD439" s="82"/>
      <c r="AE439" s="82">
        <v>1</v>
      </c>
      <c r="AF439" s="81">
        <v>9</v>
      </c>
      <c r="AG439" s="81">
        <v>9</v>
      </c>
      <c r="AH439" s="49">
        <v>0</v>
      </c>
      <c r="AI439" s="50">
        <v>0</v>
      </c>
      <c r="AJ439" s="49">
        <v>0</v>
      </c>
      <c r="AK439" s="50">
        <v>0</v>
      </c>
      <c r="AL439" s="49">
        <v>0</v>
      </c>
      <c r="AM439" s="50">
        <v>0</v>
      </c>
      <c r="AN439" s="49">
        <v>2</v>
      </c>
      <c r="AO439" s="110">
        <v>28.571428571428573</v>
      </c>
      <c r="AP439" s="49">
        <v>7</v>
      </c>
    </row>
    <row r="440" spans="1:42" ht="15">
      <c r="A440" s="66" t="s">
        <v>659</v>
      </c>
      <c r="B440" s="66" t="s">
        <v>660</v>
      </c>
      <c r="C440" s="67" t="s">
        <v>774</v>
      </c>
      <c r="D440" s="68">
        <v>3</v>
      </c>
      <c r="E440" s="69"/>
      <c r="F440" s="70">
        <v>40</v>
      </c>
      <c r="G440" s="67"/>
      <c r="H440" s="71"/>
      <c r="I440" s="72"/>
      <c r="J440" s="72"/>
      <c r="K440" s="35" t="s">
        <v>65</v>
      </c>
      <c r="L440" s="80">
        <v>440</v>
      </c>
      <c r="M440" s="80"/>
      <c r="N440" s="74"/>
      <c r="O440" s="82" t="s">
        <v>776</v>
      </c>
      <c r="P440" s="82" t="s">
        <v>197</v>
      </c>
      <c r="Q440" s="82" t="s">
        <v>1207</v>
      </c>
      <c r="R440" s="82" t="s">
        <v>659</v>
      </c>
      <c r="S440" s="82" t="s">
        <v>1730</v>
      </c>
      <c r="T440" s="84" t="str">
        <f>HYPERLINK("http://www.youtube.com/channel/UCL4i-tUH7Ca38WGkmYLrQVg")</f>
        <v>http://www.youtube.com/channel/UCL4i-tUH7Ca38WGkmYLrQVg</v>
      </c>
      <c r="U440" s="82"/>
      <c r="V440" s="82" t="s">
        <v>1837</v>
      </c>
      <c r="W440" s="84" t="str">
        <f>HYPERLINK("https://www.youtube.com/watch?v=RQV_2EyHtZw")</f>
        <v>https://www.youtube.com/watch?v=RQV_2EyHtZw</v>
      </c>
      <c r="X440" s="82" t="s">
        <v>1857</v>
      </c>
      <c r="Y440" s="82">
        <v>0</v>
      </c>
      <c r="Z440" s="86">
        <v>45150.10108796296</v>
      </c>
      <c r="AA440" s="86">
        <v>45150.10108796296</v>
      </c>
      <c r="AB440" s="82"/>
      <c r="AC440" s="82"/>
      <c r="AD440" s="82"/>
      <c r="AE440" s="82">
        <v>1</v>
      </c>
      <c r="AF440" s="81">
        <v>9</v>
      </c>
      <c r="AG440" s="81">
        <v>9</v>
      </c>
      <c r="AH440" s="49">
        <v>0</v>
      </c>
      <c r="AI440" s="50">
        <v>0</v>
      </c>
      <c r="AJ440" s="49">
        <v>0</v>
      </c>
      <c r="AK440" s="50">
        <v>0</v>
      </c>
      <c r="AL440" s="49">
        <v>0</v>
      </c>
      <c r="AM440" s="50">
        <v>0</v>
      </c>
      <c r="AN440" s="49">
        <v>2</v>
      </c>
      <c r="AO440" s="110">
        <v>66.66666666666667</v>
      </c>
      <c r="AP440" s="49">
        <v>3</v>
      </c>
    </row>
    <row r="441" spans="1:42" ht="15">
      <c r="A441" s="66" t="s">
        <v>660</v>
      </c>
      <c r="B441" s="66" t="s">
        <v>660</v>
      </c>
      <c r="C441" s="67" t="s">
        <v>4789</v>
      </c>
      <c r="D441" s="68">
        <v>10</v>
      </c>
      <c r="E441" s="69"/>
      <c r="F441" s="70">
        <v>15</v>
      </c>
      <c r="G441" s="67"/>
      <c r="H441" s="71"/>
      <c r="I441" s="72"/>
      <c r="J441" s="72"/>
      <c r="K441" s="35" t="s">
        <v>65</v>
      </c>
      <c r="L441" s="80">
        <v>441</v>
      </c>
      <c r="M441" s="80"/>
      <c r="N441" s="74"/>
      <c r="O441" s="82" t="s">
        <v>777</v>
      </c>
      <c r="P441" s="82"/>
      <c r="Q441" s="82"/>
      <c r="R441" s="82"/>
      <c r="S441" s="82"/>
      <c r="T441" s="82"/>
      <c r="U441" s="82"/>
      <c r="V441" s="82" t="s">
        <v>1838</v>
      </c>
      <c r="W441" s="84" t="str">
        <f>HYPERLINK("https://www.youtube.com/watch?v=Ud4SrFdeMk0")</f>
        <v>https://www.youtube.com/watch?v=Ud4SrFdeMk0</v>
      </c>
      <c r="X441" s="82"/>
      <c r="Y441" s="82"/>
      <c r="Z441" s="86">
        <v>45152.458599537036</v>
      </c>
      <c r="AA441" s="82"/>
      <c r="AB441" s="82"/>
      <c r="AC441" s="82"/>
      <c r="AD441" s="82"/>
      <c r="AE441" s="82">
        <v>9</v>
      </c>
      <c r="AF441" s="81">
        <v>9</v>
      </c>
      <c r="AG441" s="81">
        <v>9</v>
      </c>
      <c r="AH441" s="49"/>
      <c r="AI441" s="50"/>
      <c r="AJ441" s="49"/>
      <c r="AK441" s="50"/>
      <c r="AL441" s="49"/>
      <c r="AM441" s="50"/>
      <c r="AN441" s="49"/>
      <c r="AO441" s="50"/>
      <c r="AP441" s="49"/>
    </row>
    <row r="442" spans="1:42" ht="15">
      <c r="A442" s="66" t="s">
        <v>661</v>
      </c>
      <c r="B442" s="66" t="s">
        <v>660</v>
      </c>
      <c r="C442" s="67" t="s">
        <v>774</v>
      </c>
      <c r="D442" s="68">
        <v>3</v>
      </c>
      <c r="E442" s="69"/>
      <c r="F442" s="70">
        <v>40</v>
      </c>
      <c r="G442" s="67"/>
      <c r="H442" s="71"/>
      <c r="I442" s="72"/>
      <c r="J442" s="72"/>
      <c r="K442" s="35" t="s">
        <v>65</v>
      </c>
      <c r="L442" s="80">
        <v>442</v>
      </c>
      <c r="M442" s="80"/>
      <c r="N442" s="74"/>
      <c r="O442" s="82" t="s">
        <v>776</v>
      </c>
      <c r="P442" s="82" t="s">
        <v>197</v>
      </c>
      <c r="Q442" s="82" t="s">
        <v>1208</v>
      </c>
      <c r="R442" s="82" t="s">
        <v>661</v>
      </c>
      <c r="S442" s="82" t="s">
        <v>1731</v>
      </c>
      <c r="T442" s="84" t="str">
        <f>HYPERLINK("http://www.youtube.com/channel/UC2PnpVR_3pzZe9_P0ZB_WuA")</f>
        <v>http://www.youtube.com/channel/UC2PnpVR_3pzZe9_P0ZB_WuA</v>
      </c>
      <c r="U442" s="82"/>
      <c r="V442" s="82" t="s">
        <v>1837</v>
      </c>
      <c r="W442" s="84" t="str">
        <f>HYPERLINK("https://www.youtube.com/watch?v=RQV_2EyHtZw")</f>
        <v>https://www.youtube.com/watch?v=RQV_2EyHtZw</v>
      </c>
      <c r="X442" s="82" t="s">
        <v>1857</v>
      </c>
      <c r="Y442" s="82">
        <v>0</v>
      </c>
      <c r="Z442" s="86">
        <v>45157.88148148148</v>
      </c>
      <c r="AA442" s="86">
        <v>45157.88148148148</v>
      </c>
      <c r="AB442" s="82"/>
      <c r="AC442" s="82"/>
      <c r="AD442" s="82"/>
      <c r="AE442" s="82">
        <v>1</v>
      </c>
      <c r="AF442" s="81">
        <v>9</v>
      </c>
      <c r="AG442" s="81">
        <v>9</v>
      </c>
      <c r="AH442" s="49">
        <v>2</v>
      </c>
      <c r="AI442" s="110">
        <v>2.7027027027027026</v>
      </c>
      <c r="AJ442" s="49">
        <v>1</v>
      </c>
      <c r="AK442" s="110">
        <v>1.3513513513513513</v>
      </c>
      <c r="AL442" s="49">
        <v>0</v>
      </c>
      <c r="AM442" s="50">
        <v>0</v>
      </c>
      <c r="AN442" s="49">
        <v>18</v>
      </c>
      <c r="AO442" s="110">
        <v>24.324324324324323</v>
      </c>
      <c r="AP442" s="49">
        <v>74</v>
      </c>
    </row>
    <row r="443" spans="1:42" ht="15">
      <c r="A443" s="66" t="s">
        <v>662</v>
      </c>
      <c r="B443" s="66" t="s">
        <v>668</v>
      </c>
      <c r="C443" s="67" t="s">
        <v>774</v>
      </c>
      <c r="D443" s="68">
        <v>3</v>
      </c>
      <c r="E443" s="69"/>
      <c r="F443" s="70">
        <v>40</v>
      </c>
      <c r="G443" s="67"/>
      <c r="H443" s="71"/>
      <c r="I443" s="72"/>
      <c r="J443" s="72"/>
      <c r="K443" s="35" t="s">
        <v>65</v>
      </c>
      <c r="L443" s="80">
        <v>443</v>
      </c>
      <c r="M443" s="80"/>
      <c r="N443" s="74"/>
      <c r="O443" s="82" t="s">
        <v>776</v>
      </c>
      <c r="P443" s="82" t="s">
        <v>197</v>
      </c>
      <c r="Q443" s="82" t="s">
        <v>1209</v>
      </c>
      <c r="R443" s="82" t="s">
        <v>662</v>
      </c>
      <c r="S443" s="82" t="s">
        <v>1732</v>
      </c>
      <c r="T443" s="84" t="str">
        <f>HYPERLINK("http://www.youtube.com/channel/UCkHQo0-FAGmJeyDPa-USHLg")</f>
        <v>http://www.youtube.com/channel/UCkHQo0-FAGmJeyDPa-USHLg</v>
      </c>
      <c r="U443" s="82"/>
      <c r="V443" s="82" t="s">
        <v>1839</v>
      </c>
      <c r="W443" s="84" t="str">
        <f>HYPERLINK("https://www.youtube.com/watch?v=F6OoW7hqnPs")</f>
        <v>https://www.youtube.com/watch?v=F6OoW7hqnPs</v>
      </c>
      <c r="X443" s="82" t="s">
        <v>1857</v>
      </c>
      <c r="Y443" s="82">
        <v>3</v>
      </c>
      <c r="Z443" s="86">
        <v>45096.83304398148</v>
      </c>
      <c r="AA443" s="86">
        <v>45096.83304398148</v>
      </c>
      <c r="AB443" s="82"/>
      <c r="AC443" s="82"/>
      <c r="AD443" s="82"/>
      <c r="AE443" s="82">
        <v>1</v>
      </c>
      <c r="AF443" s="81">
        <v>5</v>
      </c>
      <c r="AG443" s="81">
        <v>5</v>
      </c>
      <c r="AH443" s="49">
        <v>0</v>
      </c>
      <c r="AI443" s="50">
        <v>0</v>
      </c>
      <c r="AJ443" s="49">
        <v>1</v>
      </c>
      <c r="AK443" s="110">
        <v>5.555555555555555</v>
      </c>
      <c r="AL443" s="49">
        <v>0</v>
      </c>
      <c r="AM443" s="50">
        <v>0</v>
      </c>
      <c r="AN443" s="49">
        <v>7</v>
      </c>
      <c r="AO443" s="110">
        <v>38.888888888888886</v>
      </c>
      <c r="AP443" s="49">
        <v>18</v>
      </c>
    </row>
    <row r="444" spans="1:42" ht="15">
      <c r="A444" s="66" t="s">
        <v>663</v>
      </c>
      <c r="B444" s="66" t="s">
        <v>668</v>
      </c>
      <c r="C444" s="67" t="s">
        <v>774</v>
      </c>
      <c r="D444" s="68">
        <v>3</v>
      </c>
      <c r="E444" s="69"/>
      <c r="F444" s="70">
        <v>40</v>
      </c>
      <c r="G444" s="67"/>
      <c r="H444" s="71"/>
      <c r="I444" s="72"/>
      <c r="J444" s="72"/>
      <c r="K444" s="35" t="s">
        <v>65</v>
      </c>
      <c r="L444" s="80">
        <v>444</v>
      </c>
      <c r="M444" s="80"/>
      <c r="N444" s="74"/>
      <c r="O444" s="82" t="s">
        <v>776</v>
      </c>
      <c r="P444" s="82" t="s">
        <v>197</v>
      </c>
      <c r="Q444" s="82" t="s">
        <v>1210</v>
      </c>
      <c r="R444" s="82" t="s">
        <v>663</v>
      </c>
      <c r="S444" s="82" t="s">
        <v>1733</v>
      </c>
      <c r="T444" s="84" t="str">
        <f>HYPERLINK("http://www.youtube.com/channel/UCXTGE9rvyG5ui7C1eQ59Ouw")</f>
        <v>http://www.youtube.com/channel/UCXTGE9rvyG5ui7C1eQ59Ouw</v>
      </c>
      <c r="U444" s="82"/>
      <c r="V444" s="82" t="s">
        <v>1839</v>
      </c>
      <c r="W444" s="84" t="str">
        <f>HYPERLINK("https://www.youtube.com/watch?v=F6OoW7hqnPs")</f>
        <v>https://www.youtube.com/watch?v=F6OoW7hqnPs</v>
      </c>
      <c r="X444" s="82" t="s">
        <v>1857</v>
      </c>
      <c r="Y444" s="82">
        <v>2</v>
      </c>
      <c r="Z444" s="86">
        <v>45096.83474537037</v>
      </c>
      <c r="AA444" s="86">
        <v>45096.83474537037</v>
      </c>
      <c r="AB444" s="82"/>
      <c r="AC444" s="82"/>
      <c r="AD444" s="82"/>
      <c r="AE444" s="82">
        <v>1</v>
      </c>
      <c r="AF444" s="81">
        <v>5</v>
      </c>
      <c r="AG444" s="81">
        <v>5</v>
      </c>
      <c r="AH444" s="49">
        <v>0</v>
      </c>
      <c r="AI444" s="50">
        <v>0</v>
      </c>
      <c r="AJ444" s="49">
        <v>0</v>
      </c>
      <c r="AK444" s="50">
        <v>0</v>
      </c>
      <c r="AL444" s="49">
        <v>0</v>
      </c>
      <c r="AM444" s="50">
        <v>0</v>
      </c>
      <c r="AN444" s="49">
        <v>7</v>
      </c>
      <c r="AO444" s="110">
        <v>30.434782608695652</v>
      </c>
      <c r="AP444" s="49">
        <v>23</v>
      </c>
    </row>
    <row r="445" spans="1:42" ht="15">
      <c r="A445" s="66" t="s">
        <v>664</v>
      </c>
      <c r="B445" s="66" t="s">
        <v>668</v>
      </c>
      <c r="C445" s="67" t="s">
        <v>774</v>
      </c>
      <c r="D445" s="68">
        <v>3</v>
      </c>
      <c r="E445" s="69"/>
      <c r="F445" s="70">
        <v>40</v>
      </c>
      <c r="G445" s="67"/>
      <c r="H445" s="71"/>
      <c r="I445" s="72"/>
      <c r="J445" s="72"/>
      <c r="K445" s="35" t="s">
        <v>65</v>
      </c>
      <c r="L445" s="80">
        <v>445</v>
      </c>
      <c r="M445" s="80"/>
      <c r="N445" s="74"/>
      <c r="O445" s="82" t="s">
        <v>776</v>
      </c>
      <c r="P445" s="82" t="s">
        <v>197</v>
      </c>
      <c r="Q445" s="82" t="s">
        <v>1211</v>
      </c>
      <c r="R445" s="82" t="s">
        <v>664</v>
      </c>
      <c r="S445" s="82" t="s">
        <v>1734</v>
      </c>
      <c r="T445" s="84" t="str">
        <f>HYPERLINK("http://www.youtube.com/channel/UCNRvBUJ3tvLXgcFg9-wpVag")</f>
        <v>http://www.youtube.com/channel/UCNRvBUJ3tvLXgcFg9-wpVag</v>
      </c>
      <c r="U445" s="82"/>
      <c r="V445" s="82" t="s">
        <v>1839</v>
      </c>
      <c r="W445" s="84" t="str">
        <f>HYPERLINK("https://www.youtube.com/watch?v=F6OoW7hqnPs")</f>
        <v>https://www.youtube.com/watch?v=F6OoW7hqnPs</v>
      </c>
      <c r="X445" s="82" t="s">
        <v>1857</v>
      </c>
      <c r="Y445" s="82">
        <v>0</v>
      </c>
      <c r="Z445" s="86">
        <v>45096.8390162037</v>
      </c>
      <c r="AA445" s="86">
        <v>45096.84049768518</v>
      </c>
      <c r="AB445" s="82"/>
      <c r="AC445" s="82"/>
      <c r="AD445" s="82"/>
      <c r="AE445" s="82">
        <v>1</v>
      </c>
      <c r="AF445" s="81">
        <v>5</v>
      </c>
      <c r="AG445" s="81">
        <v>5</v>
      </c>
      <c r="AH445" s="49">
        <v>5</v>
      </c>
      <c r="AI445" s="110">
        <v>3.2051282051282053</v>
      </c>
      <c r="AJ445" s="49">
        <v>9</v>
      </c>
      <c r="AK445" s="110">
        <v>5.769230769230769</v>
      </c>
      <c r="AL445" s="49">
        <v>0</v>
      </c>
      <c r="AM445" s="50">
        <v>0</v>
      </c>
      <c r="AN445" s="49">
        <v>58</v>
      </c>
      <c r="AO445" s="110">
        <v>37.17948717948718</v>
      </c>
      <c r="AP445" s="49">
        <v>156</v>
      </c>
    </row>
    <row r="446" spans="1:42" ht="15">
      <c r="A446" s="66" t="s">
        <v>665</v>
      </c>
      <c r="B446" s="66" t="s">
        <v>668</v>
      </c>
      <c r="C446" s="67" t="s">
        <v>774</v>
      </c>
      <c r="D446" s="68">
        <v>3</v>
      </c>
      <c r="E446" s="69"/>
      <c r="F446" s="70">
        <v>40</v>
      </c>
      <c r="G446" s="67"/>
      <c r="H446" s="71"/>
      <c r="I446" s="72"/>
      <c r="J446" s="72"/>
      <c r="K446" s="35" t="s">
        <v>65</v>
      </c>
      <c r="L446" s="80">
        <v>446</v>
      </c>
      <c r="M446" s="80"/>
      <c r="N446" s="74"/>
      <c r="O446" s="82" t="s">
        <v>776</v>
      </c>
      <c r="P446" s="82" t="s">
        <v>197</v>
      </c>
      <c r="Q446" s="82" t="s">
        <v>1212</v>
      </c>
      <c r="R446" s="82" t="s">
        <v>665</v>
      </c>
      <c r="S446" s="82" t="s">
        <v>1735</v>
      </c>
      <c r="T446" s="84" t="str">
        <f>HYPERLINK("http://www.youtube.com/channel/UCqXJmx8_6S9eUmRbvFc9GAA")</f>
        <v>http://www.youtube.com/channel/UCqXJmx8_6S9eUmRbvFc9GAA</v>
      </c>
      <c r="U446" s="82"/>
      <c r="V446" s="82" t="s">
        <v>1839</v>
      </c>
      <c r="W446" s="84" t="str">
        <f>HYPERLINK("https://www.youtube.com/watch?v=F6OoW7hqnPs")</f>
        <v>https://www.youtube.com/watch?v=F6OoW7hqnPs</v>
      </c>
      <c r="X446" s="82" t="s">
        <v>1857</v>
      </c>
      <c r="Y446" s="82">
        <v>0</v>
      </c>
      <c r="Z446" s="86">
        <v>45096.85907407408</v>
      </c>
      <c r="AA446" s="86">
        <v>45096.85907407408</v>
      </c>
      <c r="AB446" s="82"/>
      <c r="AC446" s="82"/>
      <c r="AD446" s="82"/>
      <c r="AE446" s="82">
        <v>1</v>
      </c>
      <c r="AF446" s="81">
        <v>5</v>
      </c>
      <c r="AG446" s="81">
        <v>5</v>
      </c>
      <c r="AH446" s="49">
        <v>6</v>
      </c>
      <c r="AI446" s="50">
        <v>6.25</v>
      </c>
      <c r="AJ446" s="49">
        <v>3</v>
      </c>
      <c r="AK446" s="50">
        <v>3.125</v>
      </c>
      <c r="AL446" s="49">
        <v>0</v>
      </c>
      <c r="AM446" s="50">
        <v>0</v>
      </c>
      <c r="AN446" s="49">
        <v>30</v>
      </c>
      <c r="AO446" s="50">
        <v>31.25</v>
      </c>
      <c r="AP446" s="49">
        <v>96</v>
      </c>
    </row>
    <row r="447" spans="1:42" ht="15">
      <c r="A447" s="66" t="s">
        <v>666</v>
      </c>
      <c r="B447" s="66" t="s">
        <v>668</v>
      </c>
      <c r="C447" s="67" t="s">
        <v>774</v>
      </c>
      <c r="D447" s="68">
        <v>3</v>
      </c>
      <c r="E447" s="69"/>
      <c r="F447" s="70">
        <v>40</v>
      </c>
      <c r="G447" s="67"/>
      <c r="H447" s="71"/>
      <c r="I447" s="72"/>
      <c r="J447" s="72"/>
      <c r="K447" s="35" t="s">
        <v>65</v>
      </c>
      <c r="L447" s="80">
        <v>447</v>
      </c>
      <c r="M447" s="80"/>
      <c r="N447" s="74"/>
      <c r="O447" s="82" t="s">
        <v>776</v>
      </c>
      <c r="P447" s="82" t="s">
        <v>197</v>
      </c>
      <c r="Q447" s="82" t="s">
        <v>1213</v>
      </c>
      <c r="R447" s="82" t="s">
        <v>666</v>
      </c>
      <c r="S447" s="82" t="s">
        <v>1736</v>
      </c>
      <c r="T447" s="84" t="str">
        <f>HYPERLINK("http://www.youtube.com/channel/UC3RbSovcnvfRVt5fqj4rr-Q")</f>
        <v>http://www.youtube.com/channel/UC3RbSovcnvfRVt5fqj4rr-Q</v>
      </c>
      <c r="U447" s="82"/>
      <c r="V447" s="82" t="s">
        <v>1839</v>
      </c>
      <c r="W447" s="84" t="str">
        <f>HYPERLINK("https://www.youtube.com/watch?v=F6OoW7hqnPs")</f>
        <v>https://www.youtube.com/watch?v=F6OoW7hqnPs</v>
      </c>
      <c r="X447" s="82" t="s">
        <v>1857</v>
      </c>
      <c r="Y447" s="82">
        <v>0</v>
      </c>
      <c r="Z447" s="86">
        <v>45096.95710648148</v>
      </c>
      <c r="AA447" s="86">
        <v>45096.95710648148</v>
      </c>
      <c r="AB447" s="82"/>
      <c r="AC447" s="82"/>
      <c r="AD447" s="82"/>
      <c r="AE447" s="82">
        <v>1</v>
      </c>
      <c r="AF447" s="81">
        <v>5</v>
      </c>
      <c r="AG447" s="81">
        <v>5</v>
      </c>
      <c r="AH447" s="49">
        <v>1</v>
      </c>
      <c r="AI447" s="110">
        <v>11.11111111111111</v>
      </c>
      <c r="AJ447" s="49">
        <v>0</v>
      </c>
      <c r="AK447" s="50">
        <v>0</v>
      </c>
      <c r="AL447" s="49">
        <v>0</v>
      </c>
      <c r="AM447" s="50">
        <v>0</v>
      </c>
      <c r="AN447" s="49">
        <v>1</v>
      </c>
      <c r="AO447" s="110">
        <v>11.11111111111111</v>
      </c>
      <c r="AP447" s="49">
        <v>9</v>
      </c>
    </row>
    <row r="448" spans="1:42" ht="15">
      <c r="A448" s="66" t="s">
        <v>667</v>
      </c>
      <c r="B448" s="66" t="s">
        <v>668</v>
      </c>
      <c r="C448" s="67" t="s">
        <v>774</v>
      </c>
      <c r="D448" s="68">
        <v>3</v>
      </c>
      <c r="E448" s="69"/>
      <c r="F448" s="70">
        <v>40</v>
      </c>
      <c r="G448" s="67"/>
      <c r="H448" s="71"/>
      <c r="I448" s="72"/>
      <c r="J448" s="72"/>
      <c r="K448" s="35" t="s">
        <v>65</v>
      </c>
      <c r="L448" s="80">
        <v>448</v>
      </c>
      <c r="M448" s="80"/>
      <c r="N448" s="74"/>
      <c r="O448" s="82" t="s">
        <v>776</v>
      </c>
      <c r="P448" s="82" t="s">
        <v>197</v>
      </c>
      <c r="Q448" s="82" t="s">
        <v>1214</v>
      </c>
      <c r="R448" s="82" t="s">
        <v>667</v>
      </c>
      <c r="S448" s="82" t="s">
        <v>1737</v>
      </c>
      <c r="T448" s="84" t="str">
        <f>HYPERLINK("http://www.youtube.com/channel/UCI6RmXqnjjOBp5-8ghsBJFw")</f>
        <v>http://www.youtube.com/channel/UCI6RmXqnjjOBp5-8ghsBJFw</v>
      </c>
      <c r="U448" s="82"/>
      <c r="V448" s="82" t="s">
        <v>1839</v>
      </c>
      <c r="W448" s="84" t="str">
        <f>HYPERLINK("https://www.youtube.com/watch?v=F6OoW7hqnPs")</f>
        <v>https://www.youtube.com/watch?v=F6OoW7hqnPs</v>
      </c>
      <c r="X448" s="82" t="s">
        <v>1857</v>
      </c>
      <c r="Y448" s="82">
        <v>0</v>
      </c>
      <c r="Z448" s="86">
        <v>45097.606041666666</v>
      </c>
      <c r="AA448" s="86">
        <v>45097.60711805556</v>
      </c>
      <c r="AB448" s="82"/>
      <c r="AC448" s="82"/>
      <c r="AD448" s="82"/>
      <c r="AE448" s="82">
        <v>1</v>
      </c>
      <c r="AF448" s="81">
        <v>5</v>
      </c>
      <c r="AG448" s="81">
        <v>5</v>
      </c>
      <c r="AH448" s="49">
        <v>2</v>
      </c>
      <c r="AI448" s="110">
        <v>4.081632653061225</v>
      </c>
      <c r="AJ448" s="49">
        <v>2</v>
      </c>
      <c r="AK448" s="110">
        <v>4.081632653061225</v>
      </c>
      <c r="AL448" s="49">
        <v>0</v>
      </c>
      <c r="AM448" s="50">
        <v>0</v>
      </c>
      <c r="AN448" s="49">
        <v>19</v>
      </c>
      <c r="AO448" s="110">
        <v>38.775510204081634</v>
      </c>
      <c r="AP448" s="49">
        <v>49</v>
      </c>
    </row>
    <row r="449" spans="1:42" ht="15">
      <c r="A449" s="66" t="s">
        <v>668</v>
      </c>
      <c r="B449" s="66" t="s">
        <v>668</v>
      </c>
      <c r="C449" s="67" t="s">
        <v>4788</v>
      </c>
      <c r="D449" s="68">
        <v>10</v>
      </c>
      <c r="E449" s="69"/>
      <c r="F449" s="70">
        <v>15</v>
      </c>
      <c r="G449" s="67"/>
      <c r="H449" s="71"/>
      <c r="I449" s="72"/>
      <c r="J449" s="72"/>
      <c r="K449" s="35" t="s">
        <v>65</v>
      </c>
      <c r="L449" s="80">
        <v>449</v>
      </c>
      <c r="M449" s="80"/>
      <c r="N449" s="74"/>
      <c r="O449" s="82" t="s">
        <v>777</v>
      </c>
      <c r="P449" s="82"/>
      <c r="Q449" s="82"/>
      <c r="R449" s="82"/>
      <c r="S449" s="82"/>
      <c r="T449" s="82"/>
      <c r="U449" s="82"/>
      <c r="V449" s="82" t="s">
        <v>1836</v>
      </c>
      <c r="W449" s="84" t="str">
        <f>HYPERLINK("https://www.youtube.com/watch?v=HeygX8UYhCA")</f>
        <v>https://www.youtube.com/watch?v=HeygX8UYhCA</v>
      </c>
      <c r="X449" s="82"/>
      <c r="Y449" s="82"/>
      <c r="Z449" s="86">
        <v>45178.1587037037</v>
      </c>
      <c r="AA449" s="82"/>
      <c r="AB449" s="82"/>
      <c r="AC449" s="82"/>
      <c r="AD449" s="82"/>
      <c r="AE449" s="82">
        <v>4</v>
      </c>
      <c r="AF449" s="81">
        <v>5</v>
      </c>
      <c r="AG449" s="81">
        <v>5</v>
      </c>
      <c r="AH449" s="49"/>
      <c r="AI449" s="50"/>
      <c r="AJ449" s="49"/>
      <c r="AK449" s="50"/>
      <c r="AL449" s="49"/>
      <c r="AM449" s="50"/>
      <c r="AN449" s="49"/>
      <c r="AO449" s="50"/>
      <c r="AP449" s="49"/>
    </row>
    <row r="450" spans="1:42" ht="15">
      <c r="A450" s="66" t="s">
        <v>669</v>
      </c>
      <c r="B450" s="66" t="s">
        <v>668</v>
      </c>
      <c r="C450" s="67" t="s">
        <v>774</v>
      </c>
      <c r="D450" s="68">
        <v>3</v>
      </c>
      <c r="E450" s="69"/>
      <c r="F450" s="70">
        <v>40</v>
      </c>
      <c r="G450" s="67"/>
      <c r="H450" s="71"/>
      <c r="I450" s="72"/>
      <c r="J450" s="72"/>
      <c r="K450" s="35" t="s">
        <v>65</v>
      </c>
      <c r="L450" s="80">
        <v>450</v>
      </c>
      <c r="M450" s="80"/>
      <c r="N450" s="74"/>
      <c r="O450" s="82" t="s">
        <v>776</v>
      </c>
      <c r="P450" s="82" t="s">
        <v>197</v>
      </c>
      <c r="Q450" s="82" t="s">
        <v>1215</v>
      </c>
      <c r="R450" s="82" t="s">
        <v>669</v>
      </c>
      <c r="S450" s="82" t="s">
        <v>1738</v>
      </c>
      <c r="T450" s="84" t="str">
        <f>HYPERLINK("http://www.youtube.com/channel/UC67ByJZceqEg7ZdPJHpNMVA")</f>
        <v>http://www.youtube.com/channel/UC67ByJZceqEg7ZdPJHpNMVA</v>
      </c>
      <c r="U450" s="82"/>
      <c r="V450" s="82" t="s">
        <v>1839</v>
      </c>
      <c r="W450" s="84" t="str">
        <f>HYPERLINK("https://www.youtube.com/watch?v=F6OoW7hqnPs")</f>
        <v>https://www.youtube.com/watch?v=F6OoW7hqnPs</v>
      </c>
      <c r="X450" s="82" t="s">
        <v>1857</v>
      </c>
      <c r="Y450" s="82">
        <v>0</v>
      </c>
      <c r="Z450" s="86">
        <v>45101.5325</v>
      </c>
      <c r="AA450" s="86">
        <v>45101.5325</v>
      </c>
      <c r="AB450" s="82"/>
      <c r="AC450" s="82"/>
      <c r="AD450" s="82"/>
      <c r="AE450" s="82">
        <v>1</v>
      </c>
      <c r="AF450" s="81">
        <v>5</v>
      </c>
      <c r="AG450" s="81">
        <v>5</v>
      </c>
      <c r="AH450" s="49">
        <v>1</v>
      </c>
      <c r="AI450" s="110">
        <v>3.4482758620689653</v>
      </c>
      <c r="AJ450" s="49">
        <v>0</v>
      </c>
      <c r="AK450" s="50">
        <v>0</v>
      </c>
      <c r="AL450" s="49">
        <v>0</v>
      </c>
      <c r="AM450" s="50">
        <v>0</v>
      </c>
      <c r="AN450" s="49">
        <v>11</v>
      </c>
      <c r="AO450" s="110">
        <v>37.93103448275862</v>
      </c>
      <c r="AP450" s="49">
        <v>29</v>
      </c>
    </row>
    <row r="451" spans="1:42" ht="15">
      <c r="A451" s="66" t="s">
        <v>670</v>
      </c>
      <c r="B451" s="66" t="s">
        <v>680</v>
      </c>
      <c r="C451" s="67" t="s">
        <v>774</v>
      </c>
      <c r="D451" s="68">
        <v>3</v>
      </c>
      <c r="E451" s="69"/>
      <c r="F451" s="70">
        <v>40</v>
      </c>
      <c r="G451" s="67"/>
      <c r="H451" s="71"/>
      <c r="I451" s="72"/>
      <c r="J451" s="72"/>
      <c r="K451" s="35" t="s">
        <v>65</v>
      </c>
      <c r="L451" s="80">
        <v>451</v>
      </c>
      <c r="M451" s="80"/>
      <c r="N451" s="74"/>
      <c r="O451" s="82" t="s">
        <v>776</v>
      </c>
      <c r="P451" s="82" t="s">
        <v>197</v>
      </c>
      <c r="Q451" s="82" t="s">
        <v>1216</v>
      </c>
      <c r="R451" s="82" t="s">
        <v>670</v>
      </c>
      <c r="S451" s="82" t="s">
        <v>1739</v>
      </c>
      <c r="T451" s="84" t="str">
        <f>HYPERLINK("http://www.youtube.com/channel/UCcjLqsXt8IZJ9tgdC417Jog")</f>
        <v>http://www.youtube.com/channel/UCcjLqsXt8IZJ9tgdC417Jog</v>
      </c>
      <c r="U451" s="82"/>
      <c r="V451" s="82" t="s">
        <v>1840</v>
      </c>
      <c r="W451" s="84" t="str">
        <f>HYPERLINK("https://www.youtube.com/watch?v=6YhlYu70uNA")</f>
        <v>https://www.youtube.com/watch?v=6YhlYu70uNA</v>
      </c>
      <c r="X451" s="82" t="s">
        <v>1857</v>
      </c>
      <c r="Y451" s="82">
        <v>0</v>
      </c>
      <c r="Z451" s="86">
        <v>44901.03173611111</v>
      </c>
      <c r="AA451" s="86">
        <v>44901.03173611111</v>
      </c>
      <c r="AB451" s="82" t="s">
        <v>1859</v>
      </c>
      <c r="AC451" s="82" t="s">
        <v>1862</v>
      </c>
      <c r="AD451" s="82"/>
      <c r="AE451" s="82">
        <v>1</v>
      </c>
      <c r="AF451" s="81">
        <v>7</v>
      </c>
      <c r="AG451" s="81">
        <v>7</v>
      </c>
      <c r="AH451" s="49">
        <v>3</v>
      </c>
      <c r="AI451" s="110">
        <v>1.6853932584269662</v>
      </c>
      <c r="AJ451" s="49">
        <v>4</v>
      </c>
      <c r="AK451" s="110">
        <v>2.247191011235955</v>
      </c>
      <c r="AL451" s="49">
        <v>0</v>
      </c>
      <c r="AM451" s="50">
        <v>0</v>
      </c>
      <c r="AN451" s="49">
        <v>53</v>
      </c>
      <c r="AO451" s="110">
        <v>29.775280898876403</v>
      </c>
      <c r="AP451" s="49">
        <v>178</v>
      </c>
    </row>
    <row r="452" spans="1:42" ht="15">
      <c r="A452" s="66" t="s">
        <v>671</v>
      </c>
      <c r="B452" s="66" t="s">
        <v>680</v>
      </c>
      <c r="C452" s="67" t="s">
        <v>774</v>
      </c>
      <c r="D452" s="68">
        <v>3</v>
      </c>
      <c r="E452" s="69"/>
      <c r="F452" s="70">
        <v>40</v>
      </c>
      <c r="G452" s="67"/>
      <c r="H452" s="71"/>
      <c r="I452" s="72"/>
      <c r="J452" s="72"/>
      <c r="K452" s="35" t="s">
        <v>65</v>
      </c>
      <c r="L452" s="80">
        <v>452</v>
      </c>
      <c r="M452" s="80"/>
      <c r="N452" s="74"/>
      <c r="O452" s="82" t="s">
        <v>776</v>
      </c>
      <c r="P452" s="82" t="s">
        <v>197</v>
      </c>
      <c r="Q452" s="82" t="s">
        <v>1217</v>
      </c>
      <c r="R452" s="82" t="s">
        <v>671</v>
      </c>
      <c r="S452" s="82" t="s">
        <v>1740</v>
      </c>
      <c r="T452" s="84" t="str">
        <f>HYPERLINK("http://www.youtube.com/channel/UCNKCltKyRNk_ojLGPYcHQhQ")</f>
        <v>http://www.youtube.com/channel/UCNKCltKyRNk_ojLGPYcHQhQ</v>
      </c>
      <c r="U452" s="82"/>
      <c r="V452" s="82" t="s">
        <v>1840</v>
      </c>
      <c r="W452" s="84" t="str">
        <f>HYPERLINK("https://www.youtube.com/watch?v=6YhlYu70uNA")</f>
        <v>https://www.youtube.com/watch?v=6YhlYu70uNA</v>
      </c>
      <c r="X452" s="82" t="s">
        <v>1857</v>
      </c>
      <c r="Y452" s="82">
        <v>0</v>
      </c>
      <c r="Z452" s="86">
        <v>44908.448854166665</v>
      </c>
      <c r="AA452" s="86">
        <v>44908.448854166665</v>
      </c>
      <c r="AB452" s="82"/>
      <c r="AC452" s="82"/>
      <c r="AD452" s="82"/>
      <c r="AE452" s="82">
        <v>1</v>
      </c>
      <c r="AF452" s="81">
        <v>7</v>
      </c>
      <c r="AG452" s="81">
        <v>7</v>
      </c>
      <c r="AH452" s="49">
        <v>1</v>
      </c>
      <c r="AI452" s="50">
        <v>3.125</v>
      </c>
      <c r="AJ452" s="49">
        <v>0</v>
      </c>
      <c r="AK452" s="50">
        <v>0</v>
      </c>
      <c r="AL452" s="49">
        <v>0</v>
      </c>
      <c r="AM452" s="50">
        <v>0</v>
      </c>
      <c r="AN452" s="49">
        <v>11</v>
      </c>
      <c r="AO452" s="50">
        <v>34.375</v>
      </c>
      <c r="AP452" s="49">
        <v>32</v>
      </c>
    </row>
    <row r="453" spans="1:42" ht="15">
      <c r="A453" s="66" t="s">
        <v>672</v>
      </c>
      <c r="B453" s="66" t="s">
        <v>680</v>
      </c>
      <c r="C453" s="67" t="s">
        <v>774</v>
      </c>
      <c r="D453" s="68">
        <v>3</v>
      </c>
      <c r="E453" s="69"/>
      <c r="F453" s="70">
        <v>40</v>
      </c>
      <c r="G453" s="67"/>
      <c r="H453" s="71"/>
      <c r="I453" s="72"/>
      <c r="J453" s="72"/>
      <c r="K453" s="35" t="s">
        <v>65</v>
      </c>
      <c r="L453" s="80">
        <v>453</v>
      </c>
      <c r="M453" s="80"/>
      <c r="N453" s="74"/>
      <c r="O453" s="82" t="s">
        <v>776</v>
      </c>
      <c r="P453" s="82" t="s">
        <v>197</v>
      </c>
      <c r="Q453" s="82" t="s">
        <v>1218</v>
      </c>
      <c r="R453" s="82" t="s">
        <v>672</v>
      </c>
      <c r="S453" s="82" t="s">
        <v>1741</v>
      </c>
      <c r="T453" s="84" t="str">
        <f>HYPERLINK("http://www.youtube.com/channel/UC1gWGhsNOQWLmz6yxaxjg9w")</f>
        <v>http://www.youtube.com/channel/UC1gWGhsNOQWLmz6yxaxjg9w</v>
      </c>
      <c r="U453" s="82"/>
      <c r="V453" s="82" t="s">
        <v>1840</v>
      </c>
      <c r="W453" s="84" t="str">
        <f>HYPERLINK("https://www.youtube.com/watch?v=6YhlYu70uNA")</f>
        <v>https://www.youtube.com/watch?v=6YhlYu70uNA</v>
      </c>
      <c r="X453" s="82" t="s">
        <v>1857</v>
      </c>
      <c r="Y453" s="82">
        <v>0</v>
      </c>
      <c r="Z453" s="86">
        <v>44947.58763888889</v>
      </c>
      <c r="AA453" s="86">
        <v>44947.58763888889</v>
      </c>
      <c r="AB453" s="82"/>
      <c r="AC453" s="82"/>
      <c r="AD453" s="82"/>
      <c r="AE453" s="82">
        <v>1</v>
      </c>
      <c r="AF453" s="81">
        <v>7</v>
      </c>
      <c r="AG453" s="81">
        <v>7</v>
      </c>
      <c r="AH453" s="49">
        <v>1</v>
      </c>
      <c r="AI453" s="110">
        <v>7.142857142857143</v>
      </c>
      <c r="AJ453" s="49">
        <v>2</v>
      </c>
      <c r="AK453" s="110">
        <v>14.285714285714286</v>
      </c>
      <c r="AL453" s="49">
        <v>0</v>
      </c>
      <c r="AM453" s="50">
        <v>0</v>
      </c>
      <c r="AN453" s="49">
        <v>5</v>
      </c>
      <c r="AO453" s="110">
        <v>35.714285714285715</v>
      </c>
      <c r="AP453" s="49">
        <v>14</v>
      </c>
    </row>
    <row r="454" spans="1:42" ht="15">
      <c r="A454" s="66" t="s">
        <v>673</v>
      </c>
      <c r="B454" s="66" t="s">
        <v>680</v>
      </c>
      <c r="C454" s="67" t="s">
        <v>774</v>
      </c>
      <c r="D454" s="68">
        <v>3</v>
      </c>
      <c r="E454" s="69"/>
      <c r="F454" s="70">
        <v>40</v>
      </c>
      <c r="G454" s="67"/>
      <c r="H454" s="71"/>
      <c r="I454" s="72"/>
      <c r="J454" s="72"/>
      <c r="K454" s="35" t="s">
        <v>65</v>
      </c>
      <c r="L454" s="80">
        <v>454</v>
      </c>
      <c r="M454" s="80"/>
      <c r="N454" s="74"/>
      <c r="O454" s="82" t="s">
        <v>776</v>
      </c>
      <c r="P454" s="82" t="s">
        <v>197</v>
      </c>
      <c r="Q454" s="82" t="s">
        <v>1219</v>
      </c>
      <c r="R454" s="82" t="s">
        <v>673</v>
      </c>
      <c r="S454" s="82" t="s">
        <v>1742</v>
      </c>
      <c r="T454" s="84" t="str">
        <f>HYPERLINK("http://www.youtube.com/channel/UCLBBTXyFkcZf-pYdsD1yuJg")</f>
        <v>http://www.youtube.com/channel/UCLBBTXyFkcZf-pYdsD1yuJg</v>
      </c>
      <c r="U454" s="82"/>
      <c r="V454" s="82" t="s">
        <v>1840</v>
      </c>
      <c r="W454" s="84" t="str">
        <f>HYPERLINK("https://www.youtube.com/watch?v=6YhlYu70uNA")</f>
        <v>https://www.youtube.com/watch?v=6YhlYu70uNA</v>
      </c>
      <c r="X454" s="82" t="s">
        <v>1857</v>
      </c>
      <c r="Y454" s="82">
        <v>0</v>
      </c>
      <c r="Z454" s="86">
        <v>44948.08084490741</v>
      </c>
      <c r="AA454" s="86">
        <v>44948.08084490741</v>
      </c>
      <c r="AB454" s="82"/>
      <c r="AC454" s="82"/>
      <c r="AD454" s="82"/>
      <c r="AE454" s="82">
        <v>1</v>
      </c>
      <c r="AF454" s="81">
        <v>7</v>
      </c>
      <c r="AG454" s="81">
        <v>7</v>
      </c>
      <c r="AH454" s="49">
        <v>0</v>
      </c>
      <c r="AI454" s="50">
        <v>0</v>
      </c>
      <c r="AJ454" s="49">
        <v>0</v>
      </c>
      <c r="AK454" s="50">
        <v>0</v>
      </c>
      <c r="AL454" s="49">
        <v>0</v>
      </c>
      <c r="AM454" s="50">
        <v>0</v>
      </c>
      <c r="AN454" s="49">
        <v>7</v>
      </c>
      <c r="AO454" s="110">
        <v>63.63636363636363</v>
      </c>
      <c r="AP454" s="49">
        <v>11</v>
      </c>
    </row>
    <row r="455" spans="1:42" ht="15">
      <c r="A455" s="66" t="s">
        <v>674</v>
      </c>
      <c r="B455" s="66" t="s">
        <v>680</v>
      </c>
      <c r="C455" s="67" t="s">
        <v>774</v>
      </c>
      <c r="D455" s="68">
        <v>3</v>
      </c>
      <c r="E455" s="69"/>
      <c r="F455" s="70">
        <v>40</v>
      </c>
      <c r="G455" s="67"/>
      <c r="H455" s="71"/>
      <c r="I455" s="72"/>
      <c r="J455" s="72"/>
      <c r="K455" s="35" t="s">
        <v>65</v>
      </c>
      <c r="L455" s="80">
        <v>455</v>
      </c>
      <c r="M455" s="80"/>
      <c r="N455" s="74"/>
      <c r="O455" s="82" t="s">
        <v>776</v>
      </c>
      <c r="P455" s="82" t="s">
        <v>197</v>
      </c>
      <c r="Q455" s="82" t="s">
        <v>1220</v>
      </c>
      <c r="R455" s="82" t="s">
        <v>674</v>
      </c>
      <c r="S455" s="82" t="s">
        <v>1743</v>
      </c>
      <c r="T455" s="84" t="str">
        <f>HYPERLINK("http://www.youtube.com/channel/UCqDUQ46mjsmQ_q-3qCiz2Kw")</f>
        <v>http://www.youtube.com/channel/UCqDUQ46mjsmQ_q-3qCiz2Kw</v>
      </c>
      <c r="U455" s="82"/>
      <c r="V455" s="82" t="s">
        <v>1840</v>
      </c>
      <c r="W455" s="84" t="str">
        <f>HYPERLINK("https://www.youtube.com/watch?v=6YhlYu70uNA")</f>
        <v>https://www.youtube.com/watch?v=6YhlYu70uNA</v>
      </c>
      <c r="X455" s="82" t="s">
        <v>1857</v>
      </c>
      <c r="Y455" s="82">
        <v>1</v>
      </c>
      <c r="Z455" s="86">
        <v>44979.647685185184</v>
      </c>
      <c r="AA455" s="86">
        <v>44979.647685185184</v>
      </c>
      <c r="AB455" s="82"/>
      <c r="AC455" s="82"/>
      <c r="AD455" s="82"/>
      <c r="AE455" s="82">
        <v>1</v>
      </c>
      <c r="AF455" s="81">
        <v>7</v>
      </c>
      <c r="AG455" s="81">
        <v>7</v>
      </c>
      <c r="AH455" s="49">
        <v>0</v>
      </c>
      <c r="AI455" s="50">
        <v>0</v>
      </c>
      <c r="AJ455" s="49">
        <v>0</v>
      </c>
      <c r="AK455" s="50">
        <v>0</v>
      </c>
      <c r="AL455" s="49">
        <v>0</v>
      </c>
      <c r="AM455" s="50">
        <v>0</v>
      </c>
      <c r="AN455" s="49">
        <v>7</v>
      </c>
      <c r="AO455" s="110">
        <v>36.8421052631579</v>
      </c>
      <c r="AP455" s="49">
        <v>19</v>
      </c>
    </row>
    <row r="456" spans="1:42" ht="15">
      <c r="A456" s="66" t="s">
        <v>675</v>
      </c>
      <c r="B456" s="66" t="s">
        <v>680</v>
      </c>
      <c r="C456" s="67" t="s">
        <v>774</v>
      </c>
      <c r="D456" s="68">
        <v>3</v>
      </c>
      <c r="E456" s="69"/>
      <c r="F456" s="70">
        <v>40</v>
      </c>
      <c r="G456" s="67"/>
      <c r="H456" s="71"/>
      <c r="I456" s="72"/>
      <c r="J456" s="72"/>
      <c r="K456" s="35" t="s">
        <v>65</v>
      </c>
      <c r="L456" s="80">
        <v>456</v>
      </c>
      <c r="M456" s="80"/>
      <c r="N456" s="74"/>
      <c r="O456" s="82" t="s">
        <v>776</v>
      </c>
      <c r="P456" s="82" t="s">
        <v>197</v>
      </c>
      <c r="Q456" s="82" t="s">
        <v>1221</v>
      </c>
      <c r="R456" s="82" t="s">
        <v>675</v>
      </c>
      <c r="S456" s="82" t="s">
        <v>1744</v>
      </c>
      <c r="T456" s="84" t="str">
        <f>HYPERLINK("http://www.youtube.com/channel/UC1xRO5b_pOmY1lMSKUCNpQA")</f>
        <v>http://www.youtube.com/channel/UC1xRO5b_pOmY1lMSKUCNpQA</v>
      </c>
      <c r="U456" s="82"/>
      <c r="V456" s="82" t="s">
        <v>1840</v>
      </c>
      <c r="W456" s="84" t="str">
        <f>HYPERLINK("https://www.youtube.com/watch?v=6YhlYu70uNA")</f>
        <v>https://www.youtube.com/watch?v=6YhlYu70uNA</v>
      </c>
      <c r="X456" s="82" t="s">
        <v>1857</v>
      </c>
      <c r="Y456" s="82">
        <v>0</v>
      </c>
      <c r="Z456" s="86">
        <v>45020.14202546296</v>
      </c>
      <c r="AA456" s="86">
        <v>45020.14202546296</v>
      </c>
      <c r="AB456" s="82"/>
      <c r="AC456" s="82"/>
      <c r="AD456" s="82"/>
      <c r="AE456" s="82">
        <v>1</v>
      </c>
      <c r="AF456" s="81">
        <v>7</v>
      </c>
      <c r="AG456" s="81">
        <v>7</v>
      </c>
      <c r="AH456" s="49">
        <v>1</v>
      </c>
      <c r="AI456" s="110">
        <v>9.090909090909092</v>
      </c>
      <c r="AJ456" s="49">
        <v>0</v>
      </c>
      <c r="AK456" s="50">
        <v>0</v>
      </c>
      <c r="AL456" s="49">
        <v>0</v>
      </c>
      <c r="AM456" s="50">
        <v>0</v>
      </c>
      <c r="AN456" s="49">
        <v>6</v>
      </c>
      <c r="AO456" s="110">
        <v>54.54545454545455</v>
      </c>
      <c r="AP456" s="49">
        <v>11</v>
      </c>
    </row>
    <row r="457" spans="1:42" ht="15">
      <c r="A457" s="66" t="s">
        <v>676</v>
      </c>
      <c r="B457" s="66" t="s">
        <v>680</v>
      </c>
      <c r="C457" s="67" t="s">
        <v>774</v>
      </c>
      <c r="D457" s="68">
        <v>3</v>
      </c>
      <c r="E457" s="69"/>
      <c r="F457" s="70">
        <v>40</v>
      </c>
      <c r="G457" s="67"/>
      <c r="H457" s="71"/>
      <c r="I457" s="72"/>
      <c r="J457" s="72"/>
      <c r="K457" s="35" t="s">
        <v>65</v>
      </c>
      <c r="L457" s="80">
        <v>457</v>
      </c>
      <c r="M457" s="80"/>
      <c r="N457" s="74"/>
      <c r="O457" s="82" t="s">
        <v>776</v>
      </c>
      <c r="P457" s="82" t="s">
        <v>197</v>
      </c>
      <c r="Q457" s="82" t="s">
        <v>1222</v>
      </c>
      <c r="R457" s="82" t="s">
        <v>676</v>
      </c>
      <c r="S457" s="82" t="s">
        <v>1745</v>
      </c>
      <c r="T457" s="84" t="str">
        <f>HYPERLINK("http://www.youtube.com/channel/UCgU61elVyVxGxkkji2CC48w")</f>
        <v>http://www.youtube.com/channel/UCgU61elVyVxGxkkji2CC48w</v>
      </c>
      <c r="U457" s="82"/>
      <c r="V457" s="82" t="s">
        <v>1840</v>
      </c>
      <c r="W457" s="84" t="str">
        <f>HYPERLINK("https://www.youtube.com/watch?v=6YhlYu70uNA")</f>
        <v>https://www.youtube.com/watch?v=6YhlYu70uNA</v>
      </c>
      <c r="X457" s="82" t="s">
        <v>1857</v>
      </c>
      <c r="Y457" s="82">
        <v>1</v>
      </c>
      <c r="Z457" s="86">
        <v>45033.61140046296</v>
      </c>
      <c r="AA457" s="86">
        <v>45033.61140046296</v>
      </c>
      <c r="AB457" s="82"/>
      <c r="AC457" s="82"/>
      <c r="AD457" s="82"/>
      <c r="AE457" s="82">
        <v>1</v>
      </c>
      <c r="AF457" s="81">
        <v>7</v>
      </c>
      <c r="AG457" s="81">
        <v>7</v>
      </c>
      <c r="AH457" s="49">
        <v>0</v>
      </c>
      <c r="AI457" s="50">
        <v>0</v>
      </c>
      <c r="AJ457" s="49">
        <v>0</v>
      </c>
      <c r="AK457" s="50">
        <v>0</v>
      </c>
      <c r="AL457" s="49">
        <v>0</v>
      </c>
      <c r="AM457" s="50">
        <v>0</v>
      </c>
      <c r="AN457" s="49">
        <v>4</v>
      </c>
      <c r="AO457" s="50">
        <v>40</v>
      </c>
      <c r="AP457" s="49">
        <v>10</v>
      </c>
    </row>
    <row r="458" spans="1:42" ht="15">
      <c r="A458" s="66" t="s">
        <v>677</v>
      </c>
      <c r="B458" s="66" t="s">
        <v>680</v>
      </c>
      <c r="C458" s="67" t="s">
        <v>774</v>
      </c>
      <c r="D458" s="68">
        <v>3</v>
      </c>
      <c r="E458" s="69"/>
      <c r="F458" s="70">
        <v>40</v>
      </c>
      <c r="G458" s="67"/>
      <c r="H458" s="71"/>
      <c r="I458" s="72"/>
      <c r="J458" s="72"/>
      <c r="K458" s="35" t="s">
        <v>65</v>
      </c>
      <c r="L458" s="80">
        <v>458</v>
      </c>
      <c r="M458" s="80"/>
      <c r="N458" s="74"/>
      <c r="O458" s="82" t="s">
        <v>776</v>
      </c>
      <c r="P458" s="82" t="s">
        <v>197</v>
      </c>
      <c r="Q458" s="82" t="s">
        <v>1223</v>
      </c>
      <c r="R458" s="82" t="s">
        <v>677</v>
      </c>
      <c r="S458" s="82" t="s">
        <v>1746</v>
      </c>
      <c r="T458" s="84" t="str">
        <f>HYPERLINK("http://www.youtube.com/channel/UCjOfdA1KzgHwW4zsFMZmALw")</f>
        <v>http://www.youtube.com/channel/UCjOfdA1KzgHwW4zsFMZmALw</v>
      </c>
      <c r="U458" s="82"/>
      <c r="V458" s="82" t="s">
        <v>1840</v>
      </c>
      <c r="W458" s="84" t="str">
        <f>HYPERLINK("https://www.youtube.com/watch?v=6YhlYu70uNA")</f>
        <v>https://www.youtube.com/watch?v=6YhlYu70uNA</v>
      </c>
      <c r="X458" s="82" t="s">
        <v>1857</v>
      </c>
      <c r="Y458" s="82">
        <v>0</v>
      </c>
      <c r="Z458" s="86">
        <v>45034.919270833336</v>
      </c>
      <c r="AA458" s="86">
        <v>45034.919270833336</v>
      </c>
      <c r="AB458" s="82"/>
      <c r="AC458" s="82"/>
      <c r="AD458" s="82"/>
      <c r="AE458" s="82">
        <v>1</v>
      </c>
      <c r="AF458" s="81">
        <v>7</v>
      </c>
      <c r="AG458" s="81">
        <v>7</v>
      </c>
      <c r="AH458" s="49">
        <v>0</v>
      </c>
      <c r="AI458" s="50">
        <v>0</v>
      </c>
      <c r="AJ458" s="49">
        <v>1</v>
      </c>
      <c r="AK458" s="110">
        <v>3.4482758620689653</v>
      </c>
      <c r="AL458" s="49">
        <v>0</v>
      </c>
      <c r="AM458" s="50">
        <v>0</v>
      </c>
      <c r="AN458" s="49">
        <v>4</v>
      </c>
      <c r="AO458" s="110">
        <v>13.793103448275861</v>
      </c>
      <c r="AP458" s="49">
        <v>29</v>
      </c>
    </row>
    <row r="459" spans="1:42" ht="15">
      <c r="A459" s="66" t="s">
        <v>678</v>
      </c>
      <c r="B459" s="66" t="s">
        <v>680</v>
      </c>
      <c r="C459" s="67" t="s">
        <v>774</v>
      </c>
      <c r="D459" s="68">
        <v>3</v>
      </c>
      <c r="E459" s="69"/>
      <c r="F459" s="70">
        <v>40</v>
      </c>
      <c r="G459" s="67"/>
      <c r="H459" s="71"/>
      <c r="I459" s="72"/>
      <c r="J459" s="72"/>
      <c r="K459" s="35" t="s">
        <v>65</v>
      </c>
      <c r="L459" s="80">
        <v>459</v>
      </c>
      <c r="M459" s="80"/>
      <c r="N459" s="74"/>
      <c r="O459" s="82" t="s">
        <v>776</v>
      </c>
      <c r="P459" s="82" t="s">
        <v>197</v>
      </c>
      <c r="Q459" s="82" t="s">
        <v>1224</v>
      </c>
      <c r="R459" s="82" t="s">
        <v>678</v>
      </c>
      <c r="S459" s="82" t="s">
        <v>1747</v>
      </c>
      <c r="T459" s="84" t="str">
        <f>HYPERLINK("http://www.youtube.com/channel/UCcndhjlrsFV4Yr29aBFo9Uw")</f>
        <v>http://www.youtube.com/channel/UCcndhjlrsFV4Yr29aBFo9Uw</v>
      </c>
      <c r="U459" s="82"/>
      <c r="V459" s="82" t="s">
        <v>1840</v>
      </c>
      <c r="W459" s="84" t="str">
        <f>HYPERLINK("https://www.youtube.com/watch?v=6YhlYu70uNA")</f>
        <v>https://www.youtube.com/watch?v=6YhlYu70uNA</v>
      </c>
      <c r="X459" s="82" t="s">
        <v>1857</v>
      </c>
      <c r="Y459" s="82">
        <v>0</v>
      </c>
      <c r="Z459" s="86">
        <v>45049.03957175926</v>
      </c>
      <c r="AA459" s="86">
        <v>45049.03957175926</v>
      </c>
      <c r="AB459" s="82"/>
      <c r="AC459" s="82"/>
      <c r="AD459" s="82"/>
      <c r="AE459" s="82">
        <v>1</v>
      </c>
      <c r="AF459" s="81">
        <v>7</v>
      </c>
      <c r="AG459" s="81">
        <v>7</v>
      </c>
      <c r="AH459" s="49">
        <v>0</v>
      </c>
      <c r="AI459" s="50">
        <v>0</v>
      </c>
      <c r="AJ459" s="49">
        <v>0</v>
      </c>
      <c r="AK459" s="50">
        <v>0</v>
      </c>
      <c r="AL459" s="49">
        <v>0</v>
      </c>
      <c r="AM459" s="50">
        <v>0</v>
      </c>
      <c r="AN459" s="49">
        <v>3</v>
      </c>
      <c r="AO459" s="50">
        <v>30</v>
      </c>
      <c r="AP459" s="49">
        <v>10</v>
      </c>
    </row>
    <row r="460" spans="1:42" ht="15">
      <c r="A460" s="66" t="s">
        <v>679</v>
      </c>
      <c r="B460" s="66" t="s">
        <v>680</v>
      </c>
      <c r="C460" s="67" t="s">
        <v>774</v>
      </c>
      <c r="D460" s="68">
        <v>3</v>
      </c>
      <c r="E460" s="69"/>
      <c r="F460" s="70">
        <v>40</v>
      </c>
      <c r="G460" s="67"/>
      <c r="H460" s="71"/>
      <c r="I460" s="72"/>
      <c r="J460" s="72"/>
      <c r="K460" s="35" t="s">
        <v>65</v>
      </c>
      <c r="L460" s="80">
        <v>460</v>
      </c>
      <c r="M460" s="80"/>
      <c r="N460" s="74"/>
      <c r="O460" s="82" t="s">
        <v>776</v>
      </c>
      <c r="P460" s="82" t="s">
        <v>197</v>
      </c>
      <c r="Q460" s="82" t="s">
        <v>1225</v>
      </c>
      <c r="R460" s="82" t="s">
        <v>679</v>
      </c>
      <c r="S460" s="82" t="s">
        <v>1748</v>
      </c>
      <c r="T460" s="84" t="str">
        <f>HYPERLINK("http://www.youtube.com/channel/UCRZy7IXMuEE1OEeTLkvmlfw")</f>
        <v>http://www.youtube.com/channel/UCRZy7IXMuEE1OEeTLkvmlfw</v>
      </c>
      <c r="U460" s="82"/>
      <c r="V460" s="82" t="s">
        <v>1840</v>
      </c>
      <c r="W460" s="84" t="str">
        <f>HYPERLINK("https://www.youtube.com/watch?v=6YhlYu70uNA")</f>
        <v>https://www.youtube.com/watch?v=6YhlYu70uNA</v>
      </c>
      <c r="X460" s="82" t="s">
        <v>1857</v>
      </c>
      <c r="Y460" s="82">
        <v>0</v>
      </c>
      <c r="Z460" s="86">
        <v>45085.335324074076</v>
      </c>
      <c r="AA460" s="86">
        <v>45085.335324074076</v>
      </c>
      <c r="AB460" s="82"/>
      <c r="AC460" s="82"/>
      <c r="AD460" s="82"/>
      <c r="AE460" s="82">
        <v>1</v>
      </c>
      <c r="AF460" s="81">
        <v>7</v>
      </c>
      <c r="AG460" s="81">
        <v>7</v>
      </c>
      <c r="AH460" s="49">
        <v>0</v>
      </c>
      <c r="AI460" s="50">
        <v>0</v>
      </c>
      <c r="AJ460" s="49">
        <v>0</v>
      </c>
      <c r="AK460" s="50">
        <v>0</v>
      </c>
      <c r="AL460" s="49">
        <v>0</v>
      </c>
      <c r="AM460" s="50">
        <v>0</v>
      </c>
      <c r="AN460" s="49">
        <v>4</v>
      </c>
      <c r="AO460" s="50">
        <v>50</v>
      </c>
      <c r="AP460" s="49">
        <v>8</v>
      </c>
    </row>
    <row r="461" spans="1:42" ht="15">
      <c r="A461" s="66" t="s">
        <v>680</v>
      </c>
      <c r="B461" s="66" t="s">
        <v>680</v>
      </c>
      <c r="C461" s="67" t="s">
        <v>774</v>
      </c>
      <c r="D461" s="68">
        <v>3</v>
      </c>
      <c r="E461" s="69"/>
      <c r="F461" s="70">
        <v>40</v>
      </c>
      <c r="G461" s="67"/>
      <c r="H461" s="71"/>
      <c r="I461" s="72"/>
      <c r="J461" s="72"/>
      <c r="K461" s="35" t="s">
        <v>65</v>
      </c>
      <c r="L461" s="80">
        <v>461</v>
      </c>
      <c r="M461" s="80"/>
      <c r="N461" s="74"/>
      <c r="O461" s="82" t="s">
        <v>777</v>
      </c>
      <c r="P461" s="82"/>
      <c r="Q461" s="82"/>
      <c r="R461" s="82"/>
      <c r="S461" s="82"/>
      <c r="T461" s="82"/>
      <c r="U461" s="82"/>
      <c r="V461" s="82" t="s">
        <v>1840</v>
      </c>
      <c r="W461" s="84" t="str">
        <f>HYPERLINK("https://www.youtube.com/watch?v=6YhlYu70uNA")</f>
        <v>https://www.youtube.com/watch?v=6YhlYu70uNA</v>
      </c>
      <c r="X461" s="82"/>
      <c r="Y461" s="82"/>
      <c r="Z461" s="86">
        <v>44869.88211805555</v>
      </c>
      <c r="AA461" s="82"/>
      <c r="AB461" s="82"/>
      <c r="AC461" s="82"/>
      <c r="AD461" s="82"/>
      <c r="AE461" s="82">
        <v>1</v>
      </c>
      <c r="AF461" s="81">
        <v>7</v>
      </c>
      <c r="AG461" s="81">
        <v>7</v>
      </c>
      <c r="AH461" s="49"/>
      <c r="AI461" s="50"/>
      <c r="AJ461" s="49"/>
      <c r="AK461" s="50"/>
      <c r="AL461" s="49"/>
      <c r="AM461" s="50"/>
      <c r="AN461" s="49"/>
      <c r="AO461" s="50"/>
      <c r="AP461" s="49"/>
    </row>
    <row r="462" spans="1:42" ht="15">
      <c r="A462" s="66" t="s">
        <v>681</v>
      </c>
      <c r="B462" s="66" t="s">
        <v>680</v>
      </c>
      <c r="C462" s="67" t="s">
        <v>774</v>
      </c>
      <c r="D462" s="68">
        <v>3</v>
      </c>
      <c r="E462" s="69"/>
      <c r="F462" s="70">
        <v>40</v>
      </c>
      <c r="G462" s="67"/>
      <c r="H462" s="71"/>
      <c r="I462" s="72"/>
      <c r="J462" s="72"/>
      <c r="K462" s="35" t="s">
        <v>65</v>
      </c>
      <c r="L462" s="80">
        <v>462</v>
      </c>
      <c r="M462" s="80"/>
      <c r="N462" s="74"/>
      <c r="O462" s="82" t="s">
        <v>776</v>
      </c>
      <c r="P462" s="82" t="s">
        <v>197</v>
      </c>
      <c r="Q462" s="82" t="s">
        <v>1226</v>
      </c>
      <c r="R462" s="82" t="s">
        <v>681</v>
      </c>
      <c r="S462" s="82" t="s">
        <v>1749</v>
      </c>
      <c r="T462" s="84" t="str">
        <f>HYPERLINK("http://www.youtube.com/channel/UCEBLRxDfnpw6KYChcCy5uVA")</f>
        <v>http://www.youtube.com/channel/UCEBLRxDfnpw6KYChcCy5uVA</v>
      </c>
      <c r="U462" s="82"/>
      <c r="V462" s="82" t="s">
        <v>1840</v>
      </c>
      <c r="W462" s="84" t="str">
        <f>HYPERLINK("https://www.youtube.com/watch?v=6YhlYu70uNA")</f>
        <v>https://www.youtube.com/watch?v=6YhlYu70uNA</v>
      </c>
      <c r="X462" s="82" t="s">
        <v>1857</v>
      </c>
      <c r="Y462" s="82">
        <v>0</v>
      </c>
      <c r="Z462" s="86">
        <v>45087.714108796295</v>
      </c>
      <c r="AA462" s="86">
        <v>45087.714108796295</v>
      </c>
      <c r="AB462" s="82"/>
      <c r="AC462" s="82"/>
      <c r="AD462" s="82"/>
      <c r="AE462" s="82">
        <v>1</v>
      </c>
      <c r="AF462" s="81">
        <v>7</v>
      </c>
      <c r="AG462" s="81">
        <v>7</v>
      </c>
      <c r="AH462" s="49">
        <v>0</v>
      </c>
      <c r="AI462" s="50">
        <v>0</v>
      </c>
      <c r="AJ462" s="49">
        <v>0</v>
      </c>
      <c r="AK462" s="50">
        <v>0</v>
      </c>
      <c r="AL462" s="49">
        <v>0</v>
      </c>
      <c r="AM462" s="50">
        <v>0</v>
      </c>
      <c r="AN462" s="49">
        <v>7</v>
      </c>
      <c r="AO462" s="110">
        <v>24.137931034482758</v>
      </c>
      <c r="AP462" s="49">
        <v>29</v>
      </c>
    </row>
    <row r="463" spans="1:42" ht="15">
      <c r="A463" s="66" t="s">
        <v>682</v>
      </c>
      <c r="B463" s="66" t="s">
        <v>683</v>
      </c>
      <c r="C463" s="67" t="s">
        <v>774</v>
      </c>
      <c r="D463" s="68">
        <v>3</v>
      </c>
      <c r="E463" s="69"/>
      <c r="F463" s="70">
        <v>40</v>
      </c>
      <c r="G463" s="67"/>
      <c r="H463" s="71"/>
      <c r="I463" s="72"/>
      <c r="J463" s="72"/>
      <c r="K463" s="35" t="s">
        <v>65</v>
      </c>
      <c r="L463" s="80">
        <v>463</v>
      </c>
      <c r="M463" s="80"/>
      <c r="N463" s="74"/>
      <c r="O463" s="82" t="s">
        <v>776</v>
      </c>
      <c r="P463" s="82" t="s">
        <v>197</v>
      </c>
      <c r="Q463" s="82" t="s">
        <v>1227</v>
      </c>
      <c r="R463" s="82" t="s">
        <v>682</v>
      </c>
      <c r="S463" s="82" t="s">
        <v>1750</v>
      </c>
      <c r="T463" s="84" t="str">
        <f>HYPERLINK("http://www.youtube.com/channel/UCEqFPaBdYvPflg9x0ahKARw")</f>
        <v>http://www.youtube.com/channel/UCEqFPaBdYvPflg9x0ahKARw</v>
      </c>
      <c r="U463" s="82"/>
      <c r="V463" s="82" t="s">
        <v>1841</v>
      </c>
      <c r="W463" s="84" t="str">
        <f>HYPERLINK("https://www.youtube.com/watch?v=muXoYfBWkzg")</f>
        <v>https://www.youtube.com/watch?v=muXoYfBWkzg</v>
      </c>
      <c r="X463" s="82" t="s">
        <v>1857</v>
      </c>
      <c r="Y463" s="82">
        <v>0</v>
      </c>
      <c r="Z463" s="86">
        <v>44944.83954861111</v>
      </c>
      <c r="AA463" s="86">
        <v>44944.83954861111</v>
      </c>
      <c r="AB463" s="82"/>
      <c r="AC463" s="82"/>
      <c r="AD463" s="82"/>
      <c r="AE463" s="82">
        <v>1</v>
      </c>
      <c r="AF463" s="81">
        <v>13</v>
      </c>
      <c r="AG463" s="81">
        <v>13</v>
      </c>
      <c r="AH463" s="49">
        <v>3</v>
      </c>
      <c r="AI463" s="110">
        <v>16.666666666666668</v>
      </c>
      <c r="AJ463" s="49">
        <v>1</v>
      </c>
      <c r="AK463" s="110">
        <v>5.555555555555555</v>
      </c>
      <c r="AL463" s="49">
        <v>0</v>
      </c>
      <c r="AM463" s="50">
        <v>0</v>
      </c>
      <c r="AN463" s="49">
        <v>3</v>
      </c>
      <c r="AO463" s="110">
        <v>16.666666666666668</v>
      </c>
      <c r="AP463" s="49">
        <v>18</v>
      </c>
    </row>
    <row r="464" spans="1:42" ht="15">
      <c r="A464" s="66" t="s">
        <v>683</v>
      </c>
      <c r="B464" s="66" t="s">
        <v>683</v>
      </c>
      <c r="C464" s="67" t="s">
        <v>4791</v>
      </c>
      <c r="D464" s="68">
        <v>10</v>
      </c>
      <c r="E464" s="69"/>
      <c r="F464" s="70">
        <v>15</v>
      </c>
      <c r="G464" s="67"/>
      <c r="H464" s="71"/>
      <c r="I464" s="72"/>
      <c r="J464" s="72"/>
      <c r="K464" s="35" t="s">
        <v>65</v>
      </c>
      <c r="L464" s="80">
        <v>464</v>
      </c>
      <c r="M464" s="80"/>
      <c r="N464" s="74"/>
      <c r="O464" s="82" t="s">
        <v>777</v>
      </c>
      <c r="P464" s="82"/>
      <c r="Q464" s="82"/>
      <c r="R464" s="82"/>
      <c r="S464" s="82"/>
      <c r="T464" s="82"/>
      <c r="U464" s="82"/>
      <c r="V464" s="82" t="s">
        <v>1841</v>
      </c>
      <c r="W464" s="84" t="str">
        <f>HYPERLINK("https://www.youtube.com/watch?v=muXoYfBWkzg")</f>
        <v>https://www.youtube.com/watch?v=muXoYfBWkzg</v>
      </c>
      <c r="X464" s="82"/>
      <c r="Y464" s="82"/>
      <c r="Z464" s="86">
        <v>44944.75104166667</v>
      </c>
      <c r="AA464" s="82"/>
      <c r="AB464" s="82"/>
      <c r="AC464" s="82"/>
      <c r="AD464" s="82"/>
      <c r="AE464" s="82">
        <v>16</v>
      </c>
      <c r="AF464" s="81">
        <v>13</v>
      </c>
      <c r="AG464" s="81">
        <v>13</v>
      </c>
      <c r="AH464" s="49"/>
      <c r="AI464" s="50"/>
      <c r="AJ464" s="49"/>
      <c r="AK464" s="50"/>
      <c r="AL464" s="49"/>
      <c r="AM464" s="50"/>
      <c r="AN464" s="49"/>
      <c r="AO464" s="50"/>
      <c r="AP464" s="49"/>
    </row>
    <row r="465" spans="1:42" ht="15">
      <c r="A465" s="66" t="s">
        <v>684</v>
      </c>
      <c r="B465" s="66" t="s">
        <v>685</v>
      </c>
      <c r="C465" s="67" t="s">
        <v>774</v>
      </c>
      <c r="D465" s="68">
        <v>3</v>
      </c>
      <c r="E465" s="69"/>
      <c r="F465" s="70">
        <v>40</v>
      </c>
      <c r="G465" s="67"/>
      <c r="H465" s="71"/>
      <c r="I465" s="72"/>
      <c r="J465" s="72"/>
      <c r="K465" s="35" t="s">
        <v>65</v>
      </c>
      <c r="L465" s="80">
        <v>465</v>
      </c>
      <c r="M465" s="80"/>
      <c r="N465" s="74"/>
      <c r="O465" s="82" t="s">
        <v>776</v>
      </c>
      <c r="P465" s="82" t="s">
        <v>197</v>
      </c>
      <c r="Q465" s="82" t="s">
        <v>1228</v>
      </c>
      <c r="R465" s="82" t="s">
        <v>684</v>
      </c>
      <c r="S465" s="82" t="s">
        <v>1736</v>
      </c>
      <c r="T465" s="84" t="str">
        <f>HYPERLINK("http://www.youtube.com/channel/UCwBtuBSQJvCyBghKP84irzg")</f>
        <v>http://www.youtube.com/channel/UCwBtuBSQJvCyBghKP84irzg</v>
      </c>
      <c r="U465" s="82"/>
      <c r="V465" s="82" t="s">
        <v>1842</v>
      </c>
      <c r="W465" s="84" t="str">
        <f>HYPERLINK("https://www.youtube.com/watch?v=mVN9p4-zDxw")</f>
        <v>https://www.youtube.com/watch?v=mVN9p4-zDxw</v>
      </c>
      <c r="X465" s="82" t="s">
        <v>1857</v>
      </c>
      <c r="Y465" s="82">
        <v>0</v>
      </c>
      <c r="Z465" s="86">
        <v>45162.940300925926</v>
      </c>
      <c r="AA465" s="86">
        <v>45162.940300925926</v>
      </c>
      <c r="AB465" s="82"/>
      <c r="AC465" s="82"/>
      <c r="AD465" s="82"/>
      <c r="AE465" s="82">
        <v>1</v>
      </c>
      <c r="AF465" s="81">
        <v>12</v>
      </c>
      <c r="AG465" s="81">
        <v>12</v>
      </c>
      <c r="AH465" s="49">
        <v>0</v>
      </c>
      <c r="AI465" s="50">
        <v>0</v>
      </c>
      <c r="AJ465" s="49">
        <v>0</v>
      </c>
      <c r="AK465" s="50">
        <v>0</v>
      </c>
      <c r="AL465" s="49">
        <v>0</v>
      </c>
      <c r="AM465" s="50">
        <v>0</v>
      </c>
      <c r="AN465" s="49">
        <v>2</v>
      </c>
      <c r="AO465" s="110">
        <v>22.22222222222222</v>
      </c>
      <c r="AP465" s="49">
        <v>9</v>
      </c>
    </row>
    <row r="466" spans="1:42" ht="15">
      <c r="A466" s="66" t="s">
        <v>685</v>
      </c>
      <c r="B466" s="66" t="s">
        <v>685</v>
      </c>
      <c r="C466" s="67" t="s">
        <v>774</v>
      </c>
      <c r="D466" s="68">
        <v>3</v>
      </c>
      <c r="E466" s="69"/>
      <c r="F466" s="70">
        <v>40</v>
      </c>
      <c r="G466" s="67"/>
      <c r="H466" s="71"/>
      <c r="I466" s="72"/>
      <c r="J466" s="72"/>
      <c r="K466" s="35" t="s">
        <v>65</v>
      </c>
      <c r="L466" s="80">
        <v>466</v>
      </c>
      <c r="M466" s="80"/>
      <c r="N466" s="74"/>
      <c r="O466" s="82" t="s">
        <v>777</v>
      </c>
      <c r="P466" s="82"/>
      <c r="Q466" s="82"/>
      <c r="R466" s="82"/>
      <c r="S466" s="82"/>
      <c r="T466" s="82"/>
      <c r="U466" s="82"/>
      <c r="V466" s="82" t="s">
        <v>1842</v>
      </c>
      <c r="W466" s="84" t="str">
        <f>HYPERLINK("https://www.youtube.com/watch?v=mVN9p4-zDxw")</f>
        <v>https://www.youtube.com/watch?v=mVN9p4-zDxw</v>
      </c>
      <c r="X466" s="82"/>
      <c r="Y466" s="82"/>
      <c r="Z466" s="86">
        <v>45162.674988425926</v>
      </c>
      <c r="AA466" s="82"/>
      <c r="AB466" s="82"/>
      <c r="AC466" s="82"/>
      <c r="AD466" s="82"/>
      <c r="AE466" s="82">
        <v>1</v>
      </c>
      <c r="AF466" s="81">
        <v>12</v>
      </c>
      <c r="AG466" s="81">
        <v>12</v>
      </c>
      <c r="AH466" s="49"/>
      <c r="AI466" s="50"/>
      <c r="AJ466" s="49"/>
      <c r="AK466" s="50"/>
      <c r="AL466" s="49"/>
      <c r="AM466" s="50"/>
      <c r="AN466" s="49"/>
      <c r="AO466" s="50"/>
      <c r="AP466" s="49"/>
    </row>
    <row r="467" spans="1:42" ht="15">
      <c r="A467" s="66" t="s">
        <v>686</v>
      </c>
      <c r="B467" s="66" t="s">
        <v>758</v>
      </c>
      <c r="C467" s="67" t="s">
        <v>774</v>
      </c>
      <c r="D467" s="68">
        <v>3</v>
      </c>
      <c r="E467" s="69"/>
      <c r="F467" s="70">
        <v>40</v>
      </c>
      <c r="G467" s="67"/>
      <c r="H467" s="71"/>
      <c r="I467" s="72"/>
      <c r="J467" s="72"/>
      <c r="K467" s="35" t="s">
        <v>65</v>
      </c>
      <c r="L467" s="80">
        <v>467</v>
      </c>
      <c r="M467" s="80"/>
      <c r="N467" s="74"/>
      <c r="O467" s="82" t="s">
        <v>776</v>
      </c>
      <c r="P467" s="82" t="s">
        <v>197</v>
      </c>
      <c r="Q467" s="82" t="s">
        <v>1229</v>
      </c>
      <c r="R467" s="82" t="s">
        <v>686</v>
      </c>
      <c r="S467" s="82" t="s">
        <v>1751</v>
      </c>
      <c r="T467" s="84" t="str">
        <f>HYPERLINK("http://www.youtube.com/channel/UCIilJVJpNJ1Wl_nMajXdXqA")</f>
        <v>http://www.youtube.com/channel/UCIilJVJpNJ1Wl_nMajXdXqA</v>
      </c>
      <c r="U467" s="82"/>
      <c r="V467" s="82" t="s">
        <v>1843</v>
      </c>
      <c r="W467" s="84" t="str">
        <f>HYPERLINK("https://www.youtube.com/watch?v=QNvu01OGv-Y")</f>
        <v>https://www.youtube.com/watch?v=QNvu01OGv-Y</v>
      </c>
      <c r="X467" s="82" t="s">
        <v>1857</v>
      </c>
      <c r="Y467" s="82">
        <v>0</v>
      </c>
      <c r="Z467" s="86">
        <v>45158.75378472222</v>
      </c>
      <c r="AA467" s="86">
        <v>45158.75378472222</v>
      </c>
      <c r="AB467" s="82"/>
      <c r="AC467" s="82"/>
      <c r="AD467" s="82"/>
      <c r="AE467" s="82">
        <v>1</v>
      </c>
      <c r="AF467" s="81">
        <v>2</v>
      </c>
      <c r="AG467" s="81">
        <v>2</v>
      </c>
      <c r="AH467" s="49">
        <v>0</v>
      </c>
      <c r="AI467" s="50">
        <v>0</v>
      </c>
      <c r="AJ467" s="49">
        <v>0</v>
      </c>
      <c r="AK467" s="50">
        <v>0</v>
      </c>
      <c r="AL467" s="49">
        <v>0</v>
      </c>
      <c r="AM467" s="50">
        <v>0</v>
      </c>
      <c r="AN467" s="49">
        <v>5</v>
      </c>
      <c r="AO467" s="110">
        <v>38.46153846153846</v>
      </c>
      <c r="AP467" s="49">
        <v>13</v>
      </c>
    </row>
    <row r="468" spans="1:42" ht="15">
      <c r="A468" s="66" t="s">
        <v>687</v>
      </c>
      <c r="B468" s="66" t="s">
        <v>758</v>
      </c>
      <c r="C468" s="67" t="s">
        <v>774</v>
      </c>
      <c r="D468" s="68">
        <v>3</v>
      </c>
      <c r="E468" s="69"/>
      <c r="F468" s="70">
        <v>40</v>
      </c>
      <c r="G468" s="67"/>
      <c r="H468" s="71"/>
      <c r="I468" s="72"/>
      <c r="J468" s="72"/>
      <c r="K468" s="35" t="s">
        <v>65</v>
      </c>
      <c r="L468" s="80">
        <v>468</v>
      </c>
      <c r="M468" s="80"/>
      <c r="N468" s="74"/>
      <c r="O468" s="82" t="s">
        <v>776</v>
      </c>
      <c r="P468" s="82" t="s">
        <v>197</v>
      </c>
      <c r="Q468" s="82" t="s">
        <v>1230</v>
      </c>
      <c r="R468" s="82" t="s">
        <v>687</v>
      </c>
      <c r="S468" s="82" t="s">
        <v>1752</v>
      </c>
      <c r="T468" s="84" t="str">
        <f>HYPERLINK("http://www.youtube.com/channel/UCxXrlyseexGXxmP73jScvFQ")</f>
        <v>http://www.youtube.com/channel/UCxXrlyseexGXxmP73jScvFQ</v>
      </c>
      <c r="U468" s="82"/>
      <c r="V468" s="82" t="s">
        <v>1843</v>
      </c>
      <c r="W468" s="84" t="str">
        <f>HYPERLINK("https://www.youtube.com/watch?v=QNvu01OGv-Y")</f>
        <v>https://www.youtube.com/watch?v=QNvu01OGv-Y</v>
      </c>
      <c r="X468" s="82" t="s">
        <v>1857</v>
      </c>
      <c r="Y468" s="82">
        <v>12</v>
      </c>
      <c r="Z468" s="86">
        <v>45158.76400462963</v>
      </c>
      <c r="AA468" s="86">
        <v>45158.76400462963</v>
      </c>
      <c r="AB468" s="82"/>
      <c r="AC468" s="82"/>
      <c r="AD468" s="82"/>
      <c r="AE468" s="82">
        <v>1</v>
      </c>
      <c r="AF468" s="81">
        <v>2</v>
      </c>
      <c r="AG468" s="81">
        <v>2</v>
      </c>
      <c r="AH468" s="49">
        <v>0</v>
      </c>
      <c r="AI468" s="50">
        <v>0</v>
      </c>
      <c r="AJ468" s="49">
        <v>0</v>
      </c>
      <c r="AK468" s="50">
        <v>0</v>
      </c>
      <c r="AL468" s="49">
        <v>0</v>
      </c>
      <c r="AM468" s="50">
        <v>0</v>
      </c>
      <c r="AN468" s="49">
        <v>2</v>
      </c>
      <c r="AO468" s="50">
        <v>25</v>
      </c>
      <c r="AP468" s="49">
        <v>8</v>
      </c>
    </row>
    <row r="469" spans="1:42" ht="15">
      <c r="A469" s="66" t="s">
        <v>688</v>
      </c>
      <c r="B469" s="66" t="s">
        <v>758</v>
      </c>
      <c r="C469" s="67" t="s">
        <v>774</v>
      </c>
      <c r="D469" s="68">
        <v>3</v>
      </c>
      <c r="E469" s="69"/>
      <c r="F469" s="70">
        <v>40</v>
      </c>
      <c r="G469" s="67"/>
      <c r="H469" s="71"/>
      <c r="I469" s="72"/>
      <c r="J469" s="72"/>
      <c r="K469" s="35" t="s">
        <v>65</v>
      </c>
      <c r="L469" s="80">
        <v>469</v>
      </c>
      <c r="M469" s="80"/>
      <c r="N469" s="74"/>
      <c r="O469" s="82" t="s">
        <v>776</v>
      </c>
      <c r="P469" s="82" t="s">
        <v>197</v>
      </c>
      <c r="Q469" s="82" t="s">
        <v>1231</v>
      </c>
      <c r="R469" s="82" t="s">
        <v>688</v>
      </c>
      <c r="S469" s="82" t="s">
        <v>1753</v>
      </c>
      <c r="T469" s="84" t="str">
        <f>HYPERLINK("http://www.youtube.com/channel/UCH5BZoWAlkqtDje0mDgPwrg")</f>
        <v>http://www.youtube.com/channel/UCH5BZoWAlkqtDje0mDgPwrg</v>
      </c>
      <c r="U469" s="82"/>
      <c r="V469" s="82" t="s">
        <v>1843</v>
      </c>
      <c r="W469" s="84" t="str">
        <f>HYPERLINK("https://www.youtube.com/watch?v=QNvu01OGv-Y")</f>
        <v>https://www.youtube.com/watch?v=QNvu01OGv-Y</v>
      </c>
      <c r="X469" s="82" t="s">
        <v>1857</v>
      </c>
      <c r="Y469" s="82">
        <v>1</v>
      </c>
      <c r="Z469" s="86">
        <v>45158.76526620371</v>
      </c>
      <c r="AA469" s="86">
        <v>45158.76526620371</v>
      </c>
      <c r="AB469" s="82"/>
      <c r="AC469" s="82"/>
      <c r="AD469" s="82"/>
      <c r="AE469" s="82">
        <v>1</v>
      </c>
      <c r="AF469" s="81">
        <v>2</v>
      </c>
      <c r="AG469" s="81">
        <v>2</v>
      </c>
      <c r="AH469" s="49">
        <v>0</v>
      </c>
      <c r="AI469" s="50">
        <v>0</v>
      </c>
      <c r="AJ469" s="49">
        <v>0</v>
      </c>
      <c r="AK469" s="50">
        <v>0</v>
      </c>
      <c r="AL469" s="49">
        <v>0</v>
      </c>
      <c r="AM469" s="50">
        <v>0</v>
      </c>
      <c r="AN469" s="49">
        <v>3</v>
      </c>
      <c r="AO469" s="50">
        <v>60</v>
      </c>
      <c r="AP469" s="49">
        <v>5</v>
      </c>
    </row>
    <row r="470" spans="1:42" ht="15">
      <c r="A470" s="66" t="s">
        <v>689</v>
      </c>
      <c r="B470" s="66" t="s">
        <v>758</v>
      </c>
      <c r="C470" s="67" t="s">
        <v>774</v>
      </c>
      <c r="D470" s="68">
        <v>3</v>
      </c>
      <c r="E470" s="69"/>
      <c r="F470" s="70">
        <v>40</v>
      </c>
      <c r="G470" s="67"/>
      <c r="H470" s="71"/>
      <c r="I470" s="72"/>
      <c r="J470" s="72"/>
      <c r="K470" s="35" t="s">
        <v>65</v>
      </c>
      <c r="L470" s="80">
        <v>470</v>
      </c>
      <c r="M470" s="80"/>
      <c r="N470" s="74"/>
      <c r="O470" s="82" t="s">
        <v>776</v>
      </c>
      <c r="P470" s="82" t="s">
        <v>197</v>
      </c>
      <c r="Q470" s="82" t="s">
        <v>1232</v>
      </c>
      <c r="R470" s="82" t="s">
        <v>689</v>
      </c>
      <c r="S470" s="82" t="s">
        <v>1754</v>
      </c>
      <c r="T470" s="84" t="str">
        <f>HYPERLINK("http://www.youtube.com/channel/UCJUkxCgf2-A8bTRuKiUXFag")</f>
        <v>http://www.youtube.com/channel/UCJUkxCgf2-A8bTRuKiUXFag</v>
      </c>
      <c r="U470" s="82"/>
      <c r="V470" s="82" t="s">
        <v>1843</v>
      </c>
      <c r="W470" s="84" t="str">
        <f>HYPERLINK("https://www.youtube.com/watch?v=QNvu01OGv-Y")</f>
        <v>https://www.youtube.com/watch?v=QNvu01OGv-Y</v>
      </c>
      <c r="X470" s="82" t="s">
        <v>1857</v>
      </c>
      <c r="Y470" s="82">
        <v>2</v>
      </c>
      <c r="Z470" s="86">
        <v>45158.76731481482</v>
      </c>
      <c r="AA470" s="86">
        <v>45158.76798611111</v>
      </c>
      <c r="AB470" s="82"/>
      <c r="AC470" s="82"/>
      <c r="AD470" s="82"/>
      <c r="AE470" s="82">
        <v>1</v>
      </c>
      <c r="AF470" s="81">
        <v>2</v>
      </c>
      <c r="AG470" s="81">
        <v>2</v>
      </c>
      <c r="AH470" s="49">
        <v>1</v>
      </c>
      <c r="AI470" s="110">
        <v>2.7027027027027026</v>
      </c>
      <c r="AJ470" s="49">
        <v>0</v>
      </c>
      <c r="AK470" s="50">
        <v>0</v>
      </c>
      <c r="AL470" s="49">
        <v>0</v>
      </c>
      <c r="AM470" s="50">
        <v>0</v>
      </c>
      <c r="AN470" s="49">
        <v>14</v>
      </c>
      <c r="AO470" s="110">
        <v>37.83783783783784</v>
      </c>
      <c r="AP470" s="49">
        <v>37</v>
      </c>
    </row>
    <row r="471" spans="1:42" ht="15">
      <c r="A471" s="66" t="s">
        <v>690</v>
      </c>
      <c r="B471" s="66" t="s">
        <v>758</v>
      </c>
      <c r="C471" s="67" t="s">
        <v>774</v>
      </c>
      <c r="D471" s="68">
        <v>3</v>
      </c>
      <c r="E471" s="69"/>
      <c r="F471" s="70">
        <v>40</v>
      </c>
      <c r="G471" s="67"/>
      <c r="H471" s="71"/>
      <c r="I471" s="72"/>
      <c r="J471" s="72"/>
      <c r="K471" s="35" t="s">
        <v>65</v>
      </c>
      <c r="L471" s="80">
        <v>471</v>
      </c>
      <c r="M471" s="80"/>
      <c r="N471" s="74"/>
      <c r="O471" s="82" t="s">
        <v>776</v>
      </c>
      <c r="P471" s="82" t="s">
        <v>197</v>
      </c>
      <c r="Q471" s="82" t="s">
        <v>1233</v>
      </c>
      <c r="R471" s="82" t="s">
        <v>690</v>
      </c>
      <c r="S471" s="82" t="s">
        <v>1755</v>
      </c>
      <c r="T471" s="84" t="str">
        <f>HYPERLINK("http://www.youtube.com/channel/UCS3zgpGpu_U4oU4Lsdz1IUg")</f>
        <v>http://www.youtube.com/channel/UCS3zgpGpu_U4oU4Lsdz1IUg</v>
      </c>
      <c r="U471" s="82"/>
      <c r="V471" s="82" t="s">
        <v>1843</v>
      </c>
      <c r="W471" s="84" t="str">
        <f>HYPERLINK("https://www.youtube.com/watch?v=QNvu01OGv-Y")</f>
        <v>https://www.youtube.com/watch?v=QNvu01OGv-Y</v>
      </c>
      <c r="X471" s="82" t="s">
        <v>1857</v>
      </c>
      <c r="Y471" s="82">
        <v>3</v>
      </c>
      <c r="Z471" s="86">
        <v>45158.76818287037</v>
      </c>
      <c r="AA471" s="86">
        <v>45158.76934027778</v>
      </c>
      <c r="AB471" s="82"/>
      <c r="AC471" s="82"/>
      <c r="AD471" s="82"/>
      <c r="AE471" s="82">
        <v>1</v>
      </c>
      <c r="AF471" s="81">
        <v>2</v>
      </c>
      <c r="AG471" s="81">
        <v>2</v>
      </c>
      <c r="AH471" s="49">
        <v>1</v>
      </c>
      <c r="AI471" s="110">
        <v>2.380952380952381</v>
      </c>
      <c r="AJ471" s="49">
        <v>0</v>
      </c>
      <c r="AK471" s="50">
        <v>0</v>
      </c>
      <c r="AL471" s="49">
        <v>0</v>
      </c>
      <c r="AM471" s="50">
        <v>0</v>
      </c>
      <c r="AN471" s="49">
        <v>15</v>
      </c>
      <c r="AO471" s="110">
        <v>35.714285714285715</v>
      </c>
      <c r="AP471" s="49">
        <v>42</v>
      </c>
    </row>
    <row r="472" spans="1:42" ht="15">
      <c r="A472" s="66" t="s">
        <v>691</v>
      </c>
      <c r="B472" s="66" t="s">
        <v>758</v>
      </c>
      <c r="C472" s="67" t="s">
        <v>774</v>
      </c>
      <c r="D472" s="68">
        <v>3</v>
      </c>
      <c r="E472" s="69"/>
      <c r="F472" s="70">
        <v>40</v>
      </c>
      <c r="G472" s="67"/>
      <c r="H472" s="71"/>
      <c r="I472" s="72"/>
      <c r="J472" s="72"/>
      <c r="K472" s="35" t="s">
        <v>65</v>
      </c>
      <c r="L472" s="80">
        <v>472</v>
      </c>
      <c r="M472" s="80"/>
      <c r="N472" s="74"/>
      <c r="O472" s="82" t="s">
        <v>776</v>
      </c>
      <c r="P472" s="82" t="s">
        <v>197</v>
      </c>
      <c r="Q472" s="82" t="s">
        <v>1234</v>
      </c>
      <c r="R472" s="82" t="s">
        <v>691</v>
      </c>
      <c r="S472" s="82" t="s">
        <v>1756</v>
      </c>
      <c r="T472" s="84" t="str">
        <f>HYPERLINK("http://www.youtube.com/channel/UCqPuEe1SgLWoCukMWSrzFOA")</f>
        <v>http://www.youtube.com/channel/UCqPuEe1SgLWoCukMWSrzFOA</v>
      </c>
      <c r="U472" s="82"/>
      <c r="V472" s="82" t="s">
        <v>1843</v>
      </c>
      <c r="W472" s="84" t="str">
        <f>HYPERLINK("https://www.youtube.com/watch?v=QNvu01OGv-Y")</f>
        <v>https://www.youtube.com/watch?v=QNvu01OGv-Y</v>
      </c>
      <c r="X472" s="82" t="s">
        <v>1857</v>
      </c>
      <c r="Y472" s="82">
        <v>1</v>
      </c>
      <c r="Z472" s="86">
        <v>45158.77270833333</v>
      </c>
      <c r="AA472" s="86">
        <v>45158.77270833333</v>
      </c>
      <c r="AB472" s="82"/>
      <c r="AC472" s="82"/>
      <c r="AD472" s="82"/>
      <c r="AE472" s="82">
        <v>1</v>
      </c>
      <c r="AF472" s="81">
        <v>2</v>
      </c>
      <c r="AG472" s="81">
        <v>2</v>
      </c>
      <c r="AH472" s="49">
        <v>0</v>
      </c>
      <c r="AI472" s="50">
        <v>0</v>
      </c>
      <c r="AJ472" s="49">
        <v>0</v>
      </c>
      <c r="AK472" s="50">
        <v>0</v>
      </c>
      <c r="AL472" s="49">
        <v>0</v>
      </c>
      <c r="AM472" s="50">
        <v>0</v>
      </c>
      <c r="AN472" s="49">
        <v>3</v>
      </c>
      <c r="AO472" s="50">
        <v>30</v>
      </c>
      <c r="AP472" s="49">
        <v>10</v>
      </c>
    </row>
    <row r="473" spans="1:42" ht="15">
      <c r="A473" s="66" t="s">
        <v>692</v>
      </c>
      <c r="B473" s="66" t="s">
        <v>758</v>
      </c>
      <c r="C473" s="67" t="s">
        <v>774</v>
      </c>
      <c r="D473" s="68">
        <v>3</v>
      </c>
      <c r="E473" s="69"/>
      <c r="F473" s="70">
        <v>40</v>
      </c>
      <c r="G473" s="67"/>
      <c r="H473" s="71"/>
      <c r="I473" s="72"/>
      <c r="J473" s="72"/>
      <c r="K473" s="35" t="s">
        <v>65</v>
      </c>
      <c r="L473" s="80">
        <v>473</v>
      </c>
      <c r="M473" s="80"/>
      <c r="N473" s="74"/>
      <c r="O473" s="82" t="s">
        <v>776</v>
      </c>
      <c r="P473" s="82" t="s">
        <v>197</v>
      </c>
      <c r="Q473" s="82" t="s">
        <v>1235</v>
      </c>
      <c r="R473" s="82" t="s">
        <v>692</v>
      </c>
      <c r="S473" s="82" t="s">
        <v>1757</v>
      </c>
      <c r="T473" s="84" t="str">
        <f>HYPERLINK("http://www.youtube.com/channel/UCwlTNogRVdJjrj9AHoZG3Mg")</f>
        <v>http://www.youtube.com/channel/UCwlTNogRVdJjrj9AHoZG3Mg</v>
      </c>
      <c r="U473" s="82"/>
      <c r="V473" s="82" t="s">
        <v>1843</v>
      </c>
      <c r="W473" s="84" t="str">
        <f>HYPERLINK("https://www.youtube.com/watch?v=QNvu01OGv-Y")</f>
        <v>https://www.youtube.com/watch?v=QNvu01OGv-Y</v>
      </c>
      <c r="X473" s="82" t="s">
        <v>1857</v>
      </c>
      <c r="Y473" s="82">
        <v>3</v>
      </c>
      <c r="Z473" s="86">
        <v>45158.77465277778</v>
      </c>
      <c r="AA473" s="86">
        <v>45158.77465277778</v>
      </c>
      <c r="AB473" s="82"/>
      <c r="AC473" s="82"/>
      <c r="AD473" s="82"/>
      <c r="AE473" s="82">
        <v>1</v>
      </c>
      <c r="AF473" s="81">
        <v>2</v>
      </c>
      <c r="AG473" s="81">
        <v>2</v>
      </c>
      <c r="AH473" s="49">
        <v>1</v>
      </c>
      <c r="AI473" s="50">
        <v>5</v>
      </c>
      <c r="AJ473" s="49">
        <v>0</v>
      </c>
      <c r="AK473" s="50">
        <v>0</v>
      </c>
      <c r="AL473" s="49">
        <v>0</v>
      </c>
      <c r="AM473" s="50">
        <v>0</v>
      </c>
      <c r="AN473" s="49">
        <v>9</v>
      </c>
      <c r="AO473" s="50">
        <v>45</v>
      </c>
      <c r="AP473" s="49">
        <v>20</v>
      </c>
    </row>
    <row r="474" spans="1:42" ht="15">
      <c r="A474" s="66" t="s">
        <v>693</v>
      </c>
      <c r="B474" s="66" t="s">
        <v>758</v>
      </c>
      <c r="C474" s="67" t="s">
        <v>774</v>
      </c>
      <c r="D474" s="68">
        <v>3</v>
      </c>
      <c r="E474" s="69"/>
      <c r="F474" s="70">
        <v>40</v>
      </c>
      <c r="G474" s="67"/>
      <c r="H474" s="71"/>
      <c r="I474" s="72"/>
      <c r="J474" s="72"/>
      <c r="K474" s="35" t="s">
        <v>65</v>
      </c>
      <c r="L474" s="80">
        <v>474</v>
      </c>
      <c r="M474" s="80"/>
      <c r="N474" s="74"/>
      <c r="O474" s="82" t="s">
        <v>776</v>
      </c>
      <c r="P474" s="82" t="s">
        <v>197</v>
      </c>
      <c r="Q474" s="82" t="s">
        <v>1236</v>
      </c>
      <c r="R474" s="82" t="s">
        <v>693</v>
      </c>
      <c r="S474" s="82" t="s">
        <v>1758</v>
      </c>
      <c r="T474" s="84" t="str">
        <f>HYPERLINK("http://www.youtube.com/channel/UCj8XF379pUvcEMXF3CbdXkw")</f>
        <v>http://www.youtube.com/channel/UCj8XF379pUvcEMXF3CbdXkw</v>
      </c>
      <c r="U474" s="82"/>
      <c r="V474" s="82" t="s">
        <v>1843</v>
      </c>
      <c r="W474" s="84" t="str">
        <f>HYPERLINK("https://www.youtube.com/watch?v=QNvu01OGv-Y")</f>
        <v>https://www.youtube.com/watch?v=QNvu01OGv-Y</v>
      </c>
      <c r="X474" s="82" t="s">
        <v>1857</v>
      </c>
      <c r="Y474" s="82">
        <v>8</v>
      </c>
      <c r="Z474" s="86">
        <v>45158.780856481484</v>
      </c>
      <c r="AA474" s="86">
        <v>45158.780856481484</v>
      </c>
      <c r="AB474" s="82"/>
      <c r="AC474" s="82"/>
      <c r="AD474" s="82"/>
      <c r="AE474" s="82">
        <v>1</v>
      </c>
      <c r="AF474" s="81">
        <v>2</v>
      </c>
      <c r="AG474" s="81">
        <v>2</v>
      </c>
      <c r="AH474" s="49">
        <v>2</v>
      </c>
      <c r="AI474" s="50">
        <v>12.5</v>
      </c>
      <c r="AJ474" s="49">
        <v>0</v>
      </c>
      <c r="AK474" s="50">
        <v>0</v>
      </c>
      <c r="AL474" s="49">
        <v>0</v>
      </c>
      <c r="AM474" s="50">
        <v>0</v>
      </c>
      <c r="AN474" s="49">
        <v>4</v>
      </c>
      <c r="AO474" s="50">
        <v>25</v>
      </c>
      <c r="AP474" s="49">
        <v>16</v>
      </c>
    </row>
    <row r="475" spans="1:42" ht="15">
      <c r="A475" s="66" t="s">
        <v>694</v>
      </c>
      <c r="B475" s="66" t="s">
        <v>758</v>
      </c>
      <c r="C475" s="67" t="s">
        <v>774</v>
      </c>
      <c r="D475" s="68">
        <v>3</v>
      </c>
      <c r="E475" s="69"/>
      <c r="F475" s="70">
        <v>40</v>
      </c>
      <c r="G475" s="67"/>
      <c r="H475" s="71"/>
      <c r="I475" s="72"/>
      <c r="J475" s="72"/>
      <c r="K475" s="35" t="s">
        <v>65</v>
      </c>
      <c r="L475" s="80">
        <v>475</v>
      </c>
      <c r="M475" s="80"/>
      <c r="N475" s="74"/>
      <c r="O475" s="82" t="s">
        <v>776</v>
      </c>
      <c r="P475" s="82" t="s">
        <v>197</v>
      </c>
      <c r="Q475" s="82" t="s">
        <v>1237</v>
      </c>
      <c r="R475" s="82" t="s">
        <v>694</v>
      </c>
      <c r="S475" s="82" t="s">
        <v>1759</v>
      </c>
      <c r="T475" s="84" t="str">
        <f>HYPERLINK("http://www.youtube.com/channel/UC19sWaqXdxrjnCRXKy4mg-Q")</f>
        <v>http://www.youtube.com/channel/UC19sWaqXdxrjnCRXKy4mg-Q</v>
      </c>
      <c r="U475" s="82"/>
      <c r="V475" s="82" t="s">
        <v>1843</v>
      </c>
      <c r="W475" s="84" t="str">
        <f>HYPERLINK("https://www.youtube.com/watch?v=QNvu01OGv-Y")</f>
        <v>https://www.youtube.com/watch?v=QNvu01OGv-Y</v>
      </c>
      <c r="X475" s="82" t="s">
        <v>1857</v>
      </c>
      <c r="Y475" s="82">
        <v>1</v>
      </c>
      <c r="Z475" s="86">
        <v>45158.78905092592</v>
      </c>
      <c r="AA475" s="86">
        <v>45158.78905092592</v>
      </c>
      <c r="AB475" s="82"/>
      <c r="AC475" s="82"/>
      <c r="AD475" s="82"/>
      <c r="AE475" s="82">
        <v>1</v>
      </c>
      <c r="AF475" s="81">
        <v>2</v>
      </c>
      <c r="AG475" s="81">
        <v>2</v>
      </c>
      <c r="AH475" s="49">
        <v>0</v>
      </c>
      <c r="AI475" s="50">
        <v>0</v>
      </c>
      <c r="AJ475" s="49">
        <v>1</v>
      </c>
      <c r="AK475" s="110">
        <v>5.555555555555555</v>
      </c>
      <c r="AL475" s="49">
        <v>0</v>
      </c>
      <c r="AM475" s="50">
        <v>0</v>
      </c>
      <c r="AN475" s="49">
        <v>11</v>
      </c>
      <c r="AO475" s="110">
        <v>61.111111111111114</v>
      </c>
      <c r="AP475" s="49">
        <v>18</v>
      </c>
    </row>
    <row r="476" spans="1:42" ht="15">
      <c r="A476" s="66" t="s">
        <v>695</v>
      </c>
      <c r="B476" s="66" t="s">
        <v>758</v>
      </c>
      <c r="C476" s="67" t="s">
        <v>774</v>
      </c>
      <c r="D476" s="68">
        <v>3</v>
      </c>
      <c r="E476" s="69"/>
      <c r="F476" s="70">
        <v>40</v>
      </c>
      <c r="G476" s="67"/>
      <c r="H476" s="71"/>
      <c r="I476" s="72"/>
      <c r="J476" s="72"/>
      <c r="K476" s="35" t="s">
        <v>65</v>
      </c>
      <c r="L476" s="80">
        <v>476</v>
      </c>
      <c r="M476" s="80"/>
      <c r="N476" s="74"/>
      <c r="O476" s="82" t="s">
        <v>776</v>
      </c>
      <c r="P476" s="82" t="s">
        <v>197</v>
      </c>
      <c r="Q476" s="82" t="s">
        <v>1238</v>
      </c>
      <c r="R476" s="82" t="s">
        <v>695</v>
      </c>
      <c r="S476" s="82" t="s">
        <v>1760</v>
      </c>
      <c r="T476" s="84" t="str">
        <f>HYPERLINK("http://www.youtube.com/channel/UCMmYeNobfU1erL5KunJ0OfQ")</f>
        <v>http://www.youtube.com/channel/UCMmYeNobfU1erL5KunJ0OfQ</v>
      </c>
      <c r="U476" s="82"/>
      <c r="V476" s="82" t="s">
        <v>1843</v>
      </c>
      <c r="W476" s="84" t="str">
        <f>HYPERLINK("https://www.youtube.com/watch?v=QNvu01OGv-Y")</f>
        <v>https://www.youtube.com/watch?v=QNvu01OGv-Y</v>
      </c>
      <c r="X476" s="82" t="s">
        <v>1857</v>
      </c>
      <c r="Y476" s="82">
        <v>17</v>
      </c>
      <c r="Z476" s="86">
        <v>45158.7893287037</v>
      </c>
      <c r="AA476" s="86">
        <v>45158.7893287037</v>
      </c>
      <c r="AB476" s="82"/>
      <c r="AC476" s="82"/>
      <c r="AD476" s="82"/>
      <c r="AE476" s="82">
        <v>1</v>
      </c>
      <c r="AF476" s="81">
        <v>2</v>
      </c>
      <c r="AG476" s="81">
        <v>2</v>
      </c>
      <c r="AH476" s="49">
        <v>1</v>
      </c>
      <c r="AI476" s="110">
        <v>3.7037037037037037</v>
      </c>
      <c r="AJ476" s="49">
        <v>1</v>
      </c>
      <c r="AK476" s="110">
        <v>3.7037037037037037</v>
      </c>
      <c r="AL476" s="49">
        <v>0</v>
      </c>
      <c r="AM476" s="50">
        <v>0</v>
      </c>
      <c r="AN476" s="49">
        <v>10</v>
      </c>
      <c r="AO476" s="110">
        <v>37.03703703703704</v>
      </c>
      <c r="AP476" s="49">
        <v>27</v>
      </c>
    </row>
    <row r="477" spans="1:42" ht="15">
      <c r="A477" s="66" t="s">
        <v>696</v>
      </c>
      <c r="B477" s="66" t="s">
        <v>758</v>
      </c>
      <c r="C477" s="67" t="s">
        <v>774</v>
      </c>
      <c r="D477" s="68">
        <v>3</v>
      </c>
      <c r="E477" s="69"/>
      <c r="F477" s="70">
        <v>40</v>
      </c>
      <c r="G477" s="67"/>
      <c r="H477" s="71"/>
      <c r="I477" s="72"/>
      <c r="J477" s="72"/>
      <c r="K477" s="35" t="s">
        <v>65</v>
      </c>
      <c r="L477" s="80">
        <v>477</v>
      </c>
      <c r="M477" s="80"/>
      <c r="N477" s="74"/>
      <c r="O477" s="82" t="s">
        <v>776</v>
      </c>
      <c r="P477" s="82" t="s">
        <v>197</v>
      </c>
      <c r="Q477" s="82" t="s">
        <v>1239</v>
      </c>
      <c r="R477" s="82" t="s">
        <v>696</v>
      </c>
      <c r="S477" s="82" t="s">
        <v>1761</v>
      </c>
      <c r="T477" s="84" t="str">
        <f>HYPERLINK("http://www.youtube.com/channel/UCblXTng8t8ELWi2_bvR0VnA")</f>
        <v>http://www.youtube.com/channel/UCblXTng8t8ELWi2_bvR0VnA</v>
      </c>
      <c r="U477" s="82"/>
      <c r="V477" s="82" t="s">
        <v>1843</v>
      </c>
      <c r="W477" s="84" t="str">
        <f>HYPERLINK("https://www.youtube.com/watch?v=QNvu01OGv-Y")</f>
        <v>https://www.youtube.com/watch?v=QNvu01OGv-Y</v>
      </c>
      <c r="X477" s="82" t="s">
        <v>1857</v>
      </c>
      <c r="Y477" s="82">
        <v>1</v>
      </c>
      <c r="Z477" s="86">
        <v>45158.79261574074</v>
      </c>
      <c r="AA477" s="86">
        <v>45158.79261574074</v>
      </c>
      <c r="AB477" s="82"/>
      <c r="AC477" s="82"/>
      <c r="AD477" s="82"/>
      <c r="AE477" s="82">
        <v>1</v>
      </c>
      <c r="AF477" s="81">
        <v>2</v>
      </c>
      <c r="AG477" s="81">
        <v>2</v>
      </c>
      <c r="AH477" s="49">
        <v>0</v>
      </c>
      <c r="AI477" s="50">
        <v>0</v>
      </c>
      <c r="AJ477" s="49">
        <v>1</v>
      </c>
      <c r="AK477" s="110">
        <v>7.6923076923076925</v>
      </c>
      <c r="AL477" s="49">
        <v>0</v>
      </c>
      <c r="AM477" s="50">
        <v>0</v>
      </c>
      <c r="AN477" s="49">
        <v>3</v>
      </c>
      <c r="AO477" s="110">
        <v>23.076923076923077</v>
      </c>
      <c r="AP477" s="49">
        <v>13</v>
      </c>
    </row>
    <row r="478" spans="1:42" ht="15">
      <c r="A478" s="66" t="s">
        <v>697</v>
      </c>
      <c r="B478" s="66" t="s">
        <v>758</v>
      </c>
      <c r="C478" s="67" t="s">
        <v>774</v>
      </c>
      <c r="D478" s="68">
        <v>3</v>
      </c>
      <c r="E478" s="69"/>
      <c r="F478" s="70">
        <v>40</v>
      </c>
      <c r="G478" s="67"/>
      <c r="H478" s="71"/>
      <c r="I478" s="72"/>
      <c r="J478" s="72"/>
      <c r="K478" s="35" t="s">
        <v>65</v>
      </c>
      <c r="L478" s="80">
        <v>478</v>
      </c>
      <c r="M478" s="80"/>
      <c r="N478" s="74"/>
      <c r="O478" s="82" t="s">
        <v>776</v>
      </c>
      <c r="P478" s="82" t="s">
        <v>197</v>
      </c>
      <c r="Q478" s="82" t="s">
        <v>1240</v>
      </c>
      <c r="R478" s="82" t="s">
        <v>697</v>
      </c>
      <c r="S478" s="82" t="s">
        <v>1762</v>
      </c>
      <c r="T478" s="84" t="str">
        <f>HYPERLINK("http://www.youtube.com/channel/UCfuVPsdveNmN7ZotWZXLnVQ")</f>
        <v>http://www.youtube.com/channel/UCfuVPsdveNmN7ZotWZXLnVQ</v>
      </c>
      <c r="U478" s="82"/>
      <c r="V478" s="82" t="s">
        <v>1843</v>
      </c>
      <c r="W478" s="84" t="str">
        <f>HYPERLINK("https://www.youtube.com/watch?v=QNvu01OGv-Y")</f>
        <v>https://www.youtube.com/watch?v=QNvu01OGv-Y</v>
      </c>
      <c r="X478" s="82" t="s">
        <v>1857</v>
      </c>
      <c r="Y478" s="82">
        <v>2</v>
      </c>
      <c r="Z478" s="86">
        <v>45158.79550925926</v>
      </c>
      <c r="AA478" s="86">
        <v>45158.79550925926</v>
      </c>
      <c r="AB478" s="82"/>
      <c r="AC478" s="82"/>
      <c r="AD478" s="82"/>
      <c r="AE478" s="82">
        <v>1</v>
      </c>
      <c r="AF478" s="81">
        <v>2</v>
      </c>
      <c r="AG478" s="81">
        <v>2</v>
      </c>
      <c r="AH478" s="49">
        <v>0</v>
      </c>
      <c r="AI478" s="50">
        <v>0</v>
      </c>
      <c r="AJ478" s="49">
        <v>0</v>
      </c>
      <c r="AK478" s="50">
        <v>0</v>
      </c>
      <c r="AL478" s="49">
        <v>0</v>
      </c>
      <c r="AM478" s="50">
        <v>0</v>
      </c>
      <c r="AN478" s="49">
        <v>5</v>
      </c>
      <c r="AO478" s="50">
        <v>31.25</v>
      </c>
      <c r="AP478" s="49">
        <v>16</v>
      </c>
    </row>
    <row r="479" spans="1:42" ht="15">
      <c r="A479" s="66" t="s">
        <v>698</v>
      </c>
      <c r="B479" s="66" t="s">
        <v>758</v>
      </c>
      <c r="C479" s="67" t="s">
        <v>774</v>
      </c>
      <c r="D479" s="68">
        <v>3</v>
      </c>
      <c r="E479" s="69"/>
      <c r="F479" s="70">
        <v>40</v>
      </c>
      <c r="G479" s="67"/>
      <c r="H479" s="71"/>
      <c r="I479" s="72"/>
      <c r="J479" s="72"/>
      <c r="K479" s="35" t="s">
        <v>65</v>
      </c>
      <c r="L479" s="80">
        <v>479</v>
      </c>
      <c r="M479" s="80"/>
      <c r="N479" s="74"/>
      <c r="O479" s="82" t="s">
        <v>776</v>
      </c>
      <c r="P479" s="82" t="s">
        <v>197</v>
      </c>
      <c r="Q479" s="82" t="s">
        <v>1241</v>
      </c>
      <c r="R479" s="82" t="s">
        <v>698</v>
      </c>
      <c r="S479" s="82" t="s">
        <v>1763</v>
      </c>
      <c r="T479" s="84" t="str">
        <f>HYPERLINK("http://www.youtube.com/channel/UC-Vsu2Rq8-B4Us_LD6XsTrw")</f>
        <v>http://www.youtube.com/channel/UC-Vsu2Rq8-B4Us_LD6XsTrw</v>
      </c>
      <c r="U479" s="82"/>
      <c r="V479" s="82" t="s">
        <v>1843</v>
      </c>
      <c r="W479" s="84" t="str">
        <f>HYPERLINK("https://www.youtube.com/watch?v=QNvu01OGv-Y")</f>
        <v>https://www.youtube.com/watch?v=QNvu01OGv-Y</v>
      </c>
      <c r="X479" s="82" t="s">
        <v>1857</v>
      </c>
      <c r="Y479" s="82">
        <v>0</v>
      </c>
      <c r="Z479" s="86">
        <v>45158.80391203704</v>
      </c>
      <c r="AA479" s="86">
        <v>45158.80391203704</v>
      </c>
      <c r="AB479" s="82"/>
      <c r="AC479" s="82"/>
      <c r="AD479" s="82"/>
      <c r="AE479" s="82">
        <v>1</v>
      </c>
      <c r="AF479" s="81">
        <v>2</v>
      </c>
      <c r="AG479" s="81">
        <v>2</v>
      </c>
      <c r="AH479" s="49">
        <v>0</v>
      </c>
      <c r="AI479" s="50">
        <v>0</v>
      </c>
      <c r="AJ479" s="49">
        <v>1</v>
      </c>
      <c r="AK479" s="110">
        <v>5.882352941176471</v>
      </c>
      <c r="AL479" s="49">
        <v>0</v>
      </c>
      <c r="AM479" s="50">
        <v>0</v>
      </c>
      <c r="AN479" s="49">
        <v>6</v>
      </c>
      <c r="AO479" s="110">
        <v>35.294117647058826</v>
      </c>
      <c r="AP479" s="49">
        <v>17</v>
      </c>
    </row>
    <row r="480" spans="1:42" ht="15">
      <c r="A480" s="66" t="s">
        <v>699</v>
      </c>
      <c r="B480" s="66" t="s">
        <v>758</v>
      </c>
      <c r="C480" s="67" t="s">
        <v>774</v>
      </c>
      <c r="D480" s="68">
        <v>3</v>
      </c>
      <c r="E480" s="69"/>
      <c r="F480" s="70">
        <v>40</v>
      </c>
      <c r="G480" s="67"/>
      <c r="H480" s="71"/>
      <c r="I480" s="72"/>
      <c r="J480" s="72"/>
      <c r="K480" s="35" t="s">
        <v>65</v>
      </c>
      <c r="L480" s="80">
        <v>480</v>
      </c>
      <c r="M480" s="80"/>
      <c r="N480" s="74"/>
      <c r="O480" s="82" t="s">
        <v>776</v>
      </c>
      <c r="P480" s="82" t="s">
        <v>197</v>
      </c>
      <c r="Q480" s="82" t="s">
        <v>1242</v>
      </c>
      <c r="R480" s="82" t="s">
        <v>699</v>
      </c>
      <c r="S480" s="82" t="s">
        <v>1764</v>
      </c>
      <c r="T480" s="84" t="str">
        <f>HYPERLINK("http://www.youtube.com/channel/UCf4pZc-iceY4rRW_FIH1Unw")</f>
        <v>http://www.youtube.com/channel/UCf4pZc-iceY4rRW_FIH1Unw</v>
      </c>
      <c r="U480" s="82"/>
      <c r="V480" s="82" t="s">
        <v>1843</v>
      </c>
      <c r="W480" s="84" t="str">
        <f>HYPERLINK("https://www.youtube.com/watch?v=QNvu01OGv-Y")</f>
        <v>https://www.youtube.com/watch?v=QNvu01OGv-Y</v>
      </c>
      <c r="X480" s="82" t="s">
        <v>1857</v>
      </c>
      <c r="Y480" s="82">
        <v>5</v>
      </c>
      <c r="Z480" s="86">
        <v>45158.80824074074</v>
      </c>
      <c r="AA480" s="86">
        <v>45158.80824074074</v>
      </c>
      <c r="AB480" s="82"/>
      <c r="AC480" s="82"/>
      <c r="AD480" s="82"/>
      <c r="AE480" s="82">
        <v>1</v>
      </c>
      <c r="AF480" s="81">
        <v>2</v>
      </c>
      <c r="AG480" s="81">
        <v>2</v>
      </c>
      <c r="AH480" s="49">
        <v>1</v>
      </c>
      <c r="AI480" s="110">
        <v>7.6923076923076925</v>
      </c>
      <c r="AJ480" s="49">
        <v>0</v>
      </c>
      <c r="AK480" s="50">
        <v>0</v>
      </c>
      <c r="AL480" s="49">
        <v>0</v>
      </c>
      <c r="AM480" s="50">
        <v>0</v>
      </c>
      <c r="AN480" s="49">
        <v>5</v>
      </c>
      <c r="AO480" s="110">
        <v>38.46153846153846</v>
      </c>
      <c r="AP480" s="49">
        <v>13</v>
      </c>
    </row>
    <row r="481" spans="1:42" ht="15">
      <c r="A481" s="66" t="s">
        <v>700</v>
      </c>
      <c r="B481" s="66" t="s">
        <v>758</v>
      </c>
      <c r="C481" s="67" t="s">
        <v>774</v>
      </c>
      <c r="D481" s="68">
        <v>3</v>
      </c>
      <c r="E481" s="69"/>
      <c r="F481" s="70">
        <v>40</v>
      </c>
      <c r="G481" s="67"/>
      <c r="H481" s="71"/>
      <c r="I481" s="72"/>
      <c r="J481" s="72"/>
      <c r="K481" s="35" t="s">
        <v>65</v>
      </c>
      <c r="L481" s="80">
        <v>481</v>
      </c>
      <c r="M481" s="80"/>
      <c r="N481" s="74"/>
      <c r="O481" s="82" t="s">
        <v>776</v>
      </c>
      <c r="P481" s="82" t="s">
        <v>197</v>
      </c>
      <c r="Q481" s="82" t="s">
        <v>1243</v>
      </c>
      <c r="R481" s="82" t="s">
        <v>700</v>
      </c>
      <c r="S481" s="82" t="s">
        <v>1765</v>
      </c>
      <c r="T481" s="84" t="str">
        <f>HYPERLINK("http://www.youtube.com/channel/UCORptN_cZjib1yvvXJb0qDQ")</f>
        <v>http://www.youtube.com/channel/UCORptN_cZjib1yvvXJb0qDQ</v>
      </c>
      <c r="U481" s="82"/>
      <c r="V481" s="82" t="s">
        <v>1843</v>
      </c>
      <c r="W481" s="84" t="str">
        <f>HYPERLINK("https://www.youtube.com/watch?v=QNvu01OGv-Y")</f>
        <v>https://www.youtube.com/watch?v=QNvu01OGv-Y</v>
      </c>
      <c r="X481" s="82" t="s">
        <v>1857</v>
      </c>
      <c r="Y481" s="82">
        <v>22</v>
      </c>
      <c r="Z481" s="86">
        <v>45158.80971064815</v>
      </c>
      <c r="AA481" s="86">
        <v>45158.80971064815</v>
      </c>
      <c r="AB481" s="82"/>
      <c r="AC481" s="82"/>
      <c r="AD481" s="82"/>
      <c r="AE481" s="82">
        <v>1</v>
      </c>
      <c r="AF481" s="81">
        <v>2</v>
      </c>
      <c r="AG481" s="81">
        <v>2</v>
      </c>
      <c r="AH481" s="49">
        <v>1</v>
      </c>
      <c r="AI481" s="110">
        <v>4.166666666666667</v>
      </c>
      <c r="AJ481" s="49">
        <v>0</v>
      </c>
      <c r="AK481" s="50">
        <v>0</v>
      </c>
      <c r="AL481" s="49">
        <v>0</v>
      </c>
      <c r="AM481" s="50">
        <v>0</v>
      </c>
      <c r="AN481" s="49">
        <v>9</v>
      </c>
      <c r="AO481" s="50">
        <v>37.5</v>
      </c>
      <c r="AP481" s="49">
        <v>24</v>
      </c>
    </row>
    <row r="482" spans="1:42" ht="15">
      <c r="A482" s="66" t="s">
        <v>701</v>
      </c>
      <c r="B482" s="66" t="s">
        <v>758</v>
      </c>
      <c r="C482" s="67" t="s">
        <v>774</v>
      </c>
      <c r="D482" s="68">
        <v>3</v>
      </c>
      <c r="E482" s="69"/>
      <c r="F482" s="70">
        <v>40</v>
      </c>
      <c r="G482" s="67"/>
      <c r="H482" s="71"/>
      <c r="I482" s="72"/>
      <c r="J482" s="72"/>
      <c r="K482" s="35" t="s">
        <v>65</v>
      </c>
      <c r="L482" s="80">
        <v>482</v>
      </c>
      <c r="M482" s="80"/>
      <c r="N482" s="74"/>
      <c r="O482" s="82" t="s">
        <v>776</v>
      </c>
      <c r="P482" s="82" t="s">
        <v>197</v>
      </c>
      <c r="Q482" s="82" t="s">
        <v>1244</v>
      </c>
      <c r="R482" s="82" t="s">
        <v>701</v>
      </c>
      <c r="S482" s="82" t="s">
        <v>1766</v>
      </c>
      <c r="T482" s="84" t="str">
        <f>HYPERLINK("http://www.youtube.com/channel/UCH_Mw514yZ1p-1goGHzqPAg")</f>
        <v>http://www.youtube.com/channel/UCH_Mw514yZ1p-1goGHzqPAg</v>
      </c>
      <c r="U482" s="82"/>
      <c r="V482" s="82" t="s">
        <v>1843</v>
      </c>
      <c r="W482" s="84" t="str">
        <f>HYPERLINK("https://www.youtube.com/watch?v=QNvu01OGv-Y")</f>
        <v>https://www.youtube.com/watch?v=QNvu01OGv-Y</v>
      </c>
      <c r="X482" s="82" t="s">
        <v>1857</v>
      </c>
      <c r="Y482" s="82">
        <v>0</v>
      </c>
      <c r="Z482" s="86">
        <v>45158.813159722224</v>
      </c>
      <c r="AA482" s="86">
        <v>45158.813159722224</v>
      </c>
      <c r="AB482" s="82"/>
      <c r="AC482" s="82"/>
      <c r="AD482" s="82"/>
      <c r="AE482" s="82">
        <v>1</v>
      </c>
      <c r="AF482" s="81">
        <v>2</v>
      </c>
      <c r="AG482" s="81">
        <v>2</v>
      </c>
      <c r="AH482" s="49">
        <v>0</v>
      </c>
      <c r="AI482" s="50">
        <v>0</v>
      </c>
      <c r="AJ482" s="49">
        <v>0</v>
      </c>
      <c r="AK482" s="50">
        <v>0</v>
      </c>
      <c r="AL482" s="49">
        <v>0</v>
      </c>
      <c r="AM482" s="50">
        <v>0</v>
      </c>
      <c r="AN482" s="49">
        <v>0</v>
      </c>
      <c r="AO482" s="50">
        <v>0</v>
      </c>
      <c r="AP482" s="49">
        <v>0</v>
      </c>
    </row>
    <row r="483" spans="1:42" ht="15">
      <c r="A483" s="66" t="s">
        <v>702</v>
      </c>
      <c r="B483" s="66" t="s">
        <v>758</v>
      </c>
      <c r="C483" s="67" t="s">
        <v>774</v>
      </c>
      <c r="D483" s="68">
        <v>3</v>
      </c>
      <c r="E483" s="69"/>
      <c r="F483" s="70">
        <v>40</v>
      </c>
      <c r="G483" s="67"/>
      <c r="H483" s="71"/>
      <c r="I483" s="72"/>
      <c r="J483" s="72"/>
      <c r="K483" s="35" t="s">
        <v>65</v>
      </c>
      <c r="L483" s="80">
        <v>483</v>
      </c>
      <c r="M483" s="80"/>
      <c r="N483" s="74"/>
      <c r="O483" s="82" t="s">
        <v>776</v>
      </c>
      <c r="P483" s="82" t="s">
        <v>197</v>
      </c>
      <c r="Q483" s="82" t="s">
        <v>1245</v>
      </c>
      <c r="R483" s="82" t="s">
        <v>702</v>
      </c>
      <c r="S483" s="82" t="s">
        <v>1767</v>
      </c>
      <c r="T483" s="84" t="str">
        <f>HYPERLINK("http://www.youtube.com/channel/UC3_WGzeTLyiVjTdOCrDzBgg")</f>
        <v>http://www.youtube.com/channel/UC3_WGzeTLyiVjTdOCrDzBgg</v>
      </c>
      <c r="U483" s="82"/>
      <c r="V483" s="82" t="s">
        <v>1843</v>
      </c>
      <c r="W483" s="84" t="str">
        <f>HYPERLINK("https://www.youtube.com/watch?v=QNvu01OGv-Y")</f>
        <v>https://www.youtube.com/watch?v=QNvu01OGv-Y</v>
      </c>
      <c r="X483" s="82" t="s">
        <v>1857</v>
      </c>
      <c r="Y483" s="82">
        <v>1</v>
      </c>
      <c r="Z483" s="86">
        <v>45158.81799768518</v>
      </c>
      <c r="AA483" s="86">
        <v>45158.81799768518</v>
      </c>
      <c r="AB483" s="82"/>
      <c r="AC483" s="82"/>
      <c r="AD483" s="82"/>
      <c r="AE483" s="82">
        <v>1</v>
      </c>
      <c r="AF483" s="81">
        <v>2</v>
      </c>
      <c r="AG483" s="81">
        <v>2</v>
      </c>
      <c r="AH483" s="49">
        <v>0</v>
      </c>
      <c r="AI483" s="50">
        <v>0</v>
      </c>
      <c r="AJ483" s="49">
        <v>1</v>
      </c>
      <c r="AK483" s="110">
        <v>5.555555555555555</v>
      </c>
      <c r="AL483" s="49">
        <v>0</v>
      </c>
      <c r="AM483" s="50">
        <v>0</v>
      </c>
      <c r="AN483" s="49">
        <v>5</v>
      </c>
      <c r="AO483" s="110">
        <v>27.77777777777778</v>
      </c>
      <c r="AP483" s="49">
        <v>18</v>
      </c>
    </row>
    <row r="484" spans="1:42" ht="15">
      <c r="A484" s="66" t="s">
        <v>703</v>
      </c>
      <c r="B484" s="66" t="s">
        <v>758</v>
      </c>
      <c r="C484" s="67" t="s">
        <v>774</v>
      </c>
      <c r="D484" s="68">
        <v>3</v>
      </c>
      <c r="E484" s="69"/>
      <c r="F484" s="70">
        <v>40</v>
      </c>
      <c r="G484" s="67"/>
      <c r="H484" s="71"/>
      <c r="I484" s="72"/>
      <c r="J484" s="72"/>
      <c r="K484" s="35" t="s">
        <v>65</v>
      </c>
      <c r="L484" s="80">
        <v>484</v>
      </c>
      <c r="M484" s="80"/>
      <c r="N484" s="74"/>
      <c r="O484" s="82" t="s">
        <v>776</v>
      </c>
      <c r="P484" s="82" t="s">
        <v>197</v>
      </c>
      <c r="Q484" s="82" t="s">
        <v>1246</v>
      </c>
      <c r="R484" s="82" t="s">
        <v>703</v>
      </c>
      <c r="S484" s="82" t="s">
        <v>1768</v>
      </c>
      <c r="T484" s="84" t="str">
        <f>HYPERLINK("http://www.youtube.com/channel/UCb3poqstXx4qdaw2w_5tBQw")</f>
        <v>http://www.youtube.com/channel/UCb3poqstXx4qdaw2w_5tBQw</v>
      </c>
      <c r="U484" s="82"/>
      <c r="V484" s="82" t="s">
        <v>1843</v>
      </c>
      <c r="W484" s="84" t="str">
        <f>HYPERLINK("https://www.youtube.com/watch?v=QNvu01OGv-Y")</f>
        <v>https://www.youtube.com/watch?v=QNvu01OGv-Y</v>
      </c>
      <c r="X484" s="82" t="s">
        <v>1857</v>
      </c>
      <c r="Y484" s="82">
        <v>0</v>
      </c>
      <c r="Z484" s="86">
        <v>45158.818715277775</v>
      </c>
      <c r="AA484" s="86">
        <v>45158.818715277775</v>
      </c>
      <c r="AB484" s="82"/>
      <c r="AC484" s="82"/>
      <c r="AD484" s="82"/>
      <c r="AE484" s="82">
        <v>1</v>
      </c>
      <c r="AF484" s="81">
        <v>2</v>
      </c>
      <c r="AG484" s="81">
        <v>2</v>
      </c>
      <c r="AH484" s="49">
        <v>0</v>
      </c>
      <c r="AI484" s="50">
        <v>0</v>
      </c>
      <c r="AJ484" s="49">
        <v>0</v>
      </c>
      <c r="AK484" s="50">
        <v>0</v>
      </c>
      <c r="AL484" s="49">
        <v>0</v>
      </c>
      <c r="AM484" s="50">
        <v>0</v>
      </c>
      <c r="AN484" s="49">
        <v>5</v>
      </c>
      <c r="AO484" s="110">
        <v>23.80952380952381</v>
      </c>
      <c r="AP484" s="49">
        <v>21</v>
      </c>
    </row>
    <row r="485" spans="1:42" ht="15">
      <c r="A485" s="66" t="s">
        <v>704</v>
      </c>
      <c r="B485" s="66" t="s">
        <v>758</v>
      </c>
      <c r="C485" s="67" t="s">
        <v>774</v>
      </c>
      <c r="D485" s="68">
        <v>3</v>
      </c>
      <c r="E485" s="69"/>
      <c r="F485" s="70">
        <v>40</v>
      </c>
      <c r="G485" s="67"/>
      <c r="H485" s="71"/>
      <c r="I485" s="72"/>
      <c r="J485" s="72"/>
      <c r="K485" s="35" t="s">
        <v>65</v>
      </c>
      <c r="L485" s="80">
        <v>485</v>
      </c>
      <c r="M485" s="80"/>
      <c r="N485" s="74"/>
      <c r="O485" s="82" t="s">
        <v>776</v>
      </c>
      <c r="P485" s="82" t="s">
        <v>197</v>
      </c>
      <c r="Q485" s="82" t="s">
        <v>1247</v>
      </c>
      <c r="R485" s="82" t="s">
        <v>704</v>
      </c>
      <c r="S485" s="82" t="s">
        <v>1769</v>
      </c>
      <c r="T485" s="84" t="str">
        <f>HYPERLINK("http://www.youtube.com/channel/UCHhpxmEbI_QzJiynEHx7-ZQ")</f>
        <v>http://www.youtube.com/channel/UCHhpxmEbI_QzJiynEHx7-ZQ</v>
      </c>
      <c r="U485" s="82"/>
      <c r="V485" s="82" t="s">
        <v>1843</v>
      </c>
      <c r="W485" s="84" t="str">
        <f>HYPERLINK("https://www.youtube.com/watch?v=QNvu01OGv-Y")</f>
        <v>https://www.youtube.com/watch?v=QNvu01OGv-Y</v>
      </c>
      <c r="X485" s="82" t="s">
        <v>1857</v>
      </c>
      <c r="Y485" s="82">
        <v>1</v>
      </c>
      <c r="Z485" s="86">
        <v>45158.823333333334</v>
      </c>
      <c r="AA485" s="86">
        <v>45158.823333333334</v>
      </c>
      <c r="AB485" s="82"/>
      <c r="AC485" s="82"/>
      <c r="AD485" s="82"/>
      <c r="AE485" s="82">
        <v>1</v>
      </c>
      <c r="AF485" s="81">
        <v>2</v>
      </c>
      <c r="AG485" s="81">
        <v>2</v>
      </c>
      <c r="AH485" s="49">
        <v>0</v>
      </c>
      <c r="AI485" s="50">
        <v>0</v>
      </c>
      <c r="AJ485" s="49">
        <v>5</v>
      </c>
      <c r="AK485" s="50">
        <v>25</v>
      </c>
      <c r="AL485" s="49">
        <v>0</v>
      </c>
      <c r="AM485" s="50">
        <v>0</v>
      </c>
      <c r="AN485" s="49">
        <v>2</v>
      </c>
      <c r="AO485" s="50">
        <v>10</v>
      </c>
      <c r="AP485" s="49">
        <v>20</v>
      </c>
    </row>
    <row r="486" spans="1:42" ht="15">
      <c r="A486" s="66" t="s">
        <v>705</v>
      </c>
      <c r="B486" s="66" t="s">
        <v>758</v>
      </c>
      <c r="C486" s="67" t="s">
        <v>774</v>
      </c>
      <c r="D486" s="68">
        <v>3</v>
      </c>
      <c r="E486" s="69"/>
      <c r="F486" s="70">
        <v>40</v>
      </c>
      <c r="G486" s="67"/>
      <c r="H486" s="71"/>
      <c r="I486" s="72"/>
      <c r="J486" s="72"/>
      <c r="K486" s="35" t="s">
        <v>65</v>
      </c>
      <c r="L486" s="80">
        <v>486</v>
      </c>
      <c r="M486" s="80"/>
      <c r="N486" s="74"/>
      <c r="O486" s="82" t="s">
        <v>776</v>
      </c>
      <c r="P486" s="82" t="s">
        <v>197</v>
      </c>
      <c r="Q486" s="82" t="s">
        <v>1248</v>
      </c>
      <c r="R486" s="82" t="s">
        <v>705</v>
      </c>
      <c r="S486" s="82" t="s">
        <v>1770</v>
      </c>
      <c r="T486" s="84" t="str">
        <f>HYPERLINK("http://www.youtube.com/channel/UC4LoMsTr6vDlSGu65YhHubw")</f>
        <v>http://www.youtube.com/channel/UC4LoMsTr6vDlSGu65YhHubw</v>
      </c>
      <c r="U486" s="82"/>
      <c r="V486" s="82" t="s">
        <v>1843</v>
      </c>
      <c r="W486" s="84" t="str">
        <f>HYPERLINK("https://www.youtube.com/watch?v=QNvu01OGv-Y")</f>
        <v>https://www.youtube.com/watch?v=QNvu01OGv-Y</v>
      </c>
      <c r="X486" s="82" t="s">
        <v>1857</v>
      </c>
      <c r="Y486" s="82">
        <v>1</v>
      </c>
      <c r="Z486" s="86">
        <v>45158.824270833335</v>
      </c>
      <c r="AA486" s="86">
        <v>45158.824270833335</v>
      </c>
      <c r="AB486" s="82"/>
      <c r="AC486" s="82"/>
      <c r="AD486" s="82"/>
      <c r="AE486" s="82">
        <v>1</v>
      </c>
      <c r="AF486" s="81">
        <v>2</v>
      </c>
      <c r="AG486" s="81">
        <v>2</v>
      </c>
      <c r="AH486" s="49">
        <v>0</v>
      </c>
      <c r="AI486" s="50">
        <v>0</v>
      </c>
      <c r="AJ486" s="49">
        <v>0</v>
      </c>
      <c r="AK486" s="50">
        <v>0</v>
      </c>
      <c r="AL486" s="49">
        <v>0</v>
      </c>
      <c r="AM486" s="50">
        <v>0</v>
      </c>
      <c r="AN486" s="49">
        <v>6</v>
      </c>
      <c r="AO486" s="50">
        <v>50</v>
      </c>
      <c r="AP486" s="49">
        <v>12</v>
      </c>
    </row>
    <row r="487" spans="1:42" ht="15">
      <c r="A487" s="66" t="s">
        <v>706</v>
      </c>
      <c r="B487" s="66" t="s">
        <v>758</v>
      </c>
      <c r="C487" s="67" t="s">
        <v>4788</v>
      </c>
      <c r="D487" s="68">
        <v>10</v>
      </c>
      <c r="E487" s="69"/>
      <c r="F487" s="70">
        <v>15</v>
      </c>
      <c r="G487" s="67"/>
      <c r="H487" s="71"/>
      <c r="I487" s="72"/>
      <c r="J487" s="72"/>
      <c r="K487" s="35" t="s">
        <v>65</v>
      </c>
      <c r="L487" s="80">
        <v>487</v>
      </c>
      <c r="M487" s="80"/>
      <c r="N487" s="74"/>
      <c r="O487" s="82" t="s">
        <v>776</v>
      </c>
      <c r="P487" s="82" t="s">
        <v>197</v>
      </c>
      <c r="Q487" s="82" t="s">
        <v>1249</v>
      </c>
      <c r="R487" s="82" t="s">
        <v>706</v>
      </c>
      <c r="S487" s="82" t="s">
        <v>1771</v>
      </c>
      <c r="T487" s="84" t="str">
        <f>HYPERLINK("http://www.youtube.com/channel/UCNs2K7uGB5PcQGz6SlAJ7-Q")</f>
        <v>http://www.youtube.com/channel/UCNs2K7uGB5PcQGz6SlAJ7-Q</v>
      </c>
      <c r="U487" s="82"/>
      <c r="V487" s="82" t="s">
        <v>1843</v>
      </c>
      <c r="W487" s="84" t="str">
        <f>HYPERLINK("https://www.youtube.com/watch?v=QNvu01OGv-Y")</f>
        <v>https://www.youtube.com/watch?v=QNvu01OGv-Y</v>
      </c>
      <c r="X487" s="82" t="s">
        <v>1857</v>
      </c>
      <c r="Y487" s="82">
        <v>1</v>
      </c>
      <c r="Z487" s="86">
        <v>45158.84777777778</v>
      </c>
      <c r="AA487" s="86">
        <v>45158.84777777778</v>
      </c>
      <c r="AB487" s="82"/>
      <c r="AC487" s="82"/>
      <c r="AD487" s="82"/>
      <c r="AE487" s="82">
        <v>4</v>
      </c>
      <c r="AF487" s="81">
        <v>2</v>
      </c>
      <c r="AG487" s="81">
        <v>2</v>
      </c>
      <c r="AH487" s="49">
        <v>0</v>
      </c>
      <c r="AI487" s="50">
        <v>0</v>
      </c>
      <c r="AJ487" s="49">
        <v>0</v>
      </c>
      <c r="AK487" s="50">
        <v>0</v>
      </c>
      <c r="AL487" s="49">
        <v>0</v>
      </c>
      <c r="AM487" s="50">
        <v>0</v>
      </c>
      <c r="AN487" s="49">
        <v>5</v>
      </c>
      <c r="AO487" s="110">
        <v>41.666666666666664</v>
      </c>
      <c r="AP487" s="49">
        <v>12</v>
      </c>
    </row>
    <row r="488" spans="1:42" ht="15">
      <c r="A488" s="66" t="s">
        <v>707</v>
      </c>
      <c r="B488" s="66" t="s">
        <v>758</v>
      </c>
      <c r="C488" s="67" t="s">
        <v>774</v>
      </c>
      <c r="D488" s="68">
        <v>3</v>
      </c>
      <c r="E488" s="69"/>
      <c r="F488" s="70">
        <v>40</v>
      </c>
      <c r="G488" s="67"/>
      <c r="H488" s="71"/>
      <c r="I488" s="72"/>
      <c r="J488" s="72"/>
      <c r="K488" s="35" t="s">
        <v>65</v>
      </c>
      <c r="L488" s="80">
        <v>488</v>
      </c>
      <c r="M488" s="80"/>
      <c r="N488" s="74"/>
      <c r="O488" s="82" t="s">
        <v>776</v>
      </c>
      <c r="P488" s="82" t="s">
        <v>197</v>
      </c>
      <c r="Q488" s="82" t="s">
        <v>1250</v>
      </c>
      <c r="R488" s="82" t="s">
        <v>707</v>
      </c>
      <c r="S488" s="82" t="s">
        <v>1772</v>
      </c>
      <c r="T488" s="84" t="str">
        <f>HYPERLINK("http://www.youtube.com/channel/UCuttF8lm2JC0qq6_aZZI59A")</f>
        <v>http://www.youtube.com/channel/UCuttF8lm2JC0qq6_aZZI59A</v>
      </c>
      <c r="U488" s="82"/>
      <c r="V488" s="82" t="s">
        <v>1843</v>
      </c>
      <c r="W488" s="84" t="str">
        <f>HYPERLINK("https://www.youtube.com/watch?v=QNvu01OGv-Y")</f>
        <v>https://www.youtube.com/watch?v=QNvu01OGv-Y</v>
      </c>
      <c r="X488" s="82" t="s">
        <v>1857</v>
      </c>
      <c r="Y488" s="82">
        <v>0</v>
      </c>
      <c r="Z488" s="86">
        <v>45158.85016203704</v>
      </c>
      <c r="AA488" s="86">
        <v>45158.85016203704</v>
      </c>
      <c r="AB488" s="82"/>
      <c r="AC488" s="82"/>
      <c r="AD488" s="82"/>
      <c r="AE488" s="82">
        <v>1</v>
      </c>
      <c r="AF488" s="81">
        <v>2</v>
      </c>
      <c r="AG488" s="81">
        <v>2</v>
      </c>
      <c r="AH488" s="49">
        <v>1</v>
      </c>
      <c r="AI488" s="110">
        <v>1.2658227848101267</v>
      </c>
      <c r="AJ488" s="49">
        <v>2</v>
      </c>
      <c r="AK488" s="110">
        <v>2.5316455696202533</v>
      </c>
      <c r="AL488" s="49">
        <v>0</v>
      </c>
      <c r="AM488" s="50">
        <v>0</v>
      </c>
      <c r="AN488" s="49">
        <v>21</v>
      </c>
      <c r="AO488" s="110">
        <v>26.582278481012658</v>
      </c>
      <c r="AP488" s="49">
        <v>79</v>
      </c>
    </row>
    <row r="489" spans="1:42" ht="15">
      <c r="A489" s="66" t="s">
        <v>708</v>
      </c>
      <c r="B489" s="66" t="s">
        <v>758</v>
      </c>
      <c r="C489" s="67" t="s">
        <v>774</v>
      </c>
      <c r="D489" s="68">
        <v>3</v>
      </c>
      <c r="E489" s="69"/>
      <c r="F489" s="70">
        <v>40</v>
      </c>
      <c r="G489" s="67"/>
      <c r="H489" s="71"/>
      <c r="I489" s="72"/>
      <c r="J489" s="72"/>
      <c r="K489" s="35" t="s">
        <v>65</v>
      </c>
      <c r="L489" s="80">
        <v>489</v>
      </c>
      <c r="M489" s="80"/>
      <c r="N489" s="74"/>
      <c r="O489" s="82" t="s">
        <v>776</v>
      </c>
      <c r="P489" s="82" t="s">
        <v>197</v>
      </c>
      <c r="Q489" s="82" t="s">
        <v>1251</v>
      </c>
      <c r="R489" s="82" t="s">
        <v>708</v>
      </c>
      <c r="S489" s="82" t="s">
        <v>1773</v>
      </c>
      <c r="T489" s="84" t="str">
        <f>HYPERLINK("http://www.youtube.com/channel/UCXrbNDfwznFm4ApkcYyezAQ")</f>
        <v>http://www.youtube.com/channel/UCXrbNDfwznFm4ApkcYyezAQ</v>
      </c>
      <c r="U489" s="82"/>
      <c r="V489" s="82" t="s">
        <v>1843</v>
      </c>
      <c r="W489" s="84" t="str">
        <f>HYPERLINK("https://www.youtube.com/watch?v=QNvu01OGv-Y")</f>
        <v>https://www.youtube.com/watch?v=QNvu01OGv-Y</v>
      </c>
      <c r="X489" s="82" t="s">
        <v>1857</v>
      </c>
      <c r="Y489" s="82">
        <v>3</v>
      </c>
      <c r="Z489" s="86">
        <v>45158.86087962963</v>
      </c>
      <c r="AA489" s="86">
        <v>45158.86087962963</v>
      </c>
      <c r="AB489" s="82"/>
      <c r="AC489" s="82"/>
      <c r="AD489" s="82"/>
      <c r="AE489" s="82">
        <v>1</v>
      </c>
      <c r="AF489" s="81">
        <v>2</v>
      </c>
      <c r="AG489" s="81">
        <v>2</v>
      </c>
      <c r="AH489" s="49">
        <v>0</v>
      </c>
      <c r="AI489" s="50">
        <v>0</v>
      </c>
      <c r="AJ489" s="49">
        <v>0</v>
      </c>
      <c r="AK489" s="50">
        <v>0</v>
      </c>
      <c r="AL489" s="49">
        <v>0</v>
      </c>
      <c r="AM489" s="50">
        <v>0</v>
      </c>
      <c r="AN489" s="49">
        <v>3</v>
      </c>
      <c r="AO489" s="110">
        <v>33.333333333333336</v>
      </c>
      <c r="AP489" s="49">
        <v>9</v>
      </c>
    </row>
    <row r="490" spans="1:42" ht="15">
      <c r="A490" s="66" t="s">
        <v>709</v>
      </c>
      <c r="B490" s="66" t="s">
        <v>758</v>
      </c>
      <c r="C490" s="67" t="s">
        <v>774</v>
      </c>
      <c r="D490" s="68">
        <v>3</v>
      </c>
      <c r="E490" s="69"/>
      <c r="F490" s="70">
        <v>40</v>
      </c>
      <c r="G490" s="67"/>
      <c r="H490" s="71"/>
      <c r="I490" s="72"/>
      <c r="J490" s="72"/>
      <c r="K490" s="35" t="s">
        <v>65</v>
      </c>
      <c r="L490" s="80">
        <v>490</v>
      </c>
      <c r="M490" s="80"/>
      <c r="N490" s="74"/>
      <c r="O490" s="82" t="s">
        <v>776</v>
      </c>
      <c r="P490" s="82" t="s">
        <v>197</v>
      </c>
      <c r="Q490" s="82" t="s">
        <v>1252</v>
      </c>
      <c r="R490" s="82" t="s">
        <v>709</v>
      </c>
      <c r="S490" s="82" t="s">
        <v>1774</v>
      </c>
      <c r="T490" s="84" t="str">
        <f>HYPERLINK("http://www.youtube.com/channel/UCmws-L08D4Co5vRL_QM6VAg")</f>
        <v>http://www.youtube.com/channel/UCmws-L08D4Co5vRL_QM6VAg</v>
      </c>
      <c r="U490" s="82"/>
      <c r="V490" s="82" t="s">
        <v>1843</v>
      </c>
      <c r="W490" s="84" t="str">
        <f>HYPERLINK("https://www.youtube.com/watch?v=QNvu01OGv-Y")</f>
        <v>https://www.youtube.com/watch?v=QNvu01OGv-Y</v>
      </c>
      <c r="X490" s="82" t="s">
        <v>1857</v>
      </c>
      <c r="Y490" s="82">
        <v>1</v>
      </c>
      <c r="Z490" s="86">
        <v>45158.86282407407</v>
      </c>
      <c r="AA490" s="86">
        <v>45158.86282407407</v>
      </c>
      <c r="AB490" s="82"/>
      <c r="AC490" s="82"/>
      <c r="AD490" s="82"/>
      <c r="AE490" s="82">
        <v>1</v>
      </c>
      <c r="AF490" s="81">
        <v>2</v>
      </c>
      <c r="AG490" s="81">
        <v>2</v>
      </c>
      <c r="AH490" s="49">
        <v>1</v>
      </c>
      <c r="AI490" s="110">
        <v>2.7027027027027026</v>
      </c>
      <c r="AJ490" s="49">
        <v>2</v>
      </c>
      <c r="AK490" s="110">
        <v>5.405405405405405</v>
      </c>
      <c r="AL490" s="49">
        <v>0</v>
      </c>
      <c r="AM490" s="50">
        <v>0</v>
      </c>
      <c r="AN490" s="49">
        <v>9</v>
      </c>
      <c r="AO490" s="110">
        <v>24.324324324324323</v>
      </c>
      <c r="AP490" s="49">
        <v>37</v>
      </c>
    </row>
    <row r="491" spans="1:42" ht="15">
      <c r="A491" s="66" t="s">
        <v>710</v>
      </c>
      <c r="B491" s="66" t="s">
        <v>758</v>
      </c>
      <c r="C491" s="67" t="s">
        <v>774</v>
      </c>
      <c r="D491" s="68">
        <v>3</v>
      </c>
      <c r="E491" s="69"/>
      <c r="F491" s="70">
        <v>40</v>
      </c>
      <c r="G491" s="67"/>
      <c r="H491" s="71"/>
      <c r="I491" s="72"/>
      <c r="J491" s="72"/>
      <c r="K491" s="35" t="s">
        <v>65</v>
      </c>
      <c r="L491" s="80">
        <v>491</v>
      </c>
      <c r="M491" s="80"/>
      <c r="N491" s="74"/>
      <c r="O491" s="82" t="s">
        <v>776</v>
      </c>
      <c r="P491" s="82" t="s">
        <v>197</v>
      </c>
      <c r="Q491" s="82" t="s">
        <v>1253</v>
      </c>
      <c r="R491" s="82" t="s">
        <v>710</v>
      </c>
      <c r="S491" s="82" t="s">
        <v>1775</v>
      </c>
      <c r="T491" s="84" t="str">
        <f>HYPERLINK("http://www.youtube.com/channel/UC_5s0ngEVGxtq--kCxbcD_A")</f>
        <v>http://www.youtube.com/channel/UC_5s0ngEVGxtq--kCxbcD_A</v>
      </c>
      <c r="U491" s="82"/>
      <c r="V491" s="82" t="s">
        <v>1843</v>
      </c>
      <c r="W491" s="84" t="str">
        <f>HYPERLINK("https://www.youtube.com/watch?v=QNvu01OGv-Y")</f>
        <v>https://www.youtube.com/watch?v=QNvu01OGv-Y</v>
      </c>
      <c r="X491" s="82" t="s">
        <v>1857</v>
      </c>
      <c r="Y491" s="82">
        <v>4</v>
      </c>
      <c r="Z491" s="86">
        <v>45158.865891203706</v>
      </c>
      <c r="AA491" s="86">
        <v>45158.865891203706</v>
      </c>
      <c r="AB491" s="82"/>
      <c r="AC491" s="82"/>
      <c r="AD491" s="82"/>
      <c r="AE491" s="82">
        <v>1</v>
      </c>
      <c r="AF491" s="81">
        <v>2</v>
      </c>
      <c r="AG491" s="81">
        <v>2</v>
      </c>
      <c r="AH491" s="49">
        <v>0</v>
      </c>
      <c r="AI491" s="50">
        <v>0</v>
      </c>
      <c r="AJ491" s="49">
        <v>1</v>
      </c>
      <c r="AK491" s="110">
        <v>4.166666666666667</v>
      </c>
      <c r="AL491" s="49">
        <v>0</v>
      </c>
      <c r="AM491" s="50">
        <v>0</v>
      </c>
      <c r="AN491" s="49">
        <v>8</v>
      </c>
      <c r="AO491" s="110">
        <v>33.333333333333336</v>
      </c>
      <c r="AP491" s="49">
        <v>24</v>
      </c>
    </row>
    <row r="492" spans="1:42" ht="15">
      <c r="A492" s="66" t="s">
        <v>711</v>
      </c>
      <c r="B492" s="66" t="s">
        <v>758</v>
      </c>
      <c r="C492" s="67" t="s">
        <v>774</v>
      </c>
      <c r="D492" s="68">
        <v>3</v>
      </c>
      <c r="E492" s="69"/>
      <c r="F492" s="70">
        <v>40</v>
      </c>
      <c r="G492" s="67"/>
      <c r="H492" s="71"/>
      <c r="I492" s="72"/>
      <c r="J492" s="72"/>
      <c r="K492" s="35" t="s">
        <v>65</v>
      </c>
      <c r="L492" s="80">
        <v>492</v>
      </c>
      <c r="M492" s="80"/>
      <c r="N492" s="74"/>
      <c r="O492" s="82" t="s">
        <v>776</v>
      </c>
      <c r="P492" s="82" t="s">
        <v>197</v>
      </c>
      <c r="Q492" s="82" t="s">
        <v>1254</v>
      </c>
      <c r="R492" s="82" t="s">
        <v>711</v>
      </c>
      <c r="S492" s="82" t="s">
        <v>1776</v>
      </c>
      <c r="T492" s="84" t="str">
        <f>HYPERLINK("http://www.youtube.com/channel/UCz7f9p6fRxm1dD1m1ofk7QA")</f>
        <v>http://www.youtube.com/channel/UCz7f9p6fRxm1dD1m1ofk7QA</v>
      </c>
      <c r="U492" s="82"/>
      <c r="V492" s="82" t="s">
        <v>1843</v>
      </c>
      <c r="W492" s="84" t="str">
        <f>HYPERLINK("https://www.youtube.com/watch?v=QNvu01OGv-Y")</f>
        <v>https://www.youtube.com/watch?v=QNvu01OGv-Y</v>
      </c>
      <c r="X492" s="82" t="s">
        <v>1857</v>
      </c>
      <c r="Y492" s="82">
        <v>0</v>
      </c>
      <c r="Z492" s="86">
        <v>45158.87055555556</v>
      </c>
      <c r="AA492" s="86">
        <v>45158.87055555556</v>
      </c>
      <c r="AB492" s="82"/>
      <c r="AC492" s="82"/>
      <c r="AD492" s="82"/>
      <c r="AE492" s="82">
        <v>1</v>
      </c>
      <c r="AF492" s="81">
        <v>2</v>
      </c>
      <c r="AG492" s="81">
        <v>2</v>
      </c>
      <c r="AH492" s="49">
        <v>0</v>
      </c>
      <c r="AI492" s="50">
        <v>0</v>
      </c>
      <c r="AJ492" s="49">
        <v>1</v>
      </c>
      <c r="AK492" s="110">
        <v>3.0303030303030303</v>
      </c>
      <c r="AL492" s="49">
        <v>0</v>
      </c>
      <c r="AM492" s="50">
        <v>0</v>
      </c>
      <c r="AN492" s="49">
        <v>10</v>
      </c>
      <c r="AO492" s="110">
        <v>30.303030303030305</v>
      </c>
      <c r="AP492" s="49">
        <v>33</v>
      </c>
    </row>
    <row r="493" spans="1:42" ht="15">
      <c r="A493" s="66" t="s">
        <v>712</v>
      </c>
      <c r="B493" s="66" t="s">
        <v>758</v>
      </c>
      <c r="C493" s="67" t="s">
        <v>4788</v>
      </c>
      <c r="D493" s="68">
        <v>10</v>
      </c>
      <c r="E493" s="69"/>
      <c r="F493" s="70">
        <v>15</v>
      </c>
      <c r="G493" s="67"/>
      <c r="H493" s="71"/>
      <c r="I493" s="72"/>
      <c r="J493" s="72"/>
      <c r="K493" s="35" t="s">
        <v>65</v>
      </c>
      <c r="L493" s="80">
        <v>493</v>
      </c>
      <c r="M493" s="80"/>
      <c r="N493" s="74"/>
      <c r="O493" s="82" t="s">
        <v>776</v>
      </c>
      <c r="P493" s="82" t="s">
        <v>197</v>
      </c>
      <c r="Q493" s="82" t="s">
        <v>1255</v>
      </c>
      <c r="R493" s="82" t="s">
        <v>712</v>
      </c>
      <c r="S493" s="82" t="s">
        <v>1777</v>
      </c>
      <c r="T493" s="84" t="str">
        <f>HYPERLINK("http://www.youtube.com/channel/UC55LZaO-y5DR0dkWTPS68HA")</f>
        <v>http://www.youtube.com/channel/UC55LZaO-y5DR0dkWTPS68HA</v>
      </c>
      <c r="U493" s="82"/>
      <c r="V493" s="82" t="s">
        <v>1843</v>
      </c>
      <c r="W493" s="84" t="str">
        <f>HYPERLINK("https://www.youtube.com/watch?v=QNvu01OGv-Y")</f>
        <v>https://www.youtube.com/watch?v=QNvu01OGv-Y</v>
      </c>
      <c r="X493" s="82" t="s">
        <v>1857</v>
      </c>
      <c r="Y493" s="82">
        <v>4</v>
      </c>
      <c r="Z493" s="86">
        <v>45158.86709490741</v>
      </c>
      <c r="AA493" s="86">
        <v>45158.86709490741</v>
      </c>
      <c r="AB493" s="84" t="str">
        <f>HYPERLINK("https://www.youtube.com/watch?v=QNvu01OGv-Y&amp;amp;t=6m11s")</f>
        <v>https://www.youtube.com/watch?v=QNvu01OGv-Y&amp;amp;t=6m11s</v>
      </c>
      <c r="AC493" s="82" t="s">
        <v>1860</v>
      </c>
      <c r="AD493" s="82"/>
      <c r="AE493" s="82">
        <v>4</v>
      </c>
      <c r="AF493" s="81">
        <v>2</v>
      </c>
      <c r="AG493" s="81">
        <v>2</v>
      </c>
      <c r="AH493" s="49">
        <v>1</v>
      </c>
      <c r="AI493" s="110">
        <v>1.7543859649122806</v>
      </c>
      <c r="AJ493" s="49">
        <v>1</v>
      </c>
      <c r="AK493" s="110">
        <v>1.7543859649122806</v>
      </c>
      <c r="AL493" s="49">
        <v>0</v>
      </c>
      <c r="AM493" s="50">
        <v>0</v>
      </c>
      <c r="AN493" s="49">
        <v>16</v>
      </c>
      <c r="AO493" s="110">
        <v>28.07017543859649</v>
      </c>
      <c r="AP493" s="49">
        <v>57</v>
      </c>
    </row>
    <row r="494" spans="1:42" ht="15">
      <c r="A494" s="66" t="s">
        <v>713</v>
      </c>
      <c r="B494" s="66" t="s">
        <v>758</v>
      </c>
      <c r="C494" s="67" t="s">
        <v>774</v>
      </c>
      <c r="D494" s="68">
        <v>3</v>
      </c>
      <c r="E494" s="69"/>
      <c r="F494" s="70">
        <v>40</v>
      </c>
      <c r="G494" s="67"/>
      <c r="H494" s="71"/>
      <c r="I494" s="72"/>
      <c r="J494" s="72"/>
      <c r="K494" s="35" t="s">
        <v>65</v>
      </c>
      <c r="L494" s="80">
        <v>494</v>
      </c>
      <c r="M494" s="80"/>
      <c r="N494" s="74"/>
      <c r="O494" s="82" t="s">
        <v>776</v>
      </c>
      <c r="P494" s="82" t="s">
        <v>197</v>
      </c>
      <c r="Q494" s="82" t="s">
        <v>1256</v>
      </c>
      <c r="R494" s="82" t="s">
        <v>713</v>
      </c>
      <c r="S494" s="82" t="s">
        <v>1778</v>
      </c>
      <c r="T494" s="84" t="str">
        <f>HYPERLINK("http://www.youtube.com/channel/UCcJNNuCzeeQkpUEZjM9auFg")</f>
        <v>http://www.youtube.com/channel/UCcJNNuCzeeQkpUEZjM9auFg</v>
      </c>
      <c r="U494" s="82"/>
      <c r="V494" s="82" t="s">
        <v>1843</v>
      </c>
      <c r="W494" s="84" t="str">
        <f>HYPERLINK("https://www.youtube.com/watch?v=QNvu01OGv-Y")</f>
        <v>https://www.youtube.com/watch?v=QNvu01OGv-Y</v>
      </c>
      <c r="X494" s="82" t="s">
        <v>1857</v>
      </c>
      <c r="Y494" s="82">
        <v>0</v>
      </c>
      <c r="Z494" s="86">
        <v>45158.873506944445</v>
      </c>
      <c r="AA494" s="86">
        <v>45158.873506944445</v>
      </c>
      <c r="AB494" s="82"/>
      <c r="AC494" s="82"/>
      <c r="AD494" s="82"/>
      <c r="AE494" s="82">
        <v>1</v>
      </c>
      <c r="AF494" s="81">
        <v>2</v>
      </c>
      <c r="AG494" s="81">
        <v>2</v>
      </c>
      <c r="AH494" s="49">
        <v>1</v>
      </c>
      <c r="AI494" s="110">
        <v>1.408450704225352</v>
      </c>
      <c r="AJ494" s="49">
        <v>0</v>
      </c>
      <c r="AK494" s="50">
        <v>0</v>
      </c>
      <c r="AL494" s="49">
        <v>0</v>
      </c>
      <c r="AM494" s="50">
        <v>0</v>
      </c>
      <c r="AN494" s="49">
        <v>30</v>
      </c>
      <c r="AO494" s="110">
        <v>42.25352112676056</v>
      </c>
      <c r="AP494" s="49">
        <v>71</v>
      </c>
    </row>
    <row r="495" spans="1:42" ht="15">
      <c r="A495" s="66" t="s">
        <v>714</v>
      </c>
      <c r="B495" s="66" t="s">
        <v>758</v>
      </c>
      <c r="C495" s="67" t="s">
        <v>774</v>
      </c>
      <c r="D495" s="68">
        <v>3</v>
      </c>
      <c r="E495" s="69"/>
      <c r="F495" s="70">
        <v>40</v>
      </c>
      <c r="G495" s="67"/>
      <c r="H495" s="71"/>
      <c r="I495" s="72"/>
      <c r="J495" s="72"/>
      <c r="K495" s="35" t="s">
        <v>65</v>
      </c>
      <c r="L495" s="80">
        <v>495</v>
      </c>
      <c r="M495" s="80"/>
      <c r="N495" s="74"/>
      <c r="O495" s="82" t="s">
        <v>776</v>
      </c>
      <c r="P495" s="82" t="s">
        <v>197</v>
      </c>
      <c r="Q495" s="82" t="s">
        <v>1257</v>
      </c>
      <c r="R495" s="82" t="s">
        <v>714</v>
      </c>
      <c r="S495" s="82" t="s">
        <v>1779</v>
      </c>
      <c r="T495" s="84" t="str">
        <f>HYPERLINK("http://www.youtube.com/channel/UCJFgt0We8TKrh-UbX6TdiVg")</f>
        <v>http://www.youtube.com/channel/UCJFgt0We8TKrh-UbX6TdiVg</v>
      </c>
      <c r="U495" s="82"/>
      <c r="V495" s="82" t="s">
        <v>1843</v>
      </c>
      <c r="W495" s="84" t="str">
        <f>HYPERLINK("https://www.youtube.com/watch?v=QNvu01OGv-Y")</f>
        <v>https://www.youtube.com/watch?v=QNvu01OGv-Y</v>
      </c>
      <c r="X495" s="82" t="s">
        <v>1857</v>
      </c>
      <c r="Y495" s="82">
        <v>7</v>
      </c>
      <c r="Z495" s="86">
        <v>45158.8741087963</v>
      </c>
      <c r="AA495" s="86">
        <v>45158.8741087963</v>
      </c>
      <c r="AB495" s="82"/>
      <c r="AC495" s="82"/>
      <c r="AD495" s="82"/>
      <c r="AE495" s="82">
        <v>1</v>
      </c>
      <c r="AF495" s="81">
        <v>2</v>
      </c>
      <c r="AG495" s="81">
        <v>2</v>
      </c>
      <c r="AH495" s="49">
        <v>8</v>
      </c>
      <c r="AI495" s="110">
        <v>3.669724770642202</v>
      </c>
      <c r="AJ495" s="49">
        <v>1</v>
      </c>
      <c r="AK495" s="110">
        <v>0.45871559633027525</v>
      </c>
      <c r="AL495" s="49">
        <v>0</v>
      </c>
      <c r="AM495" s="50">
        <v>0</v>
      </c>
      <c r="AN495" s="49">
        <v>91</v>
      </c>
      <c r="AO495" s="110">
        <v>41.74311926605505</v>
      </c>
      <c r="AP495" s="49">
        <v>218</v>
      </c>
    </row>
    <row r="496" spans="1:42" ht="15">
      <c r="A496" s="66" t="s">
        <v>715</v>
      </c>
      <c r="B496" s="66" t="s">
        <v>758</v>
      </c>
      <c r="C496" s="67" t="s">
        <v>4788</v>
      </c>
      <c r="D496" s="68">
        <v>10</v>
      </c>
      <c r="E496" s="69"/>
      <c r="F496" s="70">
        <v>15</v>
      </c>
      <c r="G496" s="67"/>
      <c r="H496" s="71"/>
      <c r="I496" s="72"/>
      <c r="J496" s="72"/>
      <c r="K496" s="35" t="s">
        <v>65</v>
      </c>
      <c r="L496" s="80">
        <v>496</v>
      </c>
      <c r="M496" s="80"/>
      <c r="N496" s="74"/>
      <c r="O496" s="82" t="s">
        <v>776</v>
      </c>
      <c r="P496" s="82" t="s">
        <v>197</v>
      </c>
      <c r="Q496" s="82" t="s">
        <v>1258</v>
      </c>
      <c r="R496" s="82" t="s">
        <v>715</v>
      </c>
      <c r="S496" s="82" t="s">
        <v>1780</v>
      </c>
      <c r="T496" s="84" t="str">
        <f>HYPERLINK("http://www.youtube.com/channel/UCkOeSfUzVPPLkxKWy33qO9g")</f>
        <v>http://www.youtube.com/channel/UCkOeSfUzVPPLkxKWy33qO9g</v>
      </c>
      <c r="U496" s="82"/>
      <c r="V496" s="82" t="s">
        <v>1843</v>
      </c>
      <c r="W496" s="84" t="str">
        <f>HYPERLINK("https://www.youtube.com/watch?v=QNvu01OGv-Y")</f>
        <v>https://www.youtube.com/watch?v=QNvu01OGv-Y</v>
      </c>
      <c r="X496" s="82" t="s">
        <v>1857</v>
      </c>
      <c r="Y496" s="82">
        <v>30</v>
      </c>
      <c r="Z496" s="86">
        <v>45158.888090277775</v>
      </c>
      <c r="AA496" s="86">
        <v>45158.888090277775</v>
      </c>
      <c r="AB496" s="82"/>
      <c r="AC496" s="82"/>
      <c r="AD496" s="82"/>
      <c r="AE496" s="82">
        <v>4</v>
      </c>
      <c r="AF496" s="81">
        <v>2</v>
      </c>
      <c r="AG496" s="81">
        <v>2</v>
      </c>
      <c r="AH496" s="49">
        <v>2</v>
      </c>
      <c r="AI496" s="110">
        <v>4.166666666666667</v>
      </c>
      <c r="AJ496" s="49">
        <v>0</v>
      </c>
      <c r="AK496" s="50">
        <v>0</v>
      </c>
      <c r="AL496" s="49">
        <v>0</v>
      </c>
      <c r="AM496" s="50">
        <v>0</v>
      </c>
      <c r="AN496" s="49">
        <v>16</v>
      </c>
      <c r="AO496" s="110">
        <v>33.333333333333336</v>
      </c>
      <c r="AP496" s="49">
        <v>48</v>
      </c>
    </row>
    <row r="497" spans="1:42" ht="15">
      <c r="A497" s="66" t="s">
        <v>716</v>
      </c>
      <c r="B497" s="66" t="s">
        <v>758</v>
      </c>
      <c r="C497" s="67" t="s">
        <v>774</v>
      </c>
      <c r="D497" s="68">
        <v>3</v>
      </c>
      <c r="E497" s="69"/>
      <c r="F497" s="70">
        <v>40</v>
      </c>
      <c r="G497" s="67"/>
      <c r="H497" s="71"/>
      <c r="I497" s="72"/>
      <c r="J497" s="72"/>
      <c r="K497" s="35" t="s">
        <v>65</v>
      </c>
      <c r="L497" s="80">
        <v>497</v>
      </c>
      <c r="M497" s="80"/>
      <c r="N497" s="74"/>
      <c r="O497" s="82" t="s">
        <v>776</v>
      </c>
      <c r="P497" s="82" t="s">
        <v>197</v>
      </c>
      <c r="Q497" s="82" t="s">
        <v>1259</v>
      </c>
      <c r="R497" s="82" t="s">
        <v>716</v>
      </c>
      <c r="S497" s="82" t="s">
        <v>1781</v>
      </c>
      <c r="T497" s="84" t="str">
        <f>HYPERLINK("http://www.youtube.com/channel/UCW269Xw8c4JZkTdDugBxoJg")</f>
        <v>http://www.youtube.com/channel/UCW269Xw8c4JZkTdDugBxoJg</v>
      </c>
      <c r="U497" s="82"/>
      <c r="V497" s="82" t="s">
        <v>1843</v>
      </c>
      <c r="W497" s="84" t="str">
        <f>HYPERLINK("https://www.youtube.com/watch?v=QNvu01OGv-Y")</f>
        <v>https://www.youtube.com/watch?v=QNvu01OGv-Y</v>
      </c>
      <c r="X497" s="82" t="s">
        <v>1857</v>
      </c>
      <c r="Y497" s="82">
        <v>0</v>
      </c>
      <c r="Z497" s="86">
        <v>45158.89380787037</v>
      </c>
      <c r="AA497" s="86">
        <v>45158.89380787037</v>
      </c>
      <c r="AB497" s="82"/>
      <c r="AC497" s="82"/>
      <c r="AD497" s="82"/>
      <c r="AE497" s="82">
        <v>1</v>
      </c>
      <c r="AF497" s="81">
        <v>2</v>
      </c>
      <c r="AG497" s="81">
        <v>2</v>
      </c>
      <c r="AH497" s="49">
        <v>1</v>
      </c>
      <c r="AI497" s="110">
        <v>7.142857142857143</v>
      </c>
      <c r="AJ497" s="49">
        <v>0</v>
      </c>
      <c r="AK497" s="50">
        <v>0</v>
      </c>
      <c r="AL497" s="49">
        <v>0</v>
      </c>
      <c r="AM497" s="50">
        <v>0</v>
      </c>
      <c r="AN497" s="49">
        <v>7</v>
      </c>
      <c r="AO497" s="50">
        <v>50</v>
      </c>
      <c r="AP497" s="49">
        <v>14</v>
      </c>
    </row>
    <row r="498" spans="1:42" ht="15">
      <c r="A498" s="66" t="s">
        <v>717</v>
      </c>
      <c r="B498" s="66" t="s">
        <v>758</v>
      </c>
      <c r="C498" s="67" t="s">
        <v>774</v>
      </c>
      <c r="D498" s="68">
        <v>3</v>
      </c>
      <c r="E498" s="69"/>
      <c r="F498" s="70">
        <v>40</v>
      </c>
      <c r="G498" s="67"/>
      <c r="H498" s="71"/>
      <c r="I498" s="72"/>
      <c r="J498" s="72"/>
      <c r="K498" s="35" t="s">
        <v>65</v>
      </c>
      <c r="L498" s="80">
        <v>498</v>
      </c>
      <c r="M498" s="80"/>
      <c r="N498" s="74"/>
      <c r="O498" s="82" t="s">
        <v>776</v>
      </c>
      <c r="P498" s="82" t="s">
        <v>197</v>
      </c>
      <c r="Q498" s="82" t="s">
        <v>1260</v>
      </c>
      <c r="R498" s="82" t="s">
        <v>717</v>
      </c>
      <c r="S498" s="82" t="s">
        <v>1782</v>
      </c>
      <c r="T498" s="84" t="str">
        <f>HYPERLINK("http://www.youtube.com/channel/UCNkNOakUpGFOUms0NIlR6VQ")</f>
        <v>http://www.youtube.com/channel/UCNkNOakUpGFOUms0NIlR6VQ</v>
      </c>
      <c r="U498" s="82"/>
      <c r="V498" s="82" t="s">
        <v>1843</v>
      </c>
      <c r="W498" s="84" t="str">
        <f>HYPERLINK("https://www.youtube.com/watch?v=QNvu01OGv-Y")</f>
        <v>https://www.youtube.com/watch?v=QNvu01OGv-Y</v>
      </c>
      <c r="X498" s="82" t="s">
        <v>1857</v>
      </c>
      <c r="Y498" s="82">
        <v>4</v>
      </c>
      <c r="Z498" s="86">
        <v>45158.89396990741</v>
      </c>
      <c r="AA498" s="86">
        <v>45158.89396990741</v>
      </c>
      <c r="AB498" s="82"/>
      <c r="AC498" s="82"/>
      <c r="AD498" s="82"/>
      <c r="AE498" s="82">
        <v>1</v>
      </c>
      <c r="AF498" s="81">
        <v>2</v>
      </c>
      <c r="AG498" s="81">
        <v>2</v>
      </c>
      <c r="AH498" s="49">
        <v>1</v>
      </c>
      <c r="AI498" s="110">
        <v>2.9411764705882355</v>
      </c>
      <c r="AJ498" s="49">
        <v>2</v>
      </c>
      <c r="AK498" s="110">
        <v>5.882352941176471</v>
      </c>
      <c r="AL498" s="49">
        <v>0</v>
      </c>
      <c r="AM498" s="50">
        <v>0</v>
      </c>
      <c r="AN498" s="49">
        <v>9</v>
      </c>
      <c r="AO498" s="110">
        <v>26.470588235294116</v>
      </c>
      <c r="AP498" s="49">
        <v>34</v>
      </c>
    </row>
    <row r="499" spans="1:42" ht="15">
      <c r="A499" s="66" t="s">
        <v>718</v>
      </c>
      <c r="B499" s="66" t="s">
        <v>758</v>
      </c>
      <c r="C499" s="67" t="s">
        <v>774</v>
      </c>
      <c r="D499" s="68">
        <v>3</v>
      </c>
      <c r="E499" s="69"/>
      <c r="F499" s="70">
        <v>40</v>
      </c>
      <c r="G499" s="67"/>
      <c r="H499" s="71"/>
      <c r="I499" s="72"/>
      <c r="J499" s="72"/>
      <c r="K499" s="35" t="s">
        <v>65</v>
      </c>
      <c r="L499" s="80">
        <v>499</v>
      </c>
      <c r="M499" s="80"/>
      <c r="N499" s="74"/>
      <c r="O499" s="82" t="s">
        <v>776</v>
      </c>
      <c r="P499" s="82" t="s">
        <v>197</v>
      </c>
      <c r="Q499" s="82" t="s">
        <v>1261</v>
      </c>
      <c r="R499" s="82" t="s">
        <v>718</v>
      </c>
      <c r="S499" s="82" t="s">
        <v>1783</v>
      </c>
      <c r="T499" s="84" t="str">
        <f>HYPERLINK("http://www.youtube.com/channel/UCYiClT59wh9GGFNw8RF5ecw")</f>
        <v>http://www.youtube.com/channel/UCYiClT59wh9GGFNw8RF5ecw</v>
      </c>
      <c r="U499" s="82"/>
      <c r="V499" s="82" t="s">
        <v>1843</v>
      </c>
      <c r="W499" s="84" t="str">
        <f>HYPERLINK("https://www.youtube.com/watch?v=QNvu01OGv-Y")</f>
        <v>https://www.youtube.com/watch?v=QNvu01OGv-Y</v>
      </c>
      <c r="X499" s="82" t="s">
        <v>1857</v>
      </c>
      <c r="Y499" s="82">
        <v>0</v>
      </c>
      <c r="Z499" s="86">
        <v>45158.90398148148</v>
      </c>
      <c r="AA499" s="86">
        <v>45158.90398148148</v>
      </c>
      <c r="AB499" s="82"/>
      <c r="AC499" s="82"/>
      <c r="AD499" s="82"/>
      <c r="AE499" s="82">
        <v>1</v>
      </c>
      <c r="AF499" s="81">
        <v>2</v>
      </c>
      <c r="AG499" s="81">
        <v>2</v>
      </c>
      <c r="AH499" s="49">
        <v>0</v>
      </c>
      <c r="AI499" s="50">
        <v>0</v>
      </c>
      <c r="AJ499" s="49">
        <v>0</v>
      </c>
      <c r="AK499" s="50">
        <v>0</v>
      </c>
      <c r="AL499" s="49">
        <v>0</v>
      </c>
      <c r="AM499" s="50">
        <v>0</v>
      </c>
      <c r="AN499" s="49">
        <v>0</v>
      </c>
      <c r="AO499" s="50">
        <v>0</v>
      </c>
      <c r="AP499" s="49">
        <v>0</v>
      </c>
    </row>
    <row r="500" spans="1:42" ht="15">
      <c r="A500" s="66" t="s">
        <v>719</v>
      </c>
      <c r="B500" s="66" t="s">
        <v>758</v>
      </c>
      <c r="C500" s="67" t="s">
        <v>774</v>
      </c>
      <c r="D500" s="68">
        <v>3</v>
      </c>
      <c r="E500" s="69"/>
      <c r="F500" s="70">
        <v>40</v>
      </c>
      <c r="G500" s="67"/>
      <c r="H500" s="71"/>
      <c r="I500" s="72"/>
      <c r="J500" s="72"/>
      <c r="K500" s="35" t="s">
        <v>65</v>
      </c>
      <c r="L500" s="80">
        <v>500</v>
      </c>
      <c r="M500" s="80"/>
      <c r="N500" s="74"/>
      <c r="O500" s="82" t="s">
        <v>776</v>
      </c>
      <c r="P500" s="82" t="s">
        <v>197</v>
      </c>
      <c r="Q500" s="82" t="s">
        <v>1262</v>
      </c>
      <c r="R500" s="82" t="s">
        <v>719</v>
      </c>
      <c r="S500" s="82" t="s">
        <v>1784</v>
      </c>
      <c r="T500" s="84" t="str">
        <f>HYPERLINK("http://www.youtube.com/channel/UCPbQogybo9ugVqDevZ511hg")</f>
        <v>http://www.youtube.com/channel/UCPbQogybo9ugVqDevZ511hg</v>
      </c>
      <c r="U500" s="82"/>
      <c r="V500" s="82" t="s">
        <v>1843</v>
      </c>
      <c r="W500" s="84" t="str">
        <f>HYPERLINK("https://www.youtube.com/watch?v=QNvu01OGv-Y")</f>
        <v>https://www.youtube.com/watch?v=QNvu01OGv-Y</v>
      </c>
      <c r="X500" s="82" t="s">
        <v>1857</v>
      </c>
      <c r="Y500" s="82">
        <v>0</v>
      </c>
      <c r="Z500" s="86">
        <v>45158.90872685185</v>
      </c>
      <c r="AA500" s="86">
        <v>45158.90872685185</v>
      </c>
      <c r="AB500" s="82"/>
      <c r="AC500" s="82"/>
      <c r="AD500" s="82"/>
      <c r="AE500" s="82">
        <v>1</v>
      </c>
      <c r="AF500" s="81">
        <v>2</v>
      </c>
      <c r="AG500" s="81">
        <v>2</v>
      </c>
      <c r="AH500" s="49">
        <v>1</v>
      </c>
      <c r="AI500" s="110">
        <v>9.090909090909092</v>
      </c>
      <c r="AJ500" s="49">
        <v>0</v>
      </c>
      <c r="AK500" s="50">
        <v>0</v>
      </c>
      <c r="AL500" s="49">
        <v>0</v>
      </c>
      <c r="AM500" s="50">
        <v>0</v>
      </c>
      <c r="AN500" s="49">
        <v>3</v>
      </c>
      <c r="AO500" s="110">
        <v>27.272727272727273</v>
      </c>
      <c r="AP500" s="49">
        <v>11</v>
      </c>
    </row>
    <row r="501" spans="1:42" ht="15">
      <c r="A501" s="66" t="s">
        <v>720</v>
      </c>
      <c r="B501" s="66" t="s">
        <v>758</v>
      </c>
      <c r="C501" s="67" t="s">
        <v>774</v>
      </c>
      <c r="D501" s="68">
        <v>3</v>
      </c>
      <c r="E501" s="69"/>
      <c r="F501" s="70">
        <v>40</v>
      </c>
      <c r="G501" s="67"/>
      <c r="H501" s="71"/>
      <c r="I501" s="72"/>
      <c r="J501" s="72"/>
      <c r="K501" s="35" t="s">
        <v>65</v>
      </c>
      <c r="L501" s="80">
        <v>501</v>
      </c>
      <c r="M501" s="80"/>
      <c r="N501" s="74"/>
      <c r="O501" s="82" t="s">
        <v>776</v>
      </c>
      <c r="P501" s="82" t="s">
        <v>197</v>
      </c>
      <c r="Q501" s="82" t="s">
        <v>1263</v>
      </c>
      <c r="R501" s="82" t="s">
        <v>720</v>
      </c>
      <c r="S501" s="82" t="s">
        <v>1785</v>
      </c>
      <c r="T501" s="84" t="str">
        <f>HYPERLINK("http://www.youtube.com/channel/UCY6wQpAem-Z4zFuwPo1b5vg")</f>
        <v>http://www.youtube.com/channel/UCY6wQpAem-Z4zFuwPo1b5vg</v>
      </c>
      <c r="U501" s="82"/>
      <c r="V501" s="82" t="s">
        <v>1843</v>
      </c>
      <c r="W501" s="84" t="str">
        <f>HYPERLINK("https://www.youtube.com/watch?v=QNvu01OGv-Y")</f>
        <v>https://www.youtube.com/watch?v=QNvu01OGv-Y</v>
      </c>
      <c r="X501" s="82" t="s">
        <v>1857</v>
      </c>
      <c r="Y501" s="82">
        <v>18</v>
      </c>
      <c r="Z501" s="86">
        <v>45158.91587962963</v>
      </c>
      <c r="AA501" s="86">
        <v>45158.91587962963</v>
      </c>
      <c r="AB501" s="82"/>
      <c r="AC501" s="82"/>
      <c r="AD501" s="82"/>
      <c r="AE501" s="82">
        <v>1</v>
      </c>
      <c r="AF501" s="81">
        <v>2</v>
      </c>
      <c r="AG501" s="81">
        <v>2</v>
      </c>
      <c r="AH501" s="49">
        <v>4</v>
      </c>
      <c r="AI501" s="50">
        <v>16</v>
      </c>
      <c r="AJ501" s="49">
        <v>1</v>
      </c>
      <c r="AK501" s="50">
        <v>4</v>
      </c>
      <c r="AL501" s="49">
        <v>0</v>
      </c>
      <c r="AM501" s="50">
        <v>0</v>
      </c>
      <c r="AN501" s="49">
        <v>10</v>
      </c>
      <c r="AO501" s="50">
        <v>40</v>
      </c>
      <c r="AP501" s="49">
        <v>25</v>
      </c>
    </row>
    <row r="502" spans="1:42" ht="15">
      <c r="A502" s="66" t="s">
        <v>721</v>
      </c>
      <c r="B502" s="66" t="s">
        <v>758</v>
      </c>
      <c r="C502" s="67" t="s">
        <v>774</v>
      </c>
      <c r="D502" s="68">
        <v>3</v>
      </c>
      <c r="E502" s="69"/>
      <c r="F502" s="70">
        <v>40</v>
      </c>
      <c r="G502" s="67"/>
      <c r="H502" s="71"/>
      <c r="I502" s="72"/>
      <c r="J502" s="72"/>
      <c r="K502" s="35" t="s">
        <v>65</v>
      </c>
      <c r="L502" s="80">
        <v>502</v>
      </c>
      <c r="M502" s="80"/>
      <c r="N502" s="74"/>
      <c r="O502" s="82" t="s">
        <v>776</v>
      </c>
      <c r="P502" s="82" t="s">
        <v>197</v>
      </c>
      <c r="Q502" s="82" t="s">
        <v>1264</v>
      </c>
      <c r="R502" s="82" t="s">
        <v>721</v>
      </c>
      <c r="S502" s="82" t="s">
        <v>1786</v>
      </c>
      <c r="T502" s="84" t="str">
        <f>HYPERLINK("http://www.youtube.com/channel/UCoLbgssVprBoJA1lmVLEpNA")</f>
        <v>http://www.youtube.com/channel/UCoLbgssVprBoJA1lmVLEpNA</v>
      </c>
      <c r="U502" s="82"/>
      <c r="V502" s="82" t="s">
        <v>1843</v>
      </c>
      <c r="W502" s="84" t="str">
        <f>HYPERLINK("https://www.youtube.com/watch?v=QNvu01OGv-Y")</f>
        <v>https://www.youtube.com/watch?v=QNvu01OGv-Y</v>
      </c>
      <c r="X502" s="82" t="s">
        <v>1857</v>
      </c>
      <c r="Y502" s="82">
        <v>4</v>
      </c>
      <c r="Z502" s="86">
        <v>45158.917662037034</v>
      </c>
      <c r="AA502" s="86">
        <v>45158.917662037034</v>
      </c>
      <c r="AB502" s="82"/>
      <c r="AC502" s="82"/>
      <c r="AD502" s="82"/>
      <c r="AE502" s="82">
        <v>1</v>
      </c>
      <c r="AF502" s="81">
        <v>2</v>
      </c>
      <c r="AG502" s="81">
        <v>2</v>
      </c>
      <c r="AH502" s="49">
        <v>1</v>
      </c>
      <c r="AI502" s="110">
        <v>5.555555555555555</v>
      </c>
      <c r="AJ502" s="49">
        <v>0</v>
      </c>
      <c r="AK502" s="50">
        <v>0</v>
      </c>
      <c r="AL502" s="49">
        <v>0</v>
      </c>
      <c r="AM502" s="50">
        <v>0</v>
      </c>
      <c r="AN502" s="49">
        <v>6</v>
      </c>
      <c r="AO502" s="110">
        <v>33.333333333333336</v>
      </c>
      <c r="AP502" s="49">
        <v>18</v>
      </c>
    </row>
    <row r="503" spans="1:42" ht="15">
      <c r="A503" s="66" t="s">
        <v>722</v>
      </c>
      <c r="B503" s="66" t="s">
        <v>758</v>
      </c>
      <c r="C503" s="67" t="s">
        <v>774</v>
      </c>
      <c r="D503" s="68">
        <v>3</v>
      </c>
      <c r="E503" s="69"/>
      <c r="F503" s="70">
        <v>40</v>
      </c>
      <c r="G503" s="67"/>
      <c r="H503" s="71"/>
      <c r="I503" s="72"/>
      <c r="J503" s="72"/>
      <c r="K503" s="35" t="s">
        <v>65</v>
      </c>
      <c r="L503" s="80">
        <v>503</v>
      </c>
      <c r="M503" s="80"/>
      <c r="N503" s="74"/>
      <c r="O503" s="82" t="s">
        <v>776</v>
      </c>
      <c r="P503" s="82" t="s">
        <v>197</v>
      </c>
      <c r="Q503" s="82" t="s">
        <v>1265</v>
      </c>
      <c r="R503" s="82" t="s">
        <v>722</v>
      </c>
      <c r="S503" s="82" t="s">
        <v>1787</v>
      </c>
      <c r="T503" s="84" t="str">
        <f>HYPERLINK("http://www.youtube.com/channel/UCB796-WE4aiExY6p0EF3NFw")</f>
        <v>http://www.youtube.com/channel/UCB796-WE4aiExY6p0EF3NFw</v>
      </c>
      <c r="U503" s="82"/>
      <c r="V503" s="82" t="s">
        <v>1843</v>
      </c>
      <c r="W503" s="84" t="str">
        <f>HYPERLINK("https://www.youtube.com/watch?v=QNvu01OGv-Y")</f>
        <v>https://www.youtube.com/watch?v=QNvu01OGv-Y</v>
      </c>
      <c r="X503" s="82" t="s">
        <v>1857</v>
      </c>
      <c r="Y503" s="82">
        <v>0</v>
      </c>
      <c r="Z503" s="86">
        <v>45158.92193287037</v>
      </c>
      <c r="AA503" s="86">
        <v>45158.92193287037</v>
      </c>
      <c r="AB503" s="82"/>
      <c r="AC503" s="82"/>
      <c r="AD503" s="82"/>
      <c r="AE503" s="82">
        <v>1</v>
      </c>
      <c r="AF503" s="81">
        <v>2</v>
      </c>
      <c r="AG503" s="81">
        <v>2</v>
      </c>
      <c r="AH503" s="49">
        <v>0</v>
      </c>
      <c r="AI503" s="50">
        <v>0</v>
      </c>
      <c r="AJ503" s="49">
        <v>1</v>
      </c>
      <c r="AK503" s="110">
        <v>14.285714285714286</v>
      </c>
      <c r="AL503" s="49">
        <v>0</v>
      </c>
      <c r="AM503" s="50">
        <v>0</v>
      </c>
      <c r="AN503" s="49">
        <v>2</v>
      </c>
      <c r="AO503" s="110">
        <v>28.571428571428573</v>
      </c>
      <c r="AP503" s="49">
        <v>7</v>
      </c>
    </row>
    <row r="504" spans="1:42" ht="15">
      <c r="A504" s="66" t="s">
        <v>723</v>
      </c>
      <c r="B504" s="66" t="s">
        <v>758</v>
      </c>
      <c r="C504" s="67" t="s">
        <v>774</v>
      </c>
      <c r="D504" s="68">
        <v>3</v>
      </c>
      <c r="E504" s="69"/>
      <c r="F504" s="70">
        <v>40</v>
      </c>
      <c r="G504" s="67"/>
      <c r="H504" s="71"/>
      <c r="I504" s="72"/>
      <c r="J504" s="72"/>
      <c r="K504" s="35" t="s">
        <v>65</v>
      </c>
      <c r="L504" s="80">
        <v>504</v>
      </c>
      <c r="M504" s="80"/>
      <c r="N504" s="74"/>
      <c r="O504" s="82" t="s">
        <v>776</v>
      </c>
      <c r="P504" s="82" t="s">
        <v>197</v>
      </c>
      <c r="Q504" s="82" t="s">
        <v>1266</v>
      </c>
      <c r="R504" s="82" t="s">
        <v>723</v>
      </c>
      <c r="S504" s="82" t="s">
        <v>1788</v>
      </c>
      <c r="T504" s="84" t="str">
        <f>HYPERLINK("http://www.youtube.com/channel/UCY0T82sEeQozvvRBtRkD6fg")</f>
        <v>http://www.youtube.com/channel/UCY0T82sEeQozvvRBtRkD6fg</v>
      </c>
      <c r="U504" s="82"/>
      <c r="V504" s="82" t="s">
        <v>1843</v>
      </c>
      <c r="W504" s="84" t="str">
        <f>HYPERLINK("https://www.youtube.com/watch?v=QNvu01OGv-Y")</f>
        <v>https://www.youtube.com/watch?v=QNvu01OGv-Y</v>
      </c>
      <c r="X504" s="82" t="s">
        <v>1857</v>
      </c>
      <c r="Y504" s="82">
        <v>1</v>
      </c>
      <c r="Z504" s="86">
        <v>45158.92395833333</v>
      </c>
      <c r="AA504" s="86">
        <v>45158.92395833333</v>
      </c>
      <c r="AB504" s="82"/>
      <c r="AC504" s="82"/>
      <c r="AD504" s="82"/>
      <c r="AE504" s="82">
        <v>1</v>
      </c>
      <c r="AF504" s="81">
        <v>2</v>
      </c>
      <c r="AG504" s="81">
        <v>2</v>
      </c>
      <c r="AH504" s="49">
        <v>3</v>
      </c>
      <c r="AI504" s="110">
        <v>2.6548672566371683</v>
      </c>
      <c r="AJ504" s="49">
        <v>2</v>
      </c>
      <c r="AK504" s="110">
        <v>1.7699115044247788</v>
      </c>
      <c r="AL504" s="49">
        <v>0</v>
      </c>
      <c r="AM504" s="50">
        <v>0</v>
      </c>
      <c r="AN504" s="49">
        <v>39</v>
      </c>
      <c r="AO504" s="110">
        <v>34.51327433628319</v>
      </c>
      <c r="AP504" s="49">
        <v>113</v>
      </c>
    </row>
    <row r="505" spans="1:42" ht="15">
      <c r="A505" s="66" t="s">
        <v>724</v>
      </c>
      <c r="B505" s="66" t="s">
        <v>758</v>
      </c>
      <c r="C505" s="67" t="s">
        <v>774</v>
      </c>
      <c r="D505" s="68">
        <v>3</v>
      </c>
      <c r="E505" s="69"/>
      <c r="F505" s="70">
        <v>40</v>
      </c>
      <c r="G505" s="67"/>
      <c r="H505" s="71"/>
      <c r="I505" s="72"/>
      <c r="J505" s="72"/>
      <c r="K505" s="35" t="s">
        <v>65</v>
      </c>
      <c r="L505" s="80">
        <v>505</v>
      </c>
      <c r="M505" s="80"/>
      <c r="N505" s="74"/>
      <c r="O505" s="82" t="s">
        <v>776</v>
      </c>
      <c r="P505" s="82" t="s">
        <v>197</v>
      </c>
      <c r="Q505" s="82" t="s">
        <v>1267</v>
      </c>
      <c r="R505" s="82" t="s">
        <v>724</v>
      </c>
      <c r="S505" s="82" t="s">
        <v>1789</v>
      </c>
      <c r="T505" s="84" t="str">
        <f>HYPERLINK("http://www.youtube.com/channel/UCQmyB1SAI2rFv-i7kdaijMg")</f>
        <v>http://www.youtube.com/channel/UCQmyB1SAI2rFv-i7kdaijMg</v>
      </c>
      <c r="U505" s="82"/>
      <c r="V505" s="82" t="s">
        <v>1843</v>
      </c>
      <c r="W505" s="84" t="str">
        <f>HYPERLINK("https://www.youtube.com/watch?v=QNvu01OGv-Y")</f>
        <v>https://www.youtube.com/watch?v=QNvu01OGv-Y</v>
      </c>
      <c r="X505" s="82" t="s">
        <v>1857</v>
      </c>
      <c r="Y505" s="82">
        <v>0</v>
      </c>
      <c r="Z505" s="86">
        <v>45158.92743055556</v>
      </c>
      <c r="AA505" s="86">
        <v>45158.92743055556</v>
      </c>
      <c r="AB505" s="82"/>
      <c r="AC505" s="82"/>
      <c r="AD505" s="82"/>
      <c r="AE505" s="82">
        <v>1</v>
      </c>
      <c r="AF505" s="81">
        <v>2</v>
      </c>
      <c r="AG505" s="81">
        <v>2</v>
      </c>
      <c r="AH505" s="49">
        <v>1</v>
      </c>
      <c r="AI505" s="50">
        <v>100</v>
      </c>
      <c r="AJ505" s="49">
        <v>0</v>
      </c>
      <c r="AK505" s="50">
        <v>0</v>
      </c>
      <c r="AL505" s="49">
        <v>0</v>
      </c>
      <c r="AM505" s="50">
        <v>0</v>
      </c>
      <c r="AN505" s="49">
        <v>0</v>
      </c>
      <c r="AO505" s="50">
        <v>0</v>
      </c>
      <c r="AP505" s="49">
        <v>1</v>
      </c>
    </row>
    <row r="506" spans="1:42" ht="15">
      <c r="A506" s="66" t="s">
        <v>725</v>
      </c>
      <c r="B506" s="66" t="s">
        <v>758</v>
      </c>
      <c r="C506" s="67" t="s">
        <v>774</v>
      </c>
      <c r="D506" s="68">
        <v>3</v>
      </c>
      <c r="E506" s="69"/>
      <c r="F506" s="70">
        <v>40</v>
      </c>
      <c r="G506" s="67"/>
      <c r="H506" s="71"/>
      <c r="I506" s="72"/>
      <c r="J506" s="72"/>
      <c r="K506" s="35" t="s">
        <v>65</v>
      </c>
      <c r="L506" s="80">
        <v>506</v>
      </c>
      <c r="M506" s="80"/>
      <c r="N506" s="74"/>
      <c r="O506" s="82" t="s">
        <v>776</v>
      </c>
      <c r="P506" s="82" t="s">
        <v>197</v>
      </c>
      <c r="Q506" s="82" t="s">
        <v>1268</v>
      </c>
      <c r="R506" s="82" t="s">
        <v>725</v>
      </c>
      <c r="S506" s="82" t="s">
        <v>1790</v>
      </c>
      <c r="T506" s="84" t="str">
        <f>HYPERLINK("http://www.youtube.com/channel/UCTfJq_rmj9phsNSTFPL-nkg")</f>
        <v>http://www.youtube.com/channel/UCTfJq_rmj9phsNSTFPL-nkg</v>
      </c>
      <c r="U506" s="82"/>
      <c r="V506" s="82" t="s">
        <v>1843</v>
      </c>
      <c r="W506" s="84" t="str">
        <f>HYPERLINK("https://www.youtube.com/watch?v=QNvu01OGv-Y")</f>
        <v>https://www.youtube.com/watch?v=QNvu01OGv-Y</v>
      </c>
      <c r="X506" s="82" t="s">
        <v>1857</v>
      </c>
      <c r="Y506" s="82">
        <v>0</v>
      </c>
      <c r="Z506" s="86">
        <v>45158.9281712963</v>
      </c>
      <c r="AA506" s="86">
        <v>45158.9281712963</v>
      </c>
      <c r="AB506" s="82"/>
      <c r="AC506" s="82"/>
      <c r="AD506" s="82"/>
      <c r="AE506" s="82">
        <v>1</v>
      </c>
      <c r="AF506" s="81">
        <v>2</v>
      </c>
      <c r="AG506" s="81">
        <v>2</v>
      </c>
      <c r="AH506" s="49">
        <v>0</v>
      </c>
      <c r="AI506" s="50">
        <v>0</v>
      </c>
      <c r="AJ506" s="49">
        <v>0</v>
      </c>
      <c r="AK506" s="50">
        <v>0</v>
      </c>
      <c r="AL506" s="49">
        <v>0</v>
      </c>
      <c r="AM506" s="50">
        <v>0</v>
      </c>
      <c r="AN506" s="49">
        <v>2</v>
      </c>
      <c r="AO506" s="50">
        <v>40</v>
      </c>
      <c r="AP506" s="49">
        <v>5</v>
      </c>
    </row>
    <row r="507" spans="1:42" ht="15">
      <c r="A507" s="66" t="s">
        <v>726</v>
      </c>
      <c r="B507" s="66" t="s">
        <v>758</v>
      </c>
      <c r="C507" s="67" t="s">
        <v>774</v>
      </c>
      <c r="D507" s="68">
        <v>3</v>
      </c>
      <c r="E507" s="69"/>
      <c r="F507" s="70">
        <v>40</v>
      </c>
      <c r="G507" s="67"/>
      <c r="H507" s="71"/>
      <c r="I507" s="72"/>
      <c r="J507" s="72"/>
      <c r="K507" s="35" t="s">
        <v>65</v>
      </c>
      <c r="L507" s="80">
        <v>507</v>
      </c>
      <c r="M507" s="80"/>
      <c r="N507" s="74"/>
      <c r="O507" s="82" t="s">
        <v>776</v>
      </c>
      <c r="P507" s="82" t="s">
        <v>197</v>
      </c>
      <c r="Q507" s="82" t="s">
        <v>1269</v>
      </c>
      <c r="R507" s="82" t="s">
        <v>726</v>
      </c>
      <c r="S507" s="82" t="s">
        <v>1791</v>
      </c>
      <c r="T507" s="84" t="str">
        <f>HYPERLINK("http://www.youtube.com/channel/UC2gNisJ2w254FHuhu4lsotw")</f>
        <v>http://www.youtube.com/channel/UC2gNisJ2w254FHuhu4lsotw</v>
      </c>
      <c r="U507" s="82"/>
      <c r="V507" s="82" t="s">
        <v>1843</v>
      </c>
      <c r="W507" s="84" t="str">
        <f>HYPERLINK("https://www.youtube.com/watch?v=QNvu01OGv-Y")</f>
        <v>https://www.youtube.com/watch?v=QNvu01OGv-Y</v>
      </c>
      <c r="X507" s="82" t="s">
        <v>1857</v>
      </c>
      <c r="Y507" s="82">
        <v>4</v>
      </c>
      <c r="Z507" s="86">
        <v>45158.93834490741</v>
      </c>
      <c r="AA507" s="86">
        <v>45158.93834490741</v>
      </c>
      <c r="AB507" s="82"/>
      <c r="AC507" s="82"/>
      <c r="AD507" s="82"/>
      <c r="AE507" s="82">
        <v>1</v>
      </c>
      <c r="AF507" s="81">
        <v>2</v>
      </c>
      <c r="AG507" s="81">
        <v>2</v>
      </c>
      <c r="AH507" s="49">
        <v>4</v>
      </c>
      <c r="AI507" s="110">
        <v>8.88888888888889</v>
      </c>
      <c r="AJ507" s="49">
        <v>1</v>
      </c>
      <c r="AK507" s="110">
        <v>2.2222222222222223</v>
      </c>
      <c r="AL507" s="49">
        <v>0</v>
      </c>
      <c r="AM507" s="50">
        <v>0</v>
      </c>
      <c r="AN507" s="49">
        <v>10</v>
      </c>
      <c r="AO507" s="110">
        <v>22.22222222222222</v>
      </c>
      <c r="AP507" s="49">
        <v>45</v>
      </c>
    </row>
    <row r="508" spans="1:42" ht="15">
      <c r="A508" s="66" t="s">
        <v>727</v>
      </c>
      <c r="B508" s="66" t="s">
        <v>758</v>
      </c>
      <c r="C508" s="67" t="s">
        <v>774</v>
      </c>
      <c r="D508" s="68">
        <v>3</v>
      </c>
      <c r="E508" s="69"/>
      <c r="F508" s="70">
        <v>40</v>
      </c>
      <c r="G508" s="67"/>
      <c r="H508" s="71"/>
      <c r="I508" s="72"/>
      <c r="J508" s="72"/>
      <c r="K508" s="35" t="s">
        <v>65</v>
      </c>
      <c r="L508" s="80">
        <v>508</v>
      </c>
      <c r="M508" s="80"/>
      <c r="N508" s="74"/>
      <c r="O508" s="82" t="s">
        <v>776</v>
      </c>
      <c r="P508" s="82" t="s">
        <v>197</v>
      </c>
      <c r="Q508" s="82" t="s">
        <v>1270</v>
      </c>
      <c r="R508" s="82" t="s">
        <v>727</v>
      </c>
      <c r="S508" s="82" t="s">
        <v>1792</v>
      </c>
      <c r="T508" s="84" t="str">
        <f>HYPERLINK("http://www.youtube.com/channel/UCjyHcHHhrXRrmB6ptm6SnQQ")</f>
        <v>http://www.youtube.com/channel/UCjyHcHHhrXRrmB6ptm6SnQQ</v>
      </c>
      <c r="U508" s="82"/>
      <c r="V508" s="82" t="s">
        <v>1843</v>
      </c>
      <c r="W508" s="84" t="str">
        <f>HYPERLINK("https://www.youtube.com/watch?v=QNvu01OGv-Y")</f>
        <v>https://www.youtube.com/watch?v=QNvu01OGv-Y</v>
      </c>
      <c r="X508" s="82" t="s">
        <v>1857</v>
      </c>
      <c r="Y508" s="82">
        <v>1</v>
      </c>
      <c r="Z508" s="86">
        <v>45158.94761574074</v>
      </c>
      <c r="AA508" s="86">
        <v>45158.94761574074</v>
      </c>
      <c r="AB508" s="82"/>
      <c r="AC508" s="82"/>
      <c r="AD508" s="82"/>
      <c r="AE508" s="82">
        <v>1</v>
      </c>
      <c r="AF508" s="81">
        <v>2</v>
      </c>
      <c r="AG508" s="81">
        <v>2</v>
      </c>
      <c r="AH508" s="49">
        <v>0</v>
      </c>
      <c r="AI508" s="50">
        <v>0</v>
      </c>
      <c r="AJ508" s="49">
        <v>1</v>
      </c>
      <c r="AK508" s="110">
        <v>2.7027027027027026</v>
      </c>
      <c r="AL508" s="49">
        <v>0</v>
      </c>
      <c r="AM508" s="50">
        <v>0</v>
      </c>
      <c r="AN508" s="49">
        <v>15</v>
      </c>
      <c r="AO508" s="110">
        <v>40.54054054054054</v>
      </c>
      <c r="AP508" s="49">
        <v>37</v>
      </c>
    </row>
    <row r="509" spans="1:42" ht="15">
      <c r="A509" s="66" t="s">
        <v>728</v>
      </c>
      <c r="B509" s="66" t="s">
        <v>758</v>
      </c>
      <c r="C509" s="67" t="s">
        <v>774</v>
      </c>
      <c r="D509" s="68">
        <v>3</v>
      </c>
      <c r="E509" s="69"/>
      <c r="F509" s="70">
        <v>40</v>
      </c>
      <c r="G509" s="67"/>
      <c r="H509" s="71"/>
      <c r="I509" s="72"/>
      <c r="J509" s="72"/>
      <c r="K509" s="35" t="s">
        <v>65</v>
      </c>
      <c r="L509" s="80">
        <v>509</v>
      </c>
      <c r="M509" s="80"/>
      <c r="N509" s="74"/>
      <c r="O509" s="82" t="s">
        <v>776</v>
      </c>
      <c r="P509" s="82" t="s">
        <v>197</v>
      </c>
      <c r="Q509" s="82" t="s">
        <v>1271</v>
      </c>
      <c r="R509" s="82" t="s">
        <v>728</v>
      </c>
      <c r="S509" s="82" t="s">
        <v>1793</v>
      </c>
      <c r="T509" s="84" t="str">
        <f>HYPERLINK("http://www.youtube.com/channel/UC4phk1sxsyJbY9b6r9Iozlw")</f>
        <v>http://www.youtube.com/channel/UC4phk1sxsyJbY9b6r9Iozlw</v>
      </c>
      <c r="U509" s="82"/>
      <c r="V509" s="82" t="s">
        <v>1843</v>
      </c>
      <c r="W509" s="84" t="str">
        <f>HYPERLINK("https://www.youtube.com/watch?v=QNvu01OGv-Y")</f>
        <v>https://www.youtube.com/watch?v=QNvu01OGv-Y</v>
      </c>
      <c r="X509" s="82" t="s">
        <v>1857</v>
      </c>
      <c r="Y509" s="82">
        <v>0</v>
      </c>
      <c r="Z509" s="86">
        <v>45158.982094907406</v>
      </c>
      <c r="AA509" s="86">
        <v>45158.982094907406</v>
      </c>
      <c r="AB509" s="82"/>
      <c r="AC509" s="82"/>
      <c r="AD509" s="82"/>
      <c r="AE509" s="82">
        <v>1</v>
      </c>
      <c r="AF509" s="81">
        <v>2</v>
      </c>
      <c r="AG509" s="81">
        <v>2</v>
      </c>
      <c r="AH509" s="49">
        <v>0</v>
      </c>
      <c r="AI509" s="50">
        <v>0</v>
      </c>
      <c r="AJ509" s="49">
        <v>1</v>
      </c>
      <c r="AK509" s="50">
        <v>12.5</v>
      </c>
      <c r="AL509" s="49">
        <v>0</v>
      </c>
      <c r="AM509" s="50">
        <v>0</v>
      </c>
      <c r="AN509" s="49">
        <v>3</v>
      </c>
      <c r="AO509" s="50">
        <v>37.5</v>
      </c>
      <c r="AP509" s="49">
        <v>8</v>
      </c>
    </row>
    <row r="510" spans="1:42" ht="15">
      <c r="A510" s="66" t="s">
        <v>729</v>
      </c>
      <c r="B510" s="66" t="s">
        <v>758</v>
      </c>
      <c r="C510" s="67" t="s">
        <v>774</v>
      </c>
      <c r="D510" s="68">
        <v>3</v>
      </c>
      <c r="E510" s="69"/>
      <c r="F510" s="70">
        <v>40</v>
      </c>
      <c r="G510" s="67"/>
      <c r="H510" s="71"/>
      <c r="I510" s="72"/>
      <c r="J510" s="72"/>
      <c r="K510" s="35" t="s">
        <v>65</v>
      </c>
      <c r="L510" s="80">
        <v>510</v>
      </c>
      <c r="M510" s="80"/>
      <c r="N510" s="74"/>
      <c r="O510" s="82" t="s">
        <v>776</v>
      </c>
      <c r="P510" s="82" t="s">
        <v>197</v>
      </c>
      <c r="Q510" s="82" t="s">
        <v>1272</v>
      </c>
      <c r="R510" s="82" t="s">
        <v>729</v>
      </c>
      <c r="S510" s="82" t="s">
        <v>1794</v>
      </c>
      <c r="T510" s="84" t="str">
        <f>HYPERLINK("http://www.youtube.com/channel/UC9KQXBknPBNA0G2dBq9cifQ")</f>
        <v>http://www.youtube.com/channel/UC9KQXBknPBNA0G2dBq9cifQ</v>
      </c>
      <c r="U510" s="82"/>
      <c r="V510" s="82" t="s">
        <v>1843</v>
      </c>
      <c r="W510" s="84" t="str">
        <f>HYPERLINK("https://www.youtube.com/watch?v=QNvu01OGv-Y")</f>
        <v>https://www.youtube.com/watch?v=QNvu01OGv-Y</v>
      </c>
      <c r="X510" s="82" t="s">
        <v>1857</v>
      </c>
      <c r="Y510" s="82">
        <v>0</v>
      </c>
      <c r="Z510" s="86">
        <v>45158.99422453704</v>
      </c>
      <c r="AA510" s="86">
        <v>45158.99422453704</v>
      </c>
      <c r="AB510" s="82"/>
      <c r="AC510" s="82"/>
      <c r="AD510" s="82"/>
      <c r="AE510" s="82">
        <v>1</v>
      </c>
      <c r="AF510" s="81">
        <v>2</v>
      </c>
      <c r="AG510" s="81">
        <v>2</v>
      </c>
      <c r="AH510" s="49">
        <v>0</v>
      </c>
      <c r="AI510" s="50">
        <v>0</v>
      </c>
      <c r="AJ510" s="49">
        <v>2</v>
      </c>
      <c r="AK510" s="110">
        <v>5.2631578947368425</v>
      </c>
      <c r="AL510" s="49">
        <v>0</v>
      </c>
      <c r="AM510" s="50">
        <v>0</v>
      </c>
      <c r="AN510" s="49">
        <v>13</v>
      </c>
      <c r="AO510" s="110">
        <v>34.21052631578947</v>
      </c>
      <c r="AP510" s="49">
        <v>38</v>
      </c>
    </row>
    <row r="511" spans="1:42" ht="15">
      <c r="A511" s="66" t="s">
        <v>730</v>
      </c>
      <c r="B511" s="66" t="s">
        <v>758</v>
      </c>
      <c r="C511" s="67" t="s">
        <v>774</v>
      </c>
      <c r="D511" s="68">
        <v>3</v>
      </c>
      <c r="E511" s="69"/>
      <c r="F511" s="70">
        <v>40</v>
      </c>
      <c r="G511" s="67"/>
      <c r="H511" s="71"/>
      <c r="I511" s="72"/>
      <c r="J511" s="72"/>
      <c r="K511" s="35" t="s">
        <v>65</v>
      </c>
      <c r="L511" s="80">
        <v>511</v>
      </c>
      <c r="M511" s="80"/>
      <c r="N511" s="74"/>
      <c r="O511" s="82" t="s">
        <v>776</v>
      </c>
      <c r="P511" s="82" t="s">
        <v>197</v>
      </c>
      <c r="Q511" s="82" t="s">
        <v>1273</v>
      </c>
      <c r="R511" s="82" t="s">
        <v>730</v>
      </c>
      <c r="S511" s="82" t="s">
        <v>1795</v>
      </c>
      <c r="T511" s="84" t="str">
        <f>HYPERLINK("http://www.youtube.com/channel/UCTazwZmE-00MCGpQTM9MArQ")</f>
        <v>http://www.youtube.com/channel/UCTazwZmE-00MCGpQTM9MArQ</v>
      </c>
      <c r="U511" s="82"/>
      <c r="V511" s="82" t="s">
        <v>1843</v>
      </c>
      <c r="W511" s="84" t="str">
        <f>HYPERLINK("https://www.youtube.com/watch?v=QNvu01OGv-Y")</f>
        <v>https://www.youtube.com/watch?v=QNvu01OGv-Y</v>
      </c>
      <c r="X511" s="82" t="s">
        <v>1857</v>
      </c>
      <c r="Y511" s="82">
        <v>15</v>
      </c>
      <c r="Z511" s="86">
        <v>45158.99980324074</v>
      </c>
      <c r="AA511" s="86">
        <v>45158.99980324074</v>
      </c>
      <c r="AB511" s="82"/>
      <c r="AC511" s="82"/>
      <c r="AD511" s="82"/>
      <c r="AE511" s="82">
        <v>1</v>
      </c>
      <c r="AF511" s="81">
        <v>2</v>
      </c>
      <c r="AG511" s="81">
        <v>2</v>
      </c>
      <c r="AH511" s="49">
        <v>1</v>
      </c>
      <c r="AI511" s="110">
        <v>7.6923076923076925</v>
      </c>
      <c r="AJ511" s="49">
        <v>0</v>
      </c>
      <c r="AK511" s="50">
        <v>0</v>
      </c>
      <c r="AL511" s="49">
        <v>0</v>
      </c>
      <c r="AM511" s="50">
        <v>0</v>
      </c>
      <c r="AN511" s="49">
        <v>5</v>
      </c>
      <c r="AO511" s="110">
        <v>38.46153846153846</v>
      </c>
      <c r="AP511" s="49">
        <v>13</v>
      </c>
    </row>
    <row r="512" spans="1:42" ht="15">
      <c r="A512" s="66" t="s">
        <v>731</v>
      </c>
      <c r="B512" s="66" t="s">
        <v>758</v>
      </c>
      <c r="C512" s="67" t="s">
        <v>774</v>
      </c>
      <c r="D512" s="68">
        <v>3</v>
      </c>
      <c r="E512" s="69"/>
      <c r="F512" s="70">
        <v>40</v>
      </c>
      <c r="G512" s="67"/>
      <c r="H512" s="71"/>
      <c r="I512" s="72"/>
      <c r="J512" s="72"/>
      <c r="K512" s="35" t="s">
        <v>65</v>
      </c>
      <c r="L512" s="80">
        <v>512</v>
      </c>
      <c r="M512" s="80"/>
      <c r="N512" s="74"/>
      <c r="O512" s="82" t="s">
        <v>776</v>
      </c>
      <c r="P512" s="82" t="s">
        <v>197</v>
      </c>
      <c r="Q512" s="82" t="s">
        <v>1274</v>
      </c>
      <c r="R512" s="82" t="s">
        <v>731</v>
      </c>
      <c r="S512" s="82" t="s">
        <v>1796</v>
      </c>
      <c r="T512" s="84" t="str">
        <f>HYPERLINK("http://www.youtube.com/channel/UC01_NCDSP2rlqMkwIlL3bvQ")</f>
        <v>http://www.youtube.com/channel/UC01_NCDSP2rlqMkwIlL3bvQ</v>
      </c>
      <c r="U512" s="82"/>
      <c r="V512" s="82" t="s">
        <v>1843</v>
      </c>
      <c r="W512" s="84" t="str">
        <f>HYPERLINK("https://www.youtube.com/watch?v=QNvu01OGv-Y")</f>
        <v>https://www.youtube.com/watch?v=QNvu01OGv-Y</v>
      </c>
      <c r="X512" s="82" t="s">
        <v>1857</v>
      </c>
      <c r="Y512" s="82">
        <v>0</v>
      </c>
      <c r="Z512" s="86">
        <v>45159.02291666667</v>
      </c>
      <c r="AA512" s="86">
        <v>45159.02291666667</v>
      </c>
      <c r="AB512" s="82"/>
      <c r="AC512" s="82"/>
      <c r="AD512" s="82"/>
      <c r="AE512" s="82">
        <v>1</v>
      </c>
      <c r="AF512" s="81">
        <v>2</v>
      </c>
      <c r="AG512" s="81">
        <v>2</v>
      </c>
      <c r="AH512" s="49">
        <v>1</v>
      </c>
      <c r="AI512" s="110">
        <v>1.8518518518518519</v>
      </c>
      <c r="AJ512" s="49">
        <v>0</v>
      </c>
      <c r="AK512" s="50">
        <v>0</v>
      </c>
      <c r="AL512" s="49">
        <v>0</v>
      </c>
      <c r="AM512" s="50">
        <v>0</v>
      </c>
      <c r="AN512" s="49">
        <v>21</v>
      </c>
      <c r="AO512" s="110">
        <v>38.888888888888886</v>
      </c>
      <c r="AP512" s="49">
        <v>54</v>
      </c>
    </row>
    <row r="513" spans="1:42" ht="15">
      <c r="A513" s="66" t="s">
        <v>732</v>
      </c>
      <c r="B513" s="66" t="s">
        <v>758</v>
      </c>
      <c r="C513" s="67" t="s">
        <v>774</v>
      </c>
      <c r="D513" s="68">
        <v>3</v>
      </c>
      <c r="E513" s="69"/>
      <c r="F513" s="70">
        <v>40</v>
      </c>
      <c r="G513" s="67"/>
      <c r="H513" s="71"/>
      <c r="I513" s="72"/>
      <c r="J513" s="72"/>
      <c r="K513" s="35" t="s">
        <v>65</v>
      </c>
      <c r="L513" s="80">
        <v>513</v>
      </c>
      <c r="M513" s="80"/>
      <c r="N513" s="74"/>
      <c r="O513" s="82" t="s">
        <v>776</v>
      </c>
      <c r="P513" s="82" t="s">
        <v>197</v>
      </c>
      <c r="Q513" s="82" t="s">
        <v>1275</v>
      </c>
      <c r="R513" s="82" t="s">
        <v>732</v>
      </c>
      <c r="S513" s="82" t="s">
        <v>1797</v>
      </c>
      <c r="T513" s="84" t="str">
        <f>HYPERLINK("http://www.youtube.com/channel/UCn94vXUA805IrbJf_SP8wjA")</f>
        <v>http://www.youtube.com/channel/UCn94vXUA805IrbJf_SP8wjA</v>
      </c>
      <c r="U513" s="82"/>
      <c r="V513" s="82" t="s">
        <v>1843</v>
      </c>
      <c r="W513" s="84" t="str">
        <f>HYPERLINK("https://www.youtube.com/watch?v=QNvu01OGv-Y")</f>
        <v>https://www.youtube.com/watch?v=QNvu01OGv-Y</v>
      </c>
      <c r="X513" s="82" t="s">
        <v>1857</v>
      </c>
      <c r="Y513" s="82">
        <v>0</v>
      </c>
      <c r="Z513" s="86">
        <v>45159.033159722225</v>
      </c>
      <c r="AA513" s="86">
        <v>45159.033159722225</v>
      </c>
      <c r="AB513" s="82"/>
      <c r="AC513" s="82"/>
      <c r="AD513" s="82"/>
      <c r="AE513" s="82">
        <v>1</v>
      </c>
      <c r="AF513" s="81">
        <v>2</v>
      </c>
      <c r="AG513" s="81">
        <v>2</v>
      </c>
      <c r="AH513" s="49">
        <v>0</v>
      </c>
      <c r="AI513" s="50">
        <v>0</v>
      </c>
      <c r="AJ513" s="49">
        <v>1</v>
      </c>
      <c r="AK513" s="50">
        <v>6.25</v>
      </c>
      <c r="AL513" s="49">
        <v>0</v>
      </c>
      <c r="AM513" s="50">
        <v>0</v>
      </c>
      <c r="AN513" s="49">
        <v>8</v>
      </c>
      <c r="AO513" s="50">
        <v>50</v>
      </c>
      <c r="AP513" s="49">
        <v>16</v>
      </c>
    </row>
    <row r="514" spans="1:42" ht="15">
      <c r="A514" s="66" t="s">
        <v>733</v>
      </c>
      <c r="B514" s="66" t="s">
        <v>758</v>
      </c>
      <c r="C514" s="67" t="s">
        <v>774</v>
      </c>
      <c r="D514" s="68">
        <v>3</v>
      </c>
      <c r="E514" s="69"/>
      <c r="F514" s="70">
        <v>40</v>
      </c>
      <c r="G514" s="67"/>
      <c r="H514" s="71"/>
      <c r="I514" s="72"/>
      <c r="J514" s="72"/>
      <c r="K514" s="35" t="s">
        <v>65</v>
      </c>
      <c r="L514" s="80">
        <v>514</v>
      </c>
      <c r="M514" s="80"/>
      <c r="N514" s="74"/>
      <c r="O514" s="82" t="s">
        <v>776</v>
      </c>
      <c r="P514" s="82" t="s">
        <v>197</v>
      </c>
      <c r="Q514" s="82" t="s">
        <v>1276</v>
      </c>
      <c r="R514" s="82" t="s">
        <v>733</v>
      </c>
      <c r="S514" s="82" t="s">
        <v>1798</v>
      </c>
      <c r="T514" s="84" t="str">
        <f>HYPERLINK("http://www.youtube.com/channel/UCjsW7CFzRn0rQypCxqYrqww")</f>
        <v>http://www.youtube.com/channel/UCjsW7CFzRn0rQypCxqYrqww</v>
      </c>
      <c r="U514" s="82"/>
      <c r="V514" s="82" t="s">
        <v>1843</v>
      </c>
      <c r="W514" s="84" t="str">
        <f>HYPERLINK("https://www.youtube.com/watch?v=QNvu01OGv-Y")</f>
        <v>https://www.youtube.com/watch?v=QNvu01OGv-Y</v>
      </c>
      <c r="X514" s="82" t="s">
        <v>1857</v>
      </c>
      <c r="Y514" s="82">
        <v>0</v>
      </c>
      <c r="Z514" s="86">
        <v>45159.04251157407</v>
      </c>
      <c r="AA514" s="86">
        <v>45159.04251157407</v>
      </c>
      <c r="AB514" s="82"/>
      <c r="AC514" s="82"/>
      <c r="AD514" s="82"/>
      <c r="AE514" s="82">
        <v>1</v>
      </c>
      <c r="AF514" s="81">
        <v>2</v>
      </c>
      <c r="AG514" s="81">
        <v>2</v>
      </c>
      <c r="AH514" s="49">
        <v>0</v>
      </c>
      <c r="AI514" s="50">
        <v>0</v>
      </c>
      <c r="AJ514" s="49">
        <v>1</v>
      </c>
      <c r="AK514" s="110">
        <v>7.6923076923076925</v>
      </c>
      <c r="AL514" s="49">
        <v>0</v>
      </c>
      <c r="AM514" s="50">
        <v>0</v>
      </c>
      <c r="AN514" s="49">
        <v>3</v>
      </c>
      <c r="AO514" s="110">
        <v>23.076923076923077</v>
      </c>
      <c r="AP514" s="49">
        <v>13</v>
      </c>
    </row>
    <row r="515" spans="1:42" ht="15">
      <c r="A515" s="66" t="s">
        <v>734</v>
      </c>
      <c r="B515" s="66" t="s">
        <v>758</v>
      </c>
      <c r="C515" s="67" t="s">
        <v>774</v>
      </c>
      <c r="D515" s="68">
        <v>3</v>
      </c>
      <c r="E515" s="69"/>
      <c r="F515" s="70">
        <v>40</v>
      </c>
      <c r="G515" s="67"/>
      <c r="H515" s="71"/>
      <c r="I515" s="72"/>
      <c r="J515" s="72"/>
      <c r="K515" s="35" t="s">
        <v>65</v>
      </c>
      <c r="L515" s="80">
        <v>515</v>
      </c>
      <c r="M515" s="80"/>
      <c r="N515" s="74"/>
      <c r="O515" s="82" t="s">
        <v>776</v>
      </c>
      <c r="P515" s="82" t="s">
        <v>197</v>
      </c>
      <c r="Q515" s="82" t="s">
        <v>1277</v>
      </c>
      <c r="R515" s="82" t="s">
        <v>734</v>
      </c>
      <c r="S515" s="82" t="s">
        <v>1799</v>
      </c>
      <c r="T515" s="84" t="str">
        <f>HYPERLINK("http://www.youtube.com/channel/UCs7r9iITqOE-yqbplMDKmDQ")</f>
        <v>http://www.youtube.com/channel/UCs7r9iITqOE-yqbplMDKmDQ</v>
      </c>
      <c r="U515" s="82"/>
      <c r="V515" s="82" t="s">
        <v>1843</v>
      </c>
      <c r="W515" s="84" t="str">
        <f>HYPERLINK("https://www.youtube.com/watch?v=QNvu01OGv-Y")</f>
        <v>https://www.youtube.com/watch?v=QNvu01OGv-Y</v>
      </c>
      <c r="X515" s="82" t="s">
        <v>1857</v>
      </c>
      <c r="Y515" s="82">
        <v>0</v>
      </c>
      <c r="Z515" s="86">
        <v>45159.04278935185</v>
      </c>
      <c r="AA515" s="86">
        <v>45159.04315972222</v>
      </c>
      <c r="AB515" s="82"/>
      <c r="AC515" s="82"/>
      <c r="AD515" s="82"/>
      <c r="AE515" s="82">
        <v>1</v>
      </c>
      <c r="AF515" s="81">
        <v>2</v>
      </c>
      <c r="AG515" s="81">
        <v>2</v>
      </c>
      <c r="AH515" s="49">
        <v>0</v>
      </c>
      <c r="AI515" s="50">
        <v>0</v>
      </c>
      <c r="AJ515" s="49">
        <v>0</v>
      </c>
      <c r="AK515" s="50">
        <v>0</v>
      </c>
      <c r="AL515" s="49">
        <v>0</v>
      </c>
      <c r="AM515" s="50">
        <v>0</v>
      </c>
      <c r="AN515" s="49">
        <v>23</v>
      </c>
      <c r="AO515" s="110">
        <v>52.27272727272727</v>
      </c>
      <c r="AP515" s="49">
        <v>44</v>
      </c>
    </row>
    <row r="516" spans="1:42" ht="15">
      <c r="A516" s="66" t="s">
        <v>735</v>
      </c>
      <c r="B516" s="66" t="s">
        <v>758</v>
      </c>
      <c r="C516" s="67" t="s">
        <v>774</v>
      </c>
      <c r="D516" s="68">
        <v>3</v>
      </c>
      <c r="E516" s="69"/>
      <c r="F516" s="70">
        <v>40</v>
      </c>
      <c r="G516" s="67"/>
      <c r="H516" s="71"/>
      <c r="I516" s="72"/>
      <c r="J516" s="72"/>
      <c r="K516" s="35" t="s">
        <v>65</v>
      </c>
      <c r="L516" s="80">
        <v>516</v>
      </c>
      <c r="M516" s="80"/>
      <c r="N516" s="74"/>
      <c r="O516" s="82" t="s">
        <v>776</v>
      </c>
      <c r="P516" s="82" t="s">
        <v>197</v>
      </c>
      <c r="Q516" s="82" t="s">
        <v>1278</v>
      </c>
      <c r="R516" s="82" t="s">
        <v>735</v>
      </c>
      <c r="S516" s="82" t="s">
        <v>1800</v>
      </c>
      <c r="T516" s="84" t="str">
        <f>HYPERLINK("http://www.youtube.com/channel/UCi8pRq28t2H3voNrKVG5oww")</f>
        <v>http://www.youtube.com/channel/UCi8pRq28t2H3voNrKVG5oww</v>
      </c>
      <c r="U516" s="82"/>
      <c r="V516" s="82" t="s">
        <v>1843</v>
      </c>
      <c r="W516" s="84" t="str">
        <f>HYPERLINK("https://www.youtube.com/watch?v=QNvu01OGv-Y")</f>
        <v>https://www.youtube.com/watch?v=QNvu01OGv-Y</v>
      </c>
      <c r="X516" s="82" t="s">
        <v>1857</v>
      </c>
      <c r="Y516" s="82">
        <v>1</v>
      </c>
      <c r="Z516" s="86">
        <v>45159.08976851852</v>
      </c>
      <c r="AA516" s="86">
        <v>45159.08976851852</v>
      </c>
      <c r="AB516" s="82"/>
      <c r="AC516" s="82"/>
      <c r="AD516" s="82"/>
      <c r="AE516" s="82">
        <v>1</v>
      </c>
      <c r="AF516" s="81">
        <v>2</v>
      </c>
      <c r="AG516" s="81">
        <v>2</v>
      </c>
      <c r="AH516" s="49">
        <v>2</v>
      </c>
      <c r="AI516" s="110">
        <v>13.333333333333334</v>
      </c>
      <c r="AJ516" s="49">
        <v>1</v>
      </c>
      <c r="AK516" s="110">
        <v>6.666666666666667</v>
      </c>
      <c r="AL516" s="49">
        <v>0</v>
      </c>
      <c r="AM516" s="50">
        <v>0</v>
      </c>
      <c r="AN516" s="49">
        <v>4</v>
      </c>
      <c r="AO516" s="110">
        <v>26.666666666666668</v>
      </c>
      <c r="AP516" s="49">
        <v>15</v>
      </c>
    </row>
    <row r="517" spans="1:42" ht="15">
      <c r="A517" s="66" t="s">
        <v>736</v>
      </c>
      <c r="B517" s="66" t="s">
        <v>758</v>
      </c>
      <c r="C517" s="67" t="s">
        <v>774</v>
      </c>
      <c r="D517" s="68">
        <v>3</v>
      </c>
      <c r="E517" s="69"/>
      <c r="F517" s="70">
        <v>40</v>
      </c>
      <c r="G517" s="67"/>
      <c r="H517" s="71"/>
      <c r="I517" s="72"/>
      <c r="J517" s="72"/>
      <c r="K517" s="35" t="s">
        <v>65</v>
      </c>
      <c r="L517" s="80">
        <v>517</v>
      </c>
      <c r="M517" s="80"/>
      <c r="N517" s="74"/>
      <c r="O517" s="82" t="s">
        <v>776</v>
      </c>
      <c r="P517" s="82" t="s">
        <v>197</v>
      </c>
      <c r="Q517" s="82" t="s">
        <v>1279</v>
      </c>
      <c r="R517" s="82" t="s">
        <v>736</v>
      </c>
      <c r="S517" s="82" t="s">
        <v>1801</v>
      </c>
      <c r="T517" s="84" t="str">
        <f>HYPERLINK("http://www.youtube.com/channel/UCwKfz2aXwgrHCqVI8q5tDdg")</f>
        <v>http://www.youtube.com/channel/UCwKfz2aXwgrHCqVI8q5tDdg</v>
      </c>
      <c r="U517" s="82"/>
      <c r="V517" s="82" t="s">
        <v>1843</v>
      </c>
      <c r="W517" s="84" t="str">
        <f>HYPERLINK("https://www.youtube.com/watch?v=QNvu01OGv-Y")</f>
        <v>https://www.youtube.com/watch?v=QNvu01OGv-Y</v>
      </c>
      <c r="X517" s="82" t="s">
        <v>1857</v>
      </c>
      <c r="Y517" s="82">
        <v>19</v>
      </c>
      <c r="Z517" s="86">
        <v>45159.11449074074</v>
      </c>
      <c r="AA517" s="86">
        <v>45159.11449074074</v>
      </c>
      <c r="AB517" s="82"/>
      <c r="AC517" s="82"/>
      <c r="AD517" s="82"/>
      <c r="AE517" s="82">
        <v>1</v>
      </c>
      <c r="AF517" s="81">
        <v>2</v>
      </c>
      <c r="AG517" s="81">
        <v>2</v>
      </c>
      <c r="AH517" s="49">
        <v>0</v>
      </c>
      <c r="AI517" s="50">
        <v>0</v>
      </c>
      <c r="AJ517" s="49">
        <v>2</v>
      </c>
      <c r="AK517" s="110">
        <v>2.898550724637681</v>
      </c>
      <c r="AL517" s="49">
        <v>0</v>
      </c>
      <c r="AM517" s="50">
        <v>0</v>
      </c>
      <c r="AN517" s="49">
        <v>20</v>
      </c>
      <c r="AO517" s="110">
        <v>28.985507246376812</v>
      </c>
      <c r="AP517" s="49">
        <v>69</v>
      </c>
    </row>
    <row r="518" spans="1:42" ht="15">
      <c r="A518" s="66" t="s">
        <v>737</v>
      </c>
      <c r="B518" s="66" t="s">
        <v>758</v>
      </c>
      <c r="C518" s="67" t="s">
        <v>774</v>
      </c>
      <c r="D518" s="68">
        <v>3</v>
      </c>
      <c r="E518" s="69"/>
      <c r="F518" s="70">
        <v>40</v>
      </c>
      <c r="G518" s="67"/>
      <c r="H518" s="71"/>
      <c r="I518" s="72"/>
      <c r="J518" s="72"/>
      <c r="K518" s="35" t="s">
        <v>65</v>
      </c>
      <c r="L518" s="80">
        <v>518</v>
      </c>
      <c r="M518" s="80"/>
      <c r="N518" s="74"/>
      <c r="O518" s="82" t="s">
        <v>776</v>
      </c>
      <c r="P518" s="82" t="s">
        <v>197</v>
      </c>
      <c r="Q518" s="82" t="s">
        <v>1280</v>
      </c>
      <c r="R518" s="82" t="s">
        <v>737</v>
      </c>
      <c r="S518" s="82" t="s">
        <v>1802</v>
      </c>
      <c r="T518" s="84" t="str">
        <f>HYPERLINK("http://www.youtube.com/channel/UC5ycpbWKBpjx5hCNjQeOaTA")</f>
        <v>http://www.youtube.com/channel/UC5ycpbWKBpjx5hCNjQeOaTA</v>
      </c>
      <c r="U518" s="82"/>
      <c r="V518" s="82" t="s">
        <v>1843</v>
      </c>
      <c r="W518" s="84" t="str">
        <f>HYPERLINK("https://www.youtube.com/watch?v=QNvu01OGv-Y")</f>
        <v>https://www.youtube.com/watch?v=QNvu01OGv-Y</v>
      </c>
      <c r="X518" s="82" t="s">
        <v>1857</v>
      </c>
      <c r="Y518" s="82">
        <v>0</v>
      </c>
      <c r="Z518" s="86">
        <v>45159.1241087963</v>
      </c>
      <c r="AA518" s="86">
        <v>45159.1241087963</v>
      </c>
      <c r="AB518" s="82"/>
      <c r="AC518" s="82"/>
      <c r="AD518" s="82"/>
      <c r="AE518" s="82">
        <v>1</v>
      </c>
      <c r="AF518" s="81">
        <v>2</v>
      </c>
      <c r="AG518" s="81">
        <v>2</v>
      </c>
      <c r="AH518" s="49">
        <v>0</v>
      </c>
      <c r="AI518" s="50">
        <v>0</v>
      </c>
      <c r="AJ518" s="49">
        <v>0</v>
      </c>
      <c r="AK518" s="50">
        <v>0</v>
      </c>
      <c r="AL518" s="49">
        <v>0</v>
      </c>
      <c r="AM518" s="50">
        <v>0</v>
      </c>
      <c r="AN518" s="49">
        <v>4</v>
      </c>
      <c r="AO518" s="110">
        <v>57.142857142857146</v>
      </c>
      <c r="AP518" s="49">
        <v>7</v>
      </c>
    </row>
    <row r="519" spans="1:42" ht="15">
      <c r="A519" s="66" t="s">
        <v>738</v>
      </c>
      <c r="B519" s="66" t="s">
        <v>758</v>
      </c>
      <c r="C519" s="67" t="s">
        <v>774</v>
      </c>
      <c r="D519" s="68">
        <v>3</v>
      </c>
      <c r="E519" s="69"/>
      <c r="F519" s="70">
        <v>40</v>
      </c>
      <c r="G519" s="67"/>
      <c r="H519" s="71"/>
      <c r="I519" s="72"/>
      <c r="J519" s="72"/>
      <c r="K519" s="35" t="s">
        <v>65</v>
      </c>
      <c r="L519" s="80">
        <v>519</v>
      </c>
      <c r="M519" s="80"/>
      <c r="N519" s="74"/>
      <c r="O519" s="82" t="s">
        <v>776</v>
      </c>
      <c r="P519" s="82" t="s">
        <v>197</v>
      </c>
      <c r="Q519" s="82" t="s">
        <v>1281</v>
      </c>
      <c r="R519" s="82" t="s">
        <v>738</v>
      </c>
      <c r="S519" s="82" t="s">
        <v>1803</v>
      </c>
      <c r="T519" s="84" t="str">
        <f>HYPERLINK("http://www.youtube.com/channel/UCbKNT--FSDrlqH6YGyBPxQw")</f>
        <v>http://www.youtube.com/channel/UCbKNT--FSDrlqH6YGyBPxQw</v>
      </c>
      <c r="U519" s="82"/>
      <c r="V519" s="82" t="s">
        <v>1843</v>
      </c>
      <c r="W519" s="84" t="str">
        <f>HYPERLINK("https://www.youtube.com/watch?v=QNvu01OGv-Y")</f>
        <v>https://www.youtube.com/watch?v=QNvu01OGv-Y</v>
      </c>
      <c r="X519" s="82" t="s">
        <v>1857</v>
      </c>
      <c r="Y519" s="82">
        <v>15</v>
      </c>
      <c r="Z519" s="86">
        <v>45159.17028935185</v>
      </c>
      <c r="AA519" s="86">
        <v>45159.17028935185</v>
      </c>
      <c r="AB519" s="82"/>
      <c r="AC519" s="82"/>
      <c r="AD519" s="82"/>
      <c r="AE519" s="82">
        <v>1</v>
      </c>
      <c r="AF519" s="81">
        <v>2</v>
      </c>
      <c r="AG519" s="81">
        <v>2</v>
      </c>
      <c r="AH519" s="49">
        <v>7</v>
      </c>
      <c r="AI519" s="110">
        <v>5.691056910569106</v>
      </c>
      <c r="AJ519" s="49">
        <v>3</v>
      </c>
      <c r="AK519" s="110">
        <v>2.4390243902439024</v>
      </c>
      <c r="AL519" s="49">
        <v>0</v>
      </c>
      <c r="AM519" s="50">
        <v>0</v>
      </c>
      <c r="AN519" s="49">
        <v>36</v>
      </c>
      <c r="AO519" s="110">
        <v>29.26829268292683</v>
      </c>
      <c r="AP519" s="49">
        <v>123</v>
      </c>
    </row>
    <row r="520" spans="1:42" ht="15">
      <c r="A520" s="66" t="s">
        <v>739</v>
      </c>
      <c r="B520" s="66" t="s">
        <v>758</v>
      </c>
      <c r="C520" s="67" t="s">
        <v>774</v>
      </c>
      <c r="D520" s="68">
        <v>3</v>
      </c>
      <c r="E520" s="69"/>
      <c r="F520" s="70">
        <v>40</v>
      </c>
      <c r="G520" s="67"/>
      <c r="H520" s="71"/>
      <c r="I520" s="72"/>
      <c r="J520" s="72"/>
      <c r="K520" s="35" t="s">
        <v>65</v>
      </c>
      <c r="L520" s="80">
        <v>520</v>
      </c>
      <c r="M520" s="80"/>
      <c r="N520" s="74"/>
      <c r="O520" s="82" t="s">
        <v>776</v>
      </c>
      <c r="P520" s="82" t="s">
        <v>197</v>
      </c>
      <c r="Q520" s="82" t="s">
        <v>1282</v>
      </c>
      <c r="R520" s="82" t="s">
        <v>739</v>
      </c>
      <c r="S520" s="82" t="s">
        <v>1804</v>
      </c>
      <c r="T520" s="84" t="str">
        <f>HYPERLINK("http://www.youtube.com/channel/UCpYO4Z7HCHEQYBc9rgWK1Nw")</f>
        <v>http://www.youtube.com/channel/UCpYO4Z7HCHEQYBc9rgWK1Nw</v>
      </c>
      <c r="U520" s="82"/>
      <c r="V520" s="82" t="s">
        <v>1843</v>
      </c>
      <c r="W520" s="84" t="str">
        <f>HYPERLINK("https://www.youtube.com/watch?v=QNvu01OGv-Y")</f>
        <v>https://www.youtube.com/watch?v=QNvu01OGv-Y</v>
      </c>
      <c r="X520" s="82" t="s">
        <v>1857</v>
      </c>
      <c r="Y520" s="82">
        <v>0</v>
      </c>
      <c r="Z520" s="86">
        <v>45159.17269675926</v>
      </c>
      <c r="AA520" s="86">
        <v>45159.17269675926</v>
      </c>
      <c r="AB520" s="82"/>
      <c r="AC520" s="82"/>
      <c r="AD520" s="82"/>
      <c r="AE520" s="82">
        <v>1</v>
      </c>
      <c r="AF520" s="81">
        <v>2</v>
      </c>
      <c r="AG520" s="81">
        <v>2</v>
      </c>
      <c r="AH520" s="49">
        <v>1</v>
      </c>
      <c r="AI520" s="110">
        <v>11.11111111111111</v>
      </c>
      <c r="AJ520" s="49">
        <v>1</v>
      </c>
      <c r="AK520" s="110">
        <v>11.11111111111111</v>
      </c>
      <c r="AL520" s="49">
        <v>0</v>
      </c>
      <c r="AM520" s="50">
        <v>0</v>
      </c>
      <c r="AN520" s="49">
        <v>2</v>
      </c>
      <c r="AO520" s="110">
        <v>22.22222222222222</v>
      </c>
      <c r="AP520" s="49">
        <v>9</v>
      </c>
    </row>
    <row r="521" spans="1:42" ht="15">
      <c r="A521" s="66" t="s">
        <v>740</v>
      </c>
      <c r="B521" s="66" t="s">
        <v>758</v>
      </c>
      <c r="C521" s="67" t="s">
        <v>774</v>
      </c>
      <c r="D521" s="68">
        <v>3</v>
      </c>
      <c r="E521" s="69"/>
      <c r="F521" s="70">
        <v>40</v>
      </c>
      <c r="G521" s="67"/>
      <c r="H521" s="71"/>
      <c r="I521" s="72"/>
      <c r="J521" s="72"/>
      <c r="K521" s="35" t="s">
        <v>65</v>
      </c>
      <c r="L521" s="80">
        <v>521</v>
      </c>
      <c r="M521" s="80"/>
      <c r="N521" s="74"/>
      <c r="O521" s="82" t="s">
        <v>776</v>
      </c>
      <c r="P521" s="82" t="s">
        <v>197</v>
      </c>
      <c r="Q521" s="82" t="s">
        <v>1283</v>
      </c>
      <c r="R521" s="82" t="s">
        <v>740</v>
      </c>
      <c r="S521" s="82" t="s">
        <v>1805</v>
      </c>
      <c r="T521" s="84" t="str">
        <f>HYPERLINK("http://www.youtube.com/channel/UCh7lqi3R_UmYsHQnqlOCAEQ")</f>
        <v>http://www.youtube.com/channel/UCh7lqi3R_UmYsHQnqlOCAEQ</v>
      </c>
      <c r="U521" s="82"/>
      <c r="V521" s="82" t="s">
        <v>1843</v>
      </c>
      <c r="W521" s="84" t="str">
        <f>HYPERLINK("https://www.youtube.com/watch?v=QNvu01OGv-Y")</f>
        <v>https://www.youtube.com/watch?v=QNvu01OGv-Y</v>
      </c>
      <c r="X521" s="82" t="s">
        <v>1857</v>
      </c>
      <c r="Y521" s="82">
        <v>2</v>
      </c>
      <c r="Z521" s="86">
        <v>45159.18697916667</v>
      </c>
      <c r="AA521" s="86">
        <v>45159.18697916667</v>
      </c>
      <c r="AB521" s="82"/>
      <c r="AC521" s="82"/>
      <c r="AD521" s="82"/>
      <c r="AE521" s="82">
        <v>1</v>
      </c>
      <c r="AF521" s="81">
        <v>2</v>
      </c>
      <c r="AG521" s="81">
        <v>2</v>
      </c>
      <c r="AH521" s="49">
        <v>1</v>
      </c>
      <c r="AI521" s="110">
        <v>7.6923076923076925</v>
      </c>
      <c r="AJ521" s="49">
        <v>0</v>
      </c>
      <c r="AK521" s="50">
        <v>0</v>
      </c>
      <c r="AL521" s="49">
        <v>0</v>
      </c>
      <c r="AM521" s="50">
        <v>0</v>
      </c>
      <c r="AN521" s="49">
        <v>4</v>
      </c>
      <c r="AO521" s="110">
        <v>30.76923076923077</v>
      </c>
      <c r="AP521" s="49">
        <v>13</v>
      </c>
    </row>
    <row r="522" spans="1:42" ht="15">
      <c r="A522" s="66" t="s">
        <v>741</v>
      </c>
      <c r="B522" s="66" t="s">
        <v>758</v>
      </c>
      <c r="C522" s="67" t="s">
        <v>774</v>
      </c>
      <c r="D522" s="68">
        <v>3</v>
      </c>
      <c r="E522" s="69"/>
      <c r="F522" s="70">
        <v>40</v>
      </c>
      <c r="G522" s="67"/>
      <c r="H522" s="71"/>
      <c r="I522" s="72"/>
      <c r="J522" s="72"/>
      <c r="K522" s="35" t="s">
        <v>65</v>
      </c>
      <c r="L522" s="80">
        <v>522</v>
      </c>
      <c r="M522" s="80"/>
      <c r="N522" s="74"/>
      <c r="O522" s="82" t="s">
        <v>776</v>
      </c>
      <c r="P522" s="82" t="s">
        <v>197</v>
      </c>
      <c r="Q522" s="82" t="s">
        <v>1284</v>
      </c>
      <c r="R522" s="82" t="s">
        <v>741</v>
      </c>
      <c r="S522" s="82" t="s">
        <v>1806</v>
      </c>
      <c r="T522" s="84" t="str">
        <f>HYPERLINK("http://www.youtube.com/channel/UCh3yf5uoARWEvYyCVLY51RQ")</f>
        <v>http://www.youtube.com/channel/UCh3yf5uoARWEvYyCVLY51RQ</v>
      </c>
      <c r="U522" s="82"/>
      <c r="V522" s="82" t="s">
        <v>1843</v>
      </c>
      <c r="W522" s="84" t="str">
        <f>HYPERLINK("https://www.youtube.com/watch?v=QNvu01OGv-Y")</f>
        <v>https://www.youtube.com/watch?v=QNvu01OGv-Y</v>
      </c>
      <c r="X522" s="82" t="s">
        <v>1857</v>
      </c>
      <c r="Y522" s="82">
        <v>0</v>
      </c>
      <c r="Z522" s="86">
        <v>45159.211875</v>
      </c>
      <c r="AA522" s="86">
        <v>45159.21306712963</v>
      </c>
      <c r="AB522" s="82"/>
      <c r="AC522" s="82"/>
      <c r="AD522" s="82"/>
      <c r="AE522" s="82">
        <v>1</v>
      </c>
      <c r="AF522" s="81">
        <v>2</v>
      </c>
      <c r="AG522" s="81">
        <v>2</v>
      </c>
      <c r="AH522" s="49">
        <v>2</v>
      </c>
      <c r="AI522" s="110">
        <v>2.6315789473684212</v>
      </c>
      <c r="AJ522" s="49">
        <v>4</v>
      </c>
      <c r="AK522" s="110">
        <v>5.2631578947368425</v>
      </c>
      <c r="AL522" s="49">
        <v>0</v>
      </c>
      <c r="AM522" s="50">
        <v>0</v>
      </c>
      <c r="AN522" s="49">
        <v>23</v>
      </c>
      <c r="AO522" s="110">
        <v>30.263157894736842</v>
      </c>
      <c r="AP522" s="49">
        <v>76</v>
      </c>
    </row>
    <row r="523" spans="1:42" ht="15">
      <c r="A523" s="66" t="s">
        <v>742</v>
      </c>
      <c r="B523" s="66" t="s">
        <v>758</v>
      </c>
      <c r="C523" s="67" t="s">
        <v>774</v>
      </c>
      <c r="D523" s="68">
        <v>3</v>
      </c>
      <c r="E523" s="69"/>
      <c r="F523" s="70">
        <v>40</v>
      </c>
      <c r="G523" s="67"/>
      <c r="H523" s="71"/>
      <c r="I523" s="72"/>
      <c r="J523" s="72"/>
      <c r="K523" s="35" t="s">
        <v>65</v>
      </c>
      <c r="L523" s="80">
        <v>523</v>
      </c>
      <c r="M523" s="80"/>
      <c r="N523" s="74"/>
      <c r="O523" s="82" t="s">
        <v>776</v>
      </c>
      <c r="P523" s="82" t="s">
        <v>197</v>
      </c>
      <c r="Q523" s="82" t="s">
        <v>1285</v>
      </c>
      <c r="R523" s="82" t="s">
        <v>742</v>
      </c>
      <c r="S523" s="82" t="s">
        <v>1807</v>
      </c>
      <c r="T523" s="84" t="str">
        <f>HYPERLINK("http://www.youtube.com/channel/UCdSbBJ3CNwZUy3pCA0PJpdA")</f>
        <v>http://www.youtube.com/channel/UCdSbBJ3CNwZUy3pCA0PJpdA</v>
      </c>
      <c r="U523" s="82"/>
      <c r="V523" s="82" t="s">
        <v>1843</v>
      </c>
      <c r="W523" s="84" t="str">
        <f>HYPERLINK("https://www.youtube.com/watch?v=QNvu01OGv-Y")</f>
        <v>https://www.youtube.com/watch?v=QNvu01OGv-Y</v>
      </c>
      <c r="X523" s="82" t="s">
        <v>1857</v>
      </c>
      <c r="Y523" s="82">
        <v>7</v>
      </c>
      <c r="Z523" s="86">
        <v>45159.280636574076</v>
      </c>
      <c r="AA523" s="86">
        <v>45159.280636574076</v>
      </c>
      <c r="AB523" s="82"/>
      <c r="AC523" s="82"/>
      <c r="AD523" s="82"/>
      <c r="AE523" s="82">
        <v>1</v>
      </c>
      <c r="AF523" s="81">
        <v>2</v>
      </c>
      <c r="AG523" s="81">
        <v>2</v>
      </c>
      <c r="AH523" s="49">
        <v>0</v>
      </c>
      <c r="AI523" s="50">
        <v>0</v>
      </c>
      <c r="AJ523" s="49">
        <v>0</v>
      </c>
      <c r="AK523" s="50">
        <v>0</v>
      </c>
      <c r="AL523" s="49">
        <v>0</v>
      </c>
      <c r="AM523" s="50">
        <v>0</v>
      </c>
      <c r="AN523" s="49">
        <v>4</v>
      </c>
      <c r="AO523" s="110">
        <v>44.44444444444444</v>
      </c>
      <c r="AP523" s="49">
        <v>9</v>
      </c>
    </row>
    <row r="524" spans="1:42" ht="15">
      <c r="A524" s="66" t="s">
        <v>743</v>
      </c>
      <c r="B524" s="66" t="s">
        <v>758</v>
      </c>
      <c r="C524" s="67" t="s">
        <v>774</v>
      </c>
      <c r="D524" s="68">
        <v>3</v>
      </c>
      <c r="E524" s="69"/>
      <c r="F524" s="70">
        <v>40</v>
      </c>
      <c r="G524" s="67"/>
      <c r="H524" s="71"/>
      <c r="I524" s="72"/>
      <c r="J524" s="72"/>
      <c r="K524" s="35" t="s">
        <v>65</v>
      </c>
      <c r="L524" s="80">
        <v>524</v>
      </c>
      <c r="M524" s="80"/>
      <c r="N524" s="74"/>
      <c r="O524" s="82" t="s">
        <v>776</v>
      </c>
      <c r="P524" s="82" t="s">
        <v>197</v>
      </c>
      <c r="Q524" s="82" t="s">
        <v>1286</v>
      </c>
      <c r="R524" s="82" t="s">
        <v>743</v>
      </c>
      <c r="S524" s="82" t="s">
        <v>1808</v>
      </c>
      <c r="T524" s="84" t="str">
        <f>HYPERLINK("http://www.youtube.com/channel/UCQZNFK8ncUO0DogKo5rxhEQ")</f>
        <v>http://www.youtube.com/channel/UCQZNFK8ncUO0DogKo5rxhEQ</v>
      </c>
      <c r="U524" s="82"/>
      <c r="V524" s="82" t="s">
        <v>1843</v>
      </c>
      <c r="W524" s="84" t="str">
        <f>HYPERLINK("https://www.youtube.com/watch?v=QNvu01OGv-Y")</f>
        <v>https://www.youtube.com/watch?v=QNvu01OGv-Y</v>
      </c>
      <c r="X524" s="82" t="s">
        <v>1857</v>
      </c>
      <c r="Y524" s="82">
        <v>1</v>
      </c>
      <c r="Z524" s="86">
        <v>45159.29059027778</v>
      </c>
      <c r="AA524" s="86">
        <v>45159.29059027778</v>
      </c>
      <c r="AB524" s="82"/>
      <c r="AC524" s="82"/>
      <c r="AD524" s="82"/>
      <c r="AE524" s="82">
        <v>1</v>
      </c>
      <c r="AF524" s="81">
        <v>2</v>
      </c>
      <c r="AG524" s="81">
        <v>2</v>
      </c>
      <c r="AH524" s="49">
        <v>0</v>
      </c>
      <c r="AI524" s="50">
        <v>0</v>
      </c>
      <c r="AJ524" s="49">
        <v>0</v>
      </c>
      <c r="AK524" s="50">
        <v>0</v>
      </c>
      <c r="AL524" s="49">
        <v>0</v>
      </c>
      <c r="AM524" s="50">
        <v>0</v>
      </c>
      <c r="AN524" s="49">
        <v>6</v>
      </c>
      <c r="AO524" s="110">
        <v>42.857142857142854</v>
      </c>
      <c r="AP524" s="49">
        <v>14</v>
      </c>
    </row>
    <row r="525" spans="1:42" ht="15">
      <c r="A525" s="66" t="s">
        <v>744</v>
      </c>
      <c r="B525" s="66" t="s">
        <v>758</v>
      </c>
      <c r="C525" s="67" t="s">
        <v>774</v>
      </c>
      <c r="D525" s="68">
        <v>3</v>
      </c>
      <c r="E525" s="69"/>
      <c r="F525" s="70">
        <v>40</v>
      </c>
      <c r="G525" s="67"/>
      <c r="H525" s="71"/>
      <c r="I525" s="72"/>
      <c r="J525" s="72"/>
      <c r="K525" s="35" t="s">
        <v>65</v>
      </c>
      <c r="L525" s="80">
        <v>525</v>
      </c>
      <c r="M525" s="80"/>
      <c r="N525" s="74"/>
      <c r="O525" s="82" t="s">
        <v>776</v>
      </c>
      <c r="P525" s="82" t="s">
        <v>197</v>
      </c>
      <c r="Q525" s="82" t="s">
        <v>1287</v>
      </c>
      <c r="R525" s="82" t="s">
        <v>744</v>
      </c>
      <c r="S525" s="82" t="s">
        <v>1809</v>
      </c>
      <c r="T525" s="84" t="str">
        <f>HYPERLINK("http://www.youtube.com/channel/UCFj24ZYPMKVe7HzrTHeFO1w")</f>
        <v>http://www.youtube.com/channel/UCFj24ZYPMKVe7HzrTHeFO1w</v>
      </c>
      <c r="U525" s="82"/>
      <c r="V525" s="82" t="s">
        <v>1843</v>
      </c>
      <c r="W525" s="84" t="str">
        <f>HYPERLINK("https://www.youtube.com/watch?v=QNvu01OGv-Y")</f>
        <v>https://www.youtube.com/watch?v=QNvu01OGv-Y</v>
      </c>
      <c r="X525" s="82" t="s">
        <v>1857</v>
      </c>
      <c r="Y525" s="82">
        <v>0</v>
      </c>
      <c r="Z525" s="86">
        <v>45159.29400462963</v>
      </c>
      <c r="AA525" s="86">
        <v>45159.308344907404</v>
      </c>
      <c r="AB525" s="82"/>
      <c r="AC525" s="82"/>
      <c r="AD525" s="82"/>
      <c r="AE525" s="82">
        <v>1</v>
      </c>
      <c r="AF525" s="81">
        <v>2</v>
      </c>
      <c r="AG525" s="81">
        <v>2</v>
      </c>
      <c r="AH525" s="49">
        <v>4</v>
      </c>
      <c r="AI525" s="110">
        <v>4.081632653061225</v>
      </c>
      <c r="AJ525" s="49">
        <v>4</v>
      </c>
      <c r="AK525" s="110">
        <v>4.081632653061225</v>
      </c>
      <c r="AL525" s="49">
        <v>0</v>
      </c>
      <c r="AM525" s="50">
        <v>0</v>
      </c>
      <c r="AN525" s="49">
        <v>26</v>
      </c>
      <c r="AO525" s="110">
        <v>26.53061224489796</v>
      </c>
      <c r="AP525" s="49">
        <v>98</v>
      </c>
    </row>
    <row r="526" spans="1:42" ht="15">
      <c r="A526" s="66" t="s">
        <v>745</v>
      </c>
      <c r="B526" s="66" t="s">
        <v>758</v>
      </c>
      <c r="C526" s="67" t="s">
        <v>4788</v>
      </c>
      <c r="D526" s="68">
        <v>10</v>
      </c>
      <c r="E526" s="69"/>
      <c r="F526" s="70">
        <v>15</v>
      </c>
      <c r="G526" s="67"/>
      <c r="H526" s="71"/>
      <c r="I526" s="72"/>
      <c r="J526" s="72"/>
      <c r="K526" s="35" t="s">
        <v>65</v>
      </c>
      <c r="L526" s="80">
        <v>526</v>
      </c>
      <c r="M526" s="80"/>
      <c r="N526" s="74"/>
      <c r="O526" s="82" t="s">
        <v>776</v>
      </c>
      <c r="P526" s="82" t="s">
        <v>197</v>
      </c>
      <c r="Q526" s="82" t="s">
        <v>1288</v>
      </c>
      <c r="R526" s="82" t="s">
        <v>745</v>
      </c>
      <c r="S526" s="82" t="s">
        <v>1810</v>
      </c>
      <c r="T526" s="84" t="str">
        <f>HYPERLINK("http://www.youtube.com/channel/UCZr2delx9ViejpExHtH-bsg")</f>
        <v>http://www.youtube.com/channel/UCZr2delx9ViejpExHtH-bsg</v>
      </c>
      <c r="U526" s="82"/>
      <c r="V526" s="82" t="s">
        <v>1843</v>
      </c>
      <c r="W526" s="84" t="str">
        <f>HYPERLINK("https://www.youtube.com/watch?v=QNvu01OGv-Y")</f>
        <v>https://www.youtube.com/watch?v=QNvu01OGv-Y</v>
      </c>
      <c r="X526" s="82" t="s">
        <v>1857</v>
      </c>
      <c r="Y526" s="82">
        <v>0</v>
      </c>
      <c r="Z526" s="86">
        <v>45159.4503587963</v>
      </c>
      <c r="AA526" s="86">
        <v>45159.4503587963</v>
      </c>
      <c r="AB526" s="82"/>
      <c r="AC526" s="82"/>
      <c r="AD526" s="82"/>
      <c r="AE526" s="82">
        <v>4</v>
      </c>
      <c r="AF526" s="81">
        <v>2</v>
      </c>
      <c r="AG526" s="81">
        <v>2</v>
      </c>
      <c r="AH526" s="49">
        <v>2</v>
      </c>
      <c r="AI526" s="110">
        <v>4.444444444444445</v>
      </c>
      <c r="AJ526" s="49">
        <v>0</v>
      </c>
      <c r="AK526" s="50">
        <v>0</v>
      </c>
      <c r="AL526" s="49">
        <v>0</v>
      </c>
      <c r="AM526" s="50">
        <v>0</v>
      </c>
      <c r="AN526" s="49">
        <v>11</v>
      </c>
      <c r="AO526" s="110">
        <v>24.444444444444443</v>
      </c>
      <c r="AP526" s="49">
        <v>45</v>
      </c>
    </row>
    <row r="527" spans="1:42" ht="15">
      <c r="A527" s="66" t="s">
        <v>746</v>
      </c>
      <c r="B527" s="66" t="s">
        <v>758</v>
      </c>
      <c r="C527" s="67" t="s">
        <v>774</v>
      </c>
      <c r="D527" s="68">
        <v>3</v>
      </c>
      <c r="E527" s="69"/>
      <c r="F527" s="70">
        <v>40</v>
      </c>
      <c r="G527" s="67"/>
      <c r="H527" s="71"/>
      <c r="I527" s="72"/>
      <c r="J527" s="72"/>
      <c r="K527" s="35" t="s">
        <v>65</v>
      </c>
      <c r="L527" s="80">
        <v>527</v>
      </c>
      <c r="M527" s="80"/>
      <c r="N527" s="74"/>
      <c r="O527" s="82" t="s">
        <v>776</v>
      </c>
      <c r="P527" s="82" t="s">
        <v>197</v>
      </c>
      <c r="Q527" s="82" t="s">
        <v>1289</v>
      </c>
      <c r="R527" s="82" t="s">
        <v>746</v>
      </c>
      <c r="S527" s="82" t="s">
        <v>1811</v>
      </c>
      <c r="T527" s="84" t="str">
        <f>HYPERLINK("http://www.youtube.com/channel/UCpxyF835h0owQBODKyblEZg")</f>
        <v>http://www.youtube.com/channel/UCpxyF835h0owQBODKyblEZg</v>
      </c>
      <c r="U527" s="82"/>
      <c r="V527" s="82" t="s">
        <v>1843</v>
      </c>
      <c r="W527" s="84" t="str">
        <f>HYPERLINK("https://www.youtube.com/watch?v=QNvu01OGv-Y")</f>
        <v>https://www.youtube.com/watch?v=QNvu01OGv-Y</v>
      </c>
      <c r="X527" s="82" t="s">
        <v>1857</v>
      </c>
      <c r="Y527" s="82">
        <v>1</v>
      </c>
      <c r="Z527" s="86">
        <v>45159.49936342592</v>
      </c>
      <c r="AA527" s="86">
        <v>45159.49936342592</v>
      </c>
      <c r="AB527" s="82"/>
      <c r="AC527" s="82"/>
      <c r="AD527" s="82"/>
      <c r="AE527" s="82">
        <v>1</v>
      </c>
      <c r="AF527" s="81">
        <v>2</v>
      </c>
      <c r="AG527" s="81">
        <v>2</v>
      </c>
      <c r="AH527" s="49">
        <v>2</v>
      </c>
      <c r="AI527" s="110">
        <v>3.508771929824561</v>
      </c>
      <c r="AJ527" s="49">
        <v>1</v>
      </c>
      <c r="AK527" s="110">
        <v>1.7543859649122806</v>
      </c>
      <c r="AL527" s="49">
        <v>0</v>
      </c>
      <c r="AM527" s="50">
        <v>0</v>
      </c>
      <c r="AN527" s="49">
        <v>13</v>
      </c>
      <c r="AO527" s="110">
        <v>22.80701754385965</v>
      </c>
      <c r="AP527" s="49">
        <v>57</v>
      </c>
    </row>
    <row r="528" spans="1:42" ht="15">
      <c r="A528" s="66" t="s">
        <v>747</v>
      </c>
      <c r="B528" s="66" t="s">
        <v>758</v>
      </c>
      <c r="C528" s="67" t="s">
        <v>774</v>
      </c>
      <c r="D528" s="68">
        <v>3</v>
      </c>
      <c r="E528" s="69"/>
      <c r="F528" s="70">
        <v>40</v>
      </c>
      <c r="G528" s="67"/>
      <c r="H528" s="71"/>
      <c r="I528" s="72"/>
      <c r="J528" s="72"/>
      <c r="K528" s="35" t="s">
        <v>65</v>
      </c>
      <c r="L528" s="80">
        <v>528</v>
      </c>
      <c r="M528" s="80"/>
      <c r="N528" s="74"/>
      <c r="O528" s="82" t="s">
        <v>776</v>
      </c>
      <c r="P528" s="82" t="s">
        <v>197</v>
      </c>
      <c r="Q528" s="82" t="s">
        <v>1290</v>
      </c>
      <c r="R528" s="82" t="s">
        <v>747</v>
      </c>
      <c r="S528" s="82" t="s">
        <v>1812</v>
      </c>
      <c r="T528" s="84" t="str">
        <f>HYPERLINK("http://www.youtube.com/channel/UCoeVqZ8vEtP-zulwW0cPozA")</f>
        <v>http://www.youtube.com/channel/UCoeVqZ8vEtP-zulwW0cPozA</v>
      </c>
      <c r="U528" s="82"/>
      <c r="V528" s="82" t="s">
        <v>1843</v>
      </c>
      <c r="W528" s="84" t="str">
        <f>HYPERLINK("https://www.youtube.com/watch?v=QNvu01OGv-Y")</f>
        <v>https://www.youtube.com/watch?v=QNvu01OGv-Y</v>
      </c>
      <c r="X528" s="82" t="s">
        <v>1857</v>
      </c>
      <c r="Y528" s="82">
        <v>0</v>
      </c>
      <c r="Z528" s="86">
        <v>45159.59974537037</v>
      </c>
      <c r="AA528" s="86">
        <v>45159.59974537037</v>
      </c>
      <c r="AB528" s="82"/>
      <c r="AC528" s="82"/>
      <c r="AD528" s="82"/>
      <c r="AE528" s="82">
        <v>1</v>
      </c>
      <c r="AF528" s="81">
        <v>2</v>
      </c>
      <c r="AG528" s="81">
        <v>2</v>
      </c>
      <c r="AH528" s="49">
        <v>0</v>
      </c>
      <c r="AI528" s="50">
        <v>0</v>
      </c>
      <c r="AJ528" s="49">
        <v>2</v>
      </c>
      <c r="AK528" s="50">
        <v>25</v>
      </c>
      <c r="AL528" s="49">
        <v>0</v>
      </c>
      <c r="AM528" s="50">
        <v>0</v>
      </c>
      <c r="AN528" s="49">
        <v>4</v>
      </c>
      <c r="AO528" s="50">
        <v>50</v>
      </c>
      <c r="AP528" s="49">
        <v>8</v>
      </c>
    </row>
    <row r="529" spans="1:42" ht="15">
      <c r="A529" s="66" t="s">
        <v>748</v>
      </c>
      <c r="B529" s="66" t="s">
        <v>758</v>
      </c>
      <c r="C529" s="67" t="s">
        <v>774</v>
      </c>
      <c r="D529" s="68">
        <v>3</v>
      </c>
      <c r="E529" s="69"/>
      <c r="F529" s="70">
        <v>40</v>
      </c>
      <c r="G529" s="67"/>
      <c r="H529" s="71"/>
      <c r="I529" s="72"/>
      <c r="J529" s="72"/>
      <c r="K529" s="35" t="s">
        <v>65</v>
      </c>
      <c r="L529" s="80">
        <v>529</v>
      </c>
      <c r="M529" s="80"/>
      <c r="N529" s="74"/>
      <c r="O529" s="82" t="s">
        <v>776</v>
      </c>
      <c r="P529" s="82" t="s">
        <v>197</v>
      </c>
      <c r="Q529" s="82" t="s">
        <v>1291</v>
      </c>
      <c r="R529" s="82" t="s">
        <v>748</v>
      </c>
      <c r="S529" s="82" t="s">
        <v>1813</v>
      </c>
      <c r="T529" s="84" t="str">
        <f>HYPERLINK("http://www.youtube.com/channel/UCq2KGwWgjEdkhrVX8Or0nUA")</f>
        <v>http://www.youtube.com/channel/UCq2KGwWgjEdkhrVX8Or0nUA</v>
      </c>
      <c r="U529" s="82"/>
      <c r="V529" s="82" t="s">
        <v>1843</v>
      </c>
      <c r="W529" s="84" t="str">
        <f>HYPERLINK("https://www.youtube.com/watch?v=QNvu01OGv-Y")</f>
        <v>https://www.youtube.com/watch?v=QNvu01OGv-Y</v>
      </c>
      <c r="X529" s="82" t="s">
        <v>1857</v>
      </c>
      <c r="Y529" s="82">
        <v>0</v>
      </c>
      <c r="Z529" s="86">
        <v>45159.66650462963</v>
      </c>
      <c r="AA529" s="86">
        <v>45159.66650462963</v>
      </c>
      <c r="AB529" s="82"/>
      <c r="AC529" s="82"/>
      <c r="AD529" s="82"/>
      <c r="AE529" s="82">
        <v>1</v>
      </c>
      <c r="AF529" s="81">
        <v>2</v>
      </c>
      <c r="AG529" s="81">
        <v>2</v>
      </c>
      <c r="AH529" s="49">
        <v>0</v>
      </c>
      <c r="AI529" s="50">
        <v>0</v>
      </c>
      <c r="AJ529" s="49">
        <v>2</v>
      </c>
      <c r="AK529" s="110">
        <v>9.523809523809524</v>
      </c>
      <c r="AL529" s="49">
        <v>0</v>
      </c>
      <c r="AM529" s="50">
        <v>0</v>
      </c>
      <c r="AN529" s="49">
        <v>7</v>
      </c>
      <c r="AO529" s="110">
        <v>33.333333333333336</v>
      </c>
      <c r="AP529" s="49">
        <v>21</v>
      </c>
    </row>
    <row r="530" spans="1:42" ht="15">
      <c r="A530" s="66" t="s">
        <v>749</v>
      </c>
      <c r="B530" s="66" t="s">
        <v>758</v>
      </c>
      <c r="C530" s="67" t="s">
        <v>774</v>
      </c>
      <c r="D530" s="68">
        <v>3</v>
      </c>
      <c r="E530" s="69"/>
      <c r="F530" s="70">
        <v>40</v>
      </c>
      <c r="G530" s="67"/>
      <c r="H530" s="71"/>
      <c r="I530" s="72"/>
      <c r="J530" s="72"/>
      <c r="K530" s="35" t="s">
        <v>65</v>
      </c>
      <c r="L530" s="80">
        <v>530</v>
      </c>
      <c r="M530" s="80"/>
      <c r="N530" s="74"/>
      <c r="O530" s="82" t="s">
        <v>776</v>
      </c>
      <c r="P530" s="82" t="s">
        <v>197</v>
      </c>
      <c r="Q530" s="82" t="s">
        <v>1292</v>
      </c>
      <c r="R530" s="82" t="s">
        <v>749</v>
      </c>
      <c r="S530" s="82" t="s">
        <v>1814</v>
      </c>
      <c r="T530" s="84" t="str">
        <f>HYPERLINK("http://www.youtube.com/channel/UCU7a7E1vVVarstk6QbGuZew")</f>
        <v>http://www.youtube.com/channel/UCU7a7E1vVVarstk6QbGuZew</v>
      </c>
      <c r="U530" s="82"/>
      <c r="V530" s="82" t="s">
        <v>1843</v>
      </c>
      <c r="W530" s="84" t="str">
        <f>HYPERLINK("https://www.youtube.com/watch?v=QNvu01OGv-Y")</f>
        <v>https://www.youtube.com/watch?v=QNvu01OGv-Y</v>
      </c>
      <c r="X530" s="82" t="s">
        <v>1857</v>
      </c>
      <c r="Y530" s="82">
        <v>0</v>
      </c>
      <c r="Z530" s="86">
        <v>45159.73640046296</v>
      </c>
      <c r="AA530" s="86">
        <v>45159.73640046296</v>
      </c>
      <c r="AB530" s="82"/>
      <c r="AC530" s="82"/>
      <c r="AD530" s="82"/>
      <c r="AE530" s="82">
        <v>1</v>
      </c>
      <c r="AF530" s="81">
        <v>2</v>
      </c>
      <c r="AG530" s="81">
        <v>2</v>
      </c>
      <c r="AH530" s="49">
        <v>0</v>
      </c>
      <c r="AI530" s="50">
        <v>0</v>
      </c>
      <c r="AJ530" s="49">
        <v>0</v>
      </c>
      <c r="AK530" s="50">
        <v>0</v>
      </c>
      <c r="AL530" s="49">
        <v>0</v>
      </c>
      <c r="AM530" s="50">
        <v>0</v>
      </c>
      <c r="AN530" s="49">
        <v>5</v>
      </c>
      <c r="AO530" s="110">
        <v>71.42857142857143</v>
      </c>
      <c r="AP530" s="49">
        <v>7</v>
      </c>
    </row>
    <row r="531" spans="1:42" ht="15">
      <c r="A531" s="66" t="s">
        <v>750</v>
      </c>
      <c r="B531" s="66" t="s">
        <v>758</v>
      </c>
      <c r="C531" s="67" t="s">
        <v>774</v>
      </c>
      <c r="D531" s="68">
        <v>3</v>
      </c>
      <c r="E531" s="69"/>
      <c r="F531" s="70">
        <v>40</v>
      </c>
      <c r="G531" s="67"/>
      <c r="H531" s="71"/>
      <c r="I531" s="72"/>
      <c r="J531" s="72"/>
      <c r="K531" s="35" t="s">
        <v>65</v>
      </c>
      <c r="L531" s="80">
        <v>531</v>
      </c>
      <c r="M531" s="80"/>
      <c r="N531" s="74"/>
      <c r="O531" s="82" t="s">
        <v>776</v>
      </c>
      <c r="P531" s="82" t="s">
        <v>197</v>
      </c>
      <c r="Q531" s="82" t="s">
        <v>1293</v>
      </c>
      <c r="R531" s="82" t="s">
        <v>750</v>
      </c>
      <c r="S531" s="82" t="s">
        <v>1815</v>
      </c>
      <c r="T531" s="84" t="str">
        <f>HYPERLINK("http://www.youtube.com/channel/UCsQZw5xNPYzlK6-Wgocxa2Q")</f>
        <v>http://www.youtube.com/channel/UCsQZw5xNPYzlK6-Wgocxa2Q</v>
      </c>
      <c r="U531" s="82"/>
      <c r="V531" s="82" t="s">
        <v>1843</v>
      </c>
      <c r="W531" s="84" t="str">
        <f>HYPERLINK("https://www.youtube.com/watch?v=QNvu01OGv-Y")</f>
        <v>https://www.youtube.com/watch?v=QNvu01OGv-Y</v>
      </c>
      <c r="X531" s="82" t="s">
        <v>1857</v>
      </c>
      <c r="Y531" s="82">
        <v>2</v>
      </c>
      <c r="Z531" s="86">
        <v>45159.82040509259</v>
      </c>
      <c r="AA531" s="86">
        <v>45159.82040509259</v>
      </c>
      <c r="AB531" s="82"/>
      <c r="AC531" s="82"/>
      <c r="AD531" s="82"/>
      <c r="AE531" s="82">
        <v>1</v>
      </c>
      <c r="AF531" s="81">
        <v>2</v>
      </c>
      <c r="AG531" s="81">
        <v>2</v>
      </c>
      <c r="AH531" s="49">
        <v>0</v>
      </c>
      <c r="AI531" s="50">
        <v>0</v>
      </c>
      <c r="AJ531" s="49">
        <v>1</v>
      </c>
      <c r="AK531" s="110">
        <v>7.142857142857143</v>
      </c>
      <c r="AL531" s="49">
        <v>0</v>
      </c>
      <c r="AM531" s="50">
        <v>0</v>
      </c>
      <c r="AN531" s="49">
        <v>6</v>
      </c>
      <c r="AO531" s="110">
        <v>42.857142857142854</v>
      </c>
      <c r="AP531" s="49">
        <v>14</v>
      </c>
    </row>
    <row r="532" spans="1:42" ht="15">
      <c r="A532" s="66" t="s">
        <v>751</v>
      </c>
      <c r="B532" s="66" t="s">
        <v>758</v>
      </c>
      <c r="C532" s="67" t="s">
        <v>774</v>
      </c>
      <c r="D532" s="68">
        <v>3</v>
      </c>
      <c r="E532" s="69"/>
      <c r="F532" s="70">
        <v>40</v>
      </c>
      <c r="G532" s="67"/>
      <c r="H532" s="71"/>
      <c r="I532" s="72"/>
      <c r="J532" s="72"/>
      <c r="K532" s="35" t="s">
        <v>65</v>
      </c>
      <c r="L532" s="80">
        <v>532</v>
      </c>
      <c r="M532" s="80"/>
      <c r="N532" s="74"/>
      <c r="O532" s="82" t="s">
        <v>776</v>
      </c>
      <c r="P532" s="82" t="s">
        <v>197</v>
      </c>
      <c r="Q532" s="82" t="s">
        <v>1294</v>
      </c>
      <c r="R532" s="82" t="s">
        <v>751</v>
      </c>
      <c r="S532" s="82" t="s">
        <v>1816</v>
      </c>
      <c r="T532" s="84" t="str">
        <f>HYPERLINK("http://www.youtube.com/channel/UC8GtSV9GhYff3M5XGJ54aXw")</f>
        <v>http://www.youtube.com/channel/UC8GtSV9GhYff3M5XGJ54aXw</v>
      </c>
      <c r="U532" s="82"/>
      <c r="V532" s="82" t="s">
        <v>1843</v>
      </c>
      <c r="W532" s="84" t="str">
        <f>HYPERLINK("https://www.youtube.com/watch?v=QNvu01OGv-Y")</f>
        <v>https://www.youtube.com/watch?v=QNvu01OGv-Y</v>
      </c>
      <c r="X532" s="82" t="s">
        <v>1857</v>
      </c>
      <c r="Y532" s="82">
        <v>1</v>
      </c>
      <c r="Z532" s="86">
        <v>45160.03582175926</v>
      </c>
      <c r="AA532" s="86">
        <v>45160.03582175926</v>
      </c>
      <c r="AB532" s="82"/>
      <c r="AC532" s="82"/>
      <c r="AD532" s="82"/>
      <c r="AE532" s="82">
        <v>1</v>
      </c>
      <c r="AF532" s="81">
        <v>2</v>
      </c>
      <c r="AG532" s="81">
        <v>2</v>
      </c>
      <c r="AH532" s="49">
        <v>1</v>
      </c>
      <c r="AI532" s="110">
        <v>2.272727272727273</v>
      </c>
      <c r="AJ532" s="49">
        <v>1</v>
      </c>
      <c r="AK532" s="110">
        <v>2.272727272727273</v>
      </c>
      <c r="AL532" s="49">
        <v>0</v>
      </c>
      <c r="AM532" s="50">
        <v>0</v>
      </c>
      <c r="AN532" s="49">
        <v>13</v>
      </c>
      <c r="AO532" s="110">
        <v>29.545454545454547</v>
      </c>
      <c r="AP532" s="49">
        <v>44</v>
      </c>
    </row>
    <row r="533" spans="1:42" ht="15">
      <c r="A533" s="66" t="s">
        <v>752</v>
      </c>
      <c r="B533" s="66" t="s">
        <v>758</v>
      </c>
      <c r="C533" s="67" t="s">
        <v>774</v>
      </c>
      <c r="D533" s="68">
        <v>3</v>
      </c>
      <c r="E533" s="69"/>
      <c r="F533" s="70">
        <v>40</v>
      </c>
      <c r="G533" s="67"/>
      <c r="H533" s="71"/>
      <c r="I533" s="72"/>
      <c r="J533" s="72"/>
      <c r="K533" s="35" t="s">
        <v>65</v>
      </c>
      <c r="L533" s="80">
        <v>533</v>
      </c>
      <c r="M533" s="80"/>
      <c r="N533" s="74"/>
      <c r="O533" s="82" t="s">
        <v>776</v>
      </c>
      <c r="P533" s="82" t="s">
        <v>197</v>
      </c>
      <c r="Q533" s="82" t="s">
        <v>1295</v>
      </c>
      <c r="R533" s="82" t="s">
        <v>752</v>
      </c>
      <c r="S533" s="82" t="s">
        <v>1817</v>
      </c>
      <c r="T533" s="84" t="str">
        <f>HYPERLINK("http://www.youtube.com/channel/UCPFy5FBbF6w5gBuLt7yDuoQ")</f>
        <v>http://www.youtube.com/channel/UCPFy5FBbF6w5gBuLt7yDuoQ</v>
      </c>
      <c r="U533" s="82"/>
      <c r="V533" s="82" t="s">
        <v>1843</v>
      </c>
      <c r="W533" s="84" t="str">
        <f>HYPERLINK("https://www.youtube.com/watch?v=QNvu01OGv-Y")</f>
        <v>https://www.youtube.com/watch?v=QNvu01OGv-Y</v>
      </c>
      <c r="X533" s="82" t="s">
        <v>1857</v>
      </c>
      <c r="Y533" s="82">
        <v>0</v>
      </c>
      <c r="Z533" s="86">
        <v>45160.04292824074</v>
      </c>
      <c r="AA533" s="86">
        <v>45160.04292824074</v>
      </c>
      <c r="AB533" s="82"/>
      <c r="AC533" s="82"/>
      <c r="AD533" s="82"/>
      <c r="AE533" s="82">
        <v>1</v>
      </c>
      <c r="AF533" s="81">
        <v>2</v>
      </c>
      <c r="AG533" s="81">
        <v>2</v>
      </c>
      <c r="AH533" s="49">
        <v>1</v>
      </c>
      <c r="AI533" s="110">
        <v>16.666666666666668</v>
      </c>
      <c r="AJ533" s="49">
        <v>0</v>
      </c>
      <c r="AK533" s="50">
        <v>0</v>
      </c>
      <c r="AL533" s="49">
        <v>0</v>
      </c>
      <c r="AM533" s="50">
        <v>0</v>
      </c>
      <c r="AN533" s="49">
        <v>1</v>
      </c>
      <c r="AO533" s="110">
        <v>16.666666666666668</v>
      </c>
      <c r="AP533" s="49">
        <v>6</v>
      </c>
    </row>
    <row r="534" spans="1:42" ht="15">
      <c r="A534" s="66" t="s">
        <v>753</v>
      </c>
      <c r="B534" s="66" t="s">
        <v>758</v>
      </c>
      <c r="C534" s="67" t="s">
        <v>774</v>
      </c>
      <c r="D534" s="68">
        <v>3</v>
      </c>
      <c r="E534" s="69"/>
      <c r="F534" s="70">
        <v>40</v>
      </c>
      <c r="G534" s="67"/>
      <c r="H534" s="71"/>
      <c r="I534" s="72"/>
      <c r="J534" s="72"/>
      <c r="K534" s="35" t="s">
        <v>65</v>
      </c>
      <c r="L534" s="80">
        <v>534</v>
      </c>
      <c r="M534" s="80"/>
      <c r="N534" s="74"/>
      <c r="O534" s="82" t="s">
        <v>776</v>
      </c>
      <c r="P534" s="82" t="s">
        <v>197</v>
      </c>
      <c r="Q534" s="82" t="s">
        <v>1296</v>
      </c>
      <c r="R534" s="82" t="s">
        <v>753</v>
      </c>
      <c r="S534" s="82" t="s">
        <v>1818</v>
      </c>
      <c r="T534" s="84" t="str">
        <f>HYPERLINK("http://www.youtube.com/channel/UC_VTIa2BmuHAn0-hWEFNkjQ")</f>
        <v>http://www.youtube.com/channel/UC_VTIa2BmuHAn0-hWEFNkjQ</v>
      </c>
      <c r="U534" s="82"/>
      <c r="V534" s="82" t="s">
        <v>1843</v>
      </c>
      <c r="W534" s="84" t="str">
        <f>HYPERLINK("https://www.youtube.com/watch?v=QNvu01OGv-Y")</f>
        <v>https://www.youtube.com/watch?v=QNvu01OGv-Y</v>
      </c>
      <c r="X534" s="82" t="s">
        <v>1857</v>
      </c>
      <c r="Y534" s="82">
        <v>0</v>
      </c>
      <c r="Z534" s="86">
        <v>45161.113969907405</v>
      </c>
      <c r="AA534" s="86">
        <v>45161.113969907405</v>
      </c>
      <c r="AB534" s="82"/>
      <c r="AC534" s="82"/>
      <c r="AD534" s="82"/>
      <c r="AE534" s="82">
        <v>1</v>
      </c>
      <c r="AF534" s="81">
        <v>2</v>
      </c>
      <c r="AG534" s="81">
        <v>2</v>
      </c>
      <c r="AH534" s="49">
        <v>0</v>
      </c>
      <c r="AI534" s="50">
        <v>0</v>
      </c>
      <c r="AJ534" s="49">
        <v>1</v>
      </c>
      <c r="AK534" s="110">
        <v>16.666666666666668</v>
      </c>
      <c r="AL534" s="49">
        <v>0</v>
      </c>
      <c r="AM534" s="50">
        <v>0</v>
      </c>
      <c r="AN534" s="49">
        <v>2</v>
      </c>
      <c r="AO534" s="110">
        <v>33.333333333333336</v>
      </c>
      <c r="AP534" s="49">
        <v>6</v>
      </c>
    </row>
    <row r="535" spans="1:42" ht="15">
      <c r="A535" s="66" t="s">
        <v>754</v>
      </c>
      <c r="B535" s="66" t="s">
        <v>758</v>
      </c>
      <c r="C535" s="67" t="s">
        <v>4788</v>
      </c>
      <c r="D535" s="68">
        <v>10</v>
      </c>
      <c r="E535" s="69"/>
      <c r="F535" s="70">
        <v>15</v>
      </c>
      <c r="G535" s="67"/>
      <c r="H535" s="71"/>
      <c r="I535" s="72"/>
      <c r="J535" s="72"/>
      <c r="K535" s="35" t="s">
        <v>65</v>
      </c>
      <c r="L535" s="80">
        <v>535</v>
      </c>
      <c r="M535" s="80"/>
      <c r="N535" s="74"/>
      <c r="O535" s="82" t="s">
        <v>776</v>
      </c>
      <c r="P535" s="82" t="s">
        <v>197</v>
      </c>
      <c r="Q535" s="82" t="s">
        <v>1297</v>
      </c>
      <c r="R535" s="82" t="s">
        <v>754</v>
      </c>
      <c r="S535" s="82" t="s">
        <v>1819</v>
      </c>
      <c r="T535" s="84" t="str">
        <f>HYPERLINK("http://www.youtube.com/channel/UCtqI5iwQxmxR04uUCRtCiQg")</f>
        <v>http://www.youtube.com/channel/UCtqI5iwQxmxR04uUCRtCiQg</v>
      </c>
      <c r="U535" s="82"/>
      <c r="V535" s="82" t="s">
        <v>1843</v>
      </c>
      <c r="W535" s="84" t="str">
        <f>HYPERLINK("https://www.youtube.com/watch?v=QNvu01OGv-Y")</f>
        <v>https://www.youtube.com/watch?v=QNvu01OGv-Y</v>
      </c>
      <c r="X535" s="82" t="s">
        <v>1857</v>
      </c>
      <c r="Y535" s="82">
        <v>1</v>
      </c>
      <c r="Z535" s="86">
        <v>45161.922430555554</v>
      </c>
      <c r="AA535" s="86">
        <v>45161.922430555554</v>
      </c>
      <c r="AB535" s="82"/>
      <c r="AC535" s="82"/>
      <c r="AD535" s="82"/>
      <c r="AE535" s="82">
        <v>4</v>
      </c>
      <c r="AF535" s="81">
        <v>2</v>
      </c>
      <c r="AG535" s="81">
        <v>2</v>
      </c>
      <c r="AH535" s="49">
        <v>3</v>
      </c>
      <c r="AI535" s="110">
        <v>3.1578947368421053</v>
      </c>
      <c r="AJ535" s="49">
        <v>3</v>
      </c>
      <c r="AK535" s="110">
        <v>3.1578947368421053</v>
      </c>
      <c r="AL535" s="49">
        <v>0</v>
      </c>
      <c r="AM535" s="50">
        <v>0</v>
      </c>
      <c r="AN535" s="49">
        <v>34</v>
      </c>
      <c r="AO535" s="110">
        <v>35.78947368421053</v>
      </c>
      <c r="AP535" s="49">
        <v>95</v>
      </c>
    </row>
    <row r="536" spans="1:42" ht="15">
      <c r="A536" s="66" t="s">
        <v>755</v>
      </c>
      <c r="B536" s="66" t="s">
        <v>758</v>
      </c>
      <c r="C536" s="67" t="s">
        <v>774</v>
      </c>
      <c r="D536" s="68">
        <v>3</v>
      </c>
      <c r="E536" s="69"/>
      <c r="F536" s="70">
        <v>40</v>
      </c>
      <c r="G536" s="67"/>
      <c r="H536" s="71"/>
      <c r="I536" s="72"/>
      <c r="J536" s="72"/>
      <c r="K536" s="35" t="s">
        <v>65</v>
      </c>
      <c r="L536" s="80">
        <v>536</v>
      </c>
      <c r="M536" s="80"/>
      <c r="N536" s="74"/>
      <c r="O536" s="82" t="s">
        <v>776</v>
      </c>
      <c r="P536" s="82" t="s">
        <v>197</v>
      </c>
      <c r="Q536" s="82" t="s">
        <v>1298</v>
      </c>
      <c r="R536" s="82" t="s">
        <v>755</v>
      </c>
      <c r="S536" s="82" t="s">
        <v>1820</v>
      </c>
      <c r="T536" s="84" t="str">
        <f>HYPERLINK("http://www.youtube.com/channel/UC9ghtevKnFxOoUAHiuQxdnA")</f>
        <v>http://www.youtube.com/channel/UC9ghtevKnFxOoUAHiuQxdnA</v>
      </c>
      <c r="U536" s="82"/>
      <c r="V536" s="82" t="s">
        <v>1843</v>
      </c>
      <c r="W536" s="84" t="str">
        <f>HYPERLINK("https://www.youtube.com/watch?v=QNvu01OGv-Y")</f>
        <v>https://www.youtube.com/watch?v=QNvu01OGv-Y</v>
      </c>
      <c r="X536" s="82" t="s">
        <v>1857</v>
      </c>
      <c r="Y536" s="82">
        <v>0</v>
      </c>
      <c r="Z536" s="86">
        <v>45163.201574074075</v>
      </c>
      <c r="AA536" s="86">
        <v>45163.201574074075</v>
      </c>
      <c r="AB536" s="82"/>
      <c r="AC536" s="82"/>
      <c r="AD536" s="82"/>
      <c r="AE536" s="82">
        <v>1</v>
      </c>
      <c r="AF536" s="81">
        <v>2</v>
      </c>
      <c r="AG536" s="81">
        <v>2</v>
      </c>
      <c r="AH536" s="49">
        <v>0</v>
      </c>
      <c r="AI536" s="50">
        <v>0</v>
      </c>
      <c r="AJ536" s="49">
        <v>0</v>
      </c>
      <c r="AK536" s="50">
        <v>0</v>
      </c>
      <c r="AL536" s="49">
        <v>0</v>
      </c>
      <c r="AM536" s="50">
        <v>0</v>
      </c>
      <c r="AN536" s="49">
        <v>8</v>
      </c>
      <c r="AO536" s="110">
        <v>42.10526315789474</v>
      </c>
      <c r="AP536" s="49">
        <v>19</v>
      </c>
    </row>
    <row r="537" spans="1:42" ht="15">
      <c r="A537" s="66" t="s">
        <v>756</v>
      </c>
      <c r="B537" s="66" t="s">
        <v>758</v>
      </c>
      <c r="C537" s="67" t="s">
        <v>774</v>
      </c>
      <c r="D537" s="68">
        <v>3</v>
      </c>
      <c r="E537" s="69"/>
      <c r="F537" s="70">
        <v>40</v>
      </c>
      <c r="G537" s="67"/>
      <c r="H537" s="71"/>
      <c r="I537" s="72"/>
      <c r="J537" s="72"/>
      <c r="K537" s="35" t="s">
        <v>65</v>
      </c>
      <c r="L537" s="80">
        <v>537</v>
      </c>
      <c r="M537" s="80"/>
      <c r="N537" s="74"/>
      <c r="O537" s="82" t="s">
        <v>776</v>
      </c>
      <c r="P537" s="82" t="s">
        <v>197</v>
      </c>
      <c r="Q537" s="82" t="s">
        <v>1299</v>
      </c>
      <c r="R537" s="82" t="s">
        <v>756</v>
      </c>
      <c r="S537" s="82" t="s">
        <v>1821</v>
      </c>
      <c r="T537" s="84" t="str">
        <f>HYPERLINK("http://www.youtube.com/channel/UCGfAOkG4QkX8yUYKgU8eAPw")</f>
        <v>http://www.youtube.com/channel/UCGfAOkG4QkX8yUYKgU8eAPw</v>
      </c>
      <c r="U537" s="82"/>
      <c r="V537" s="82" t="s">
        <v>1843</v>
      </c>
      <c r="W537" s="84" t="str">
        <f>HYPERLINK("https://www.youtube.com/watch?v=QNvu01OGv-Y")</f>
        <v>https://www.youtube.com/watch?v=QNvu01OGv-Y</v>
      </c>
      <c r="X537" s="82" t="s">
        <v>1857</v>
      </c>
      <c r="Y537" s="82">
        <v>0</v>
      </c>
      <c r="Z537" s="86">
        <v>45163.34081018518</v>
      </c>
      <c r="AA537" s="86">
        <v>45163.34081018518</v>
      </c>
      <c r="AB537" s="82"/>
      <c r="AC537" s="82"/>
      <c r="AD537" s="82"/>
      <c r="AE537" s="82">
        <v>1</v>
      </c>
      <c r="AF537" s="81">
        <v>2</v>
      </c>
      <c r="AG537" s="81">
        <v>2</v>
      </c>
      <c r="AH537" s="49">
        <v>0</v>
      </c>
      <c r="AI537" s="50">
        <v>0</v>
      </c>
      <c r="AJ537" s="49">
        <v>0</v>
      </c>
      <c r="AK537" s="50">
        <v>0</v>
      </c>
      <c r="AL537" s="49">
        <v>0</v>
      </c>
      <c r="AM537" s="50">
        <v>0</v>
      </c>
      <c r="AN537" s="49">
        <v>0</v>
      </c>
      <c r="AO537" s="50">
        <v>0</v>
      </c>
      <c r="AP537" s="49">
        <v>1</v>
      </c>
    </row>
    <row r="538" spans="1:42" ht="15">
      <c r="A538" s="66" t="s">
        <v>757</v>
      </c>
      <c r="B538" s="66" t="s">
        <v>758</v>
      </c>
      <c r="C538" s="67" t="s">
        <v>774</v>
      </c>
      <c r="D538" s="68">
        <v>3</v>
      </c>
      <c r="E538" s="69"/>
      <c r="F538" s="70">
        <v>40</v>
      </c>
      <c r="G538" s="67"/>
      <c r="H538" s="71"/>
      <c r="I538" s="72"/>
      <c r="J538" s="72"/>
      <c r="K538" s="35" t="s">
        <v>65</v>
      </c>
      <c r="L538" s="80">
        <v>538</v>
      </c>
      <c r="M538" s="80"/>
      <c r="N538" s="74"/>
      <c r="O538" s="82" t="s">
        <v>776</v>
      </c>
      <c r="P538" s="82" t="s">
        <v>197</v>
      </c>
      <c r="Q538" s="82" t="s">
        <v>1300</v>
      </c>
      <c r="R538" s="82" t="s">
        <v>757</v>
      </c>
      <c r="S538" s="82" t="s">
        <v>1822</v>
      </c>
      <c r="T538" s="84" t="str">
        <f>HYPERLINK("http://www.youtube.com/channel/UCTREXhmvJISUYsbtrWRN40w")</f>
        <v>http://www.youtube.com/channel/UCTREXhmvJISUYsbtrWRN40w</v>
      </c>
      <c r="U538" s="82"/>
      <c r="V538" s="82" t="s">
        <v>1843</v>
      </c>
      <c r="W538" s="84" t="str">
        <f>HYPERLINK("https://www.youtube.com/watch?v=QNvu01OGv-Y")</f>
        <v>https://www.youtube.com/watch?v=QNvu01OGv-Y</v>
      </c>
      <c r="X538" s="82" t="s">
        <v>1857</v>
      </c>
      <c r="Y538" s="82">
        <v>0</v>
      </c>
      <c r="Z538" s="86">
        <v>45168.93268518519</v>
      </c>
      <c r="AA538" s="86">
        <v>45168.93268518519</v>
      </c>
      <c r="AB538" s="82"/>
      <c r="AC538" s="82"/>
      <c r="AD538" s="82"/>
      <c r="AE538" s="82">
        <v>1</v>
      </c>
      <c r="AF538" s="81">
        <v>2</v>
      </c>
      <c r="AG538" s="81">
        <v>2</v>
      </c>
      <c r="AH538" s="49">
        <v>1</v>
      </c>
      <c r="AI538" s="110">
        <v>5.882352941176471</v>
      </c>
      <c r="AJ538" s="49">
        <v>1</v>
      </c>
      <c r="AK538" s="110">
        <v>5.882352941176471</v>
      </c>
      <c r="AL538" s="49">
        <v>0</v>
      </c>
      <c r="AM538" s="50">
        <v>0</v>
      </c>
      <c r="AN538" s="49">
        <v>4</v>
      </c>
      <c r="AO538" s="110">
        <v>23.529411764705884</v>
      </c>
      <c r="AP538" s="49">
        <v>17</v>
      </c>
    </row>
    <row r="539" spans="1:42" ht="15">
      <c r="A539" s="66" t="s">
        <v>758</v>
      </c>
      <c r="B539" s="66" t="s">
        <v>758</v>
      </c>
      <c r="C539" s="67" t="s">
        <v>4788</v>
      </c>
      <c r="D539" s="68">
        <v>10</v>
      </c>
      <c r="E539" s="69"/>
      <c r="F539" s="70">
        <v>15</v>
      </c>
      <c r="G539" s="67"/>
      <c r="H539" s="71"/>
      <c r="I539" s="72"/>
      <c r="J539" s="72"/>
      <c r="K539" s="35" t="s">
        <v>65</v>
      </c>
      <c r="L539" s="80">
        <v>539</v>
      </c>
      <c r="M539" s="80"/>
      <c r="N539" s="74"/>
      <c r="O539" s="82" t="s">
        <v>777</v>
      </c>
      <c r="P539" s="82"/>
      <c r="Q539" s="82"/>
      <c r="R539" s="82"/>
      <c r="S539" s="82"/>
      <c r="T539" s="82"/>
      <c r="U539" s="82"/>
      <c r="V539" s="82" t="s">
        <v>1833</v>
      </c>
      <c r="W539" s="84" t="str">
        <f>HYPERLINK("https://www.youtube.com/watch?v=w6BMPN07BOM")</f>
        <v>https://www.youtube.com/watch?v=w6BMPN07BOM</v>
      </c>
      <c r="X539" s="82"/>
      <c r="Y539" s="82"/>
      <c r="Z539" s="86">
        <v>44829.792083333334</v>
      </c>
      <c r="AA539" s="82"/>
      <c r="AB539" s="82"/>
      <c r="AC539" s="82"/>
      <c r="AD539" s="82"/>
      <c r="AE539" s="82">
        <v>4</v>
      </c>
      <c r="AF539" s="81">
        <v>2</v>
      </c>
      <c r="AG539" s="81">
        <v>2</v>
      </c>
      <c r="AH539" s="49"/>
      <c r="AI539" s="50"/>
      <c r="AJ539" s="49"/>
      <c r="AK539" s="50"/>
      <c r="AL539" s="49"/>
      <c r="AM539" s="50"/>
      <c r="AN539" s="49"/>
      <c r="AO539" s="50"/>
      <c r="AP539" s="49"/>
    </row>
    <row r="540" spans="1:42" ht="15">
      <c r="A540" s="66" t="s">
        <v>759</v>
      </c>
      <c r="B540" s="66" t="s">
        <v>758</v>
      </c>
      <c r="C540" s="67" t="s">
        <v>774</v>
      </c>
      <c r="D540" s="68">
        <v>3</v>
      </c>
      <c r="E540" s="69"/>
      <c r="F540" s="70">
        <v>40</v>
      </c>
      <c r="G540" s="67"/>
      <c r="H540" s="71"/>
      <c r="I540" s="72"/>
      <c r="J540" s="72"/>
      <c r="K540" s="35" t="s">
        <v>65</v>
      </c>
      <c r="L540" s="80">
        <v>540</v>
      </c>
      <c r="M540" s="80"/>
      <c r="N540" s="74"/>
      <c r="O540" s="82" t="s">
        <v>776</v>
      </c>
      <c r="P540" s="82" t="s">
        <v>197</v>
      </c>
      <c r="Q540" s="82" t="s">
        <v>1301</v>
      </c>
      <c r="R540" s="82" t="s">
        <v>759</v>
      </c>
      <c r="S540" s="82" t="s">
        <v>1823</v>
      </c>
      <c r="T540" s="84" t="str">
        <f>HYPERLINK("http://www.youtube.com/channel/UCwO1KyxLlTQ1JDBoi78ek6w")</f>
        <v>http://www.youtube.com/channel/UCwO1KyxLlTQ1JDBoi78ek6w</v>
      </c>
      <c r="U540" s="82"/>
      <c r="V540" s="82" t="s">
        <v>1843</v>
      </c>
      <c r="W540" s="84" t="str">
        <f>HYPERLINK("https://www.youtube.com/watch?v=QNvu01OGv-Y")</f>
        <v>https://www.youtube.com/watch?v=QNvu01OGv-Y</v>
      </c>
      <c r="X540" s="82" t="s">
        <v>1857</v>
      </c>
      <c r="Y540" s="82">
        <v>0</v>
      </c>
      <c r="Z540" s="86">
        <v>45170.58429398148</v>
      </c>
      <c r="AA540" s="86">
        <v>45170.58429398148</v>
      </c>
      <c r="AB540" s="82"/>
      <c r="AC540" s="82"/>
      <c r="AD540" s="82"/>
      <c r="AE540" s="82">
        <v>1</v>
      </c>
      <c r="AF540" s="81">
        <v>2</v>
      </c>
      <c r="AG540" s="81">
        <v>2</v>
      </c>
      <c r="AH540" s="49">
        <v>0</v>
      </c>
      <c r="AI540" s="50">
        <v>0</v>
      </c>
      <c r="AJ540" s="49">
        <v>1</v>
      </c>
      <c r="AK540" s="50">
        <v>12.5</v>
      </c>
      <c r="AL540" s="49">
        <v>0</v>
      </c>
      <c r="AM540" s="50">
        <v>0</v>
      </c>
      <c r="AN540" s="49">
        <v>3</v>
      </c>
      <c r="AO540" s="50">
        <v>37.5</v>
      </c>
      <c r="AP540" s="49">
        <v>8</v>
      </c>
    </row>
    <row r="541" spans="1:42" ht="15">
      <c r="A541" s="66" t="s">
        <v>760</v>
      </c>
      <c r="B541" s="66" t="s">
        <v>760</v>
      </c>
      <c r="C541" s="67" t="s">
        <v>774</v>
      </c>
      <c r="D541" s="68">
        <v>3</v>
      </c>
      <c r="E541" s="69"/>
      <c r="F541" s="70">
        <v>40</v>
      </c>
      <c r="G541" s="67"/>
      <c r="H541" s="71"/>
      <c r="I541" s="72"/>
      <c r="J541" s="72"/>
      <c r="K541" s="35" t="s">
        <v>65</v>
      </c>
      <c r="L541" s="80">
        <v>541</v>
      </c>
      <c r="M541" s="80"/>
      <c r="N541" s="74"/>
      <c r="O541" s="82" t="s">
        <v>777</v>
      </c>
      <c r="P541" s="82"/>
      <c r="Q541" s="82"/>
      <c r="R541" s="82"/>
      <c r="S541" s="82"/>
      <c r="T541" s="82"/>
      <c r="U541" s="82"/>
      <c r="V541" s="82" t="s">
        <v>1844</v>
      </c>
      <c r="W541" s="84" t="str">
        <f>HYPERLINK("https://www.youtube.com/watch?v=1VTwFuGdMps")</f>
        <v>https://www.youtube.com/watch?v=1VTwFuGdMps</v>
      </c>
      <c r="X541" s="82"/>
      <c r="Y541" s="82"/>
      <c r="Z541" s="86">
        <v>45171.96900462963</v>
      </c>
      <c r="AA541" s="82"/>
      <c r="AB541" s="82"/>
      <c r="AC541" s="82"/>
      <c r="AD541" s="82"/>
      <c r="AE541" s="82">
        <v>1</v>
      </c>
      <c r="AF541" s="81">
        <v>6</v>
      </c>
      <c r="AG541" s="81">
        <v>6</v>
      </c>
      <c r="AH541" s="49"/>
      <c r="AI541" s="50"/>
      <c r="AJ541" s="49"/>
      <c r="AK541" s="50"/>
      <c r="AL541" s="49"/>
      <c r="AM541" s="50"/>
      <c r="AN541" s="49"/>
      <c r="AO541" s="50"/>
      <c r="AP541" s="49"/>
    </row>
    <row r="542" spans="1:42" ht="15">
      <c r="A542" s="66" t="s">
        <v>761</v>
      </c>
      <c r="B542" s="66" t="s">
        <v>761</v>
      </c>
      <c r="C542" s="67" t="s">
        <v>774</v>
      </c>
      <c r="D542" s="68">
        <v>3</v>
      </c>
      <c r="E542" s="69"/>
      <c r="F542" s="70">
        <v>40</v>
      </c>
      <c r="G542" s="67"/>
      <c r="H542" s="71"/>
      <c r="I542" s="72"/>
      <c r="J542" s="72"/>
      <c r="K542" s="35" t="s">
        <v>65</v>
      </c>
      <c r="L542" s="80">
        <v>542</v>
      </c>
      <c r="M542" s="80"/>
      <c r="N542" s="74"/>
      <c r="O542" s="82" t="s">
        <v>777</v>
      </c>
      <c r="P542" s="82"/>
      <c r="Q542" s="82"/>
      <c r="R542" s="82"/>
      <c r="S542" s="82"/>
      <c r="T542" s="82"/>
      <c r="U542" s="82"/>
      <c r="V542" s="82" t="s">
        <v>1845</v>
      </c>
      <c r="W542" s="84" t="str">
        <f>HYPERLINK("https://www.youtube.com/watch?v=vYeYNIYnRJY")</f>
        <v>https://www.youtube.com/watch?v=vYeYNIYnRJY</v>
      </c>
      <c r="X542" s="82"/>
      <c r="Y542" s="82"/>
      <c r="Z542" s="86">
        <v>44963.85668981481</v>
      </c>
      <c r="AA542" s="82"/>
      <c r="AB542" s="82"/>
      <c r="AC542" s="82"/>
      <c r="AD542" s="82"/>
      <c r="AE542" s="82">
        <v>1</v>
      </c>
      <c r="AF542" s="81">
        <v>6</v>
      </c>
      <c r="AG542" s="81">
        <v>6</v>
      </c>
      <c r="AH542" s="49"/>
      <c r="AI542" s="50"/>
      <c r="AJ542" s="49"/>
      <c r="AK542" s="50"/>
      <c r="AL542" s="49"/>
      <c r="AM542" s="50"/>
      <c r="AN542" s="49"/>
      <c r="AO542" s="50"/>
      <c r="AP542" s="49"/>
    </row>
    <row r="543" spans="1:42" ht="15">
      <c r="A543" s="66" t="s">
        <v>762</v>
      </c>
      <c r="B543" s="66" t="s">
        <v>762</v>
      </c>
      <c r="C543" s="67" t="s">
        <v>774</v>
      </c>
      <c r="D543" s="68">
        <v>3</v>
      </c>
      <c r="E543" s="69"/>
      <c r="F543" s="70">
        <v>40</v>
      </c>
      <c r="G543" s="67"/>
      <c r="H543" s="71"/>
      <c r="I543" s="72"/>
      <c r="J543" s="72"/>
      <c r="K543" s="35" t="s">
        <v>65</v>
      </c>
      <c r="L543" s="80">
        <v>543</v>
      </c>
      <c r="M543" s="80"/>
      <c r="N543" s="74"/>
      <c r="O543" s="82" t="s">
        <v>777</v>
      </c>
      <c r="P543" s="82"/>
      <c r="Q543" s="82"/>
      <c r="R543" s="82"/>
      <c r="S543" s="82"/>
      <c r="T543" s="82"/>
      <c r="U543" s="82"/>
      <c r="V543" s="82" t="s">
        <v>1846</v>
      </c>
      <c r="W543" s="84" t="str">
        <f>HYPERLINK("https://www.youtube.com/watch?v=uLXNDm-VmbE")</f>
        <v>https://www.youtube.com/watch?v=uLXNDm-VmbE</v>
      </c>
      <c r="X543" s="82"/>
      <c r="Y543" s="82"/>
      <c r="Z543" s="86">
        <v>45085.57368055556</v>
      </c>
      <c r="AA543" s="82"/>
      <c r="AB543" s="82"/>
      <c r="AC543" s="82"/>
      <c r="AD543" s="82"/>
      <c r="AE543" s="82">
        <v>1</v>
      </c>
      <c r="AF543" s="81">
        <v>6</v>
      </c>
      <c r="AG543" s="81">
        <v>6</v>
      </c>
      <c r="AH543" s="49"/>
      <c r="AI543" s="50"/>
      <c r="AJ543" s="49"/>
      <c r="AK543" s="50"/>
      <c r="AL543" s="49"/>
      <c r="AM543" s="50"/>
      <c r="AN543" s="49"/>
      <c r="AO543" s="50"/>
      <c r="AP543" s="49"/>
    </row>
    <row r="544" spans="1:42" ht="15">
      <c r="A544" s="66" t="s">
        <v>763</v>
      </c>
      <c r="B544" s="66" t="s">
        <v>763</v>
      </c>
      <c r="C544" s="67" t="s">
        <v>774</v>
      </c>
      <c r="D544" s="68">
        <v>3</v>
      </c>
      <c r="E544" s="69"/>
      <c r="F544" s="70">
        <v>40</v>
      </c>
      <c r="G544" s="67"/>
      <c r="H544" s="71"/>
      <c r="I544" s="72"/>
      <c r="J544" s="72"/>
      <c r="K544" s="35" t="s">
        <v>65</v>
      </c>
      <c r="L544" s="80">
        <v>544</v>
      </c>
      <c r="M544" s="80"/>
      <c r="N544" s="74"/>
      <c r="O544" s="82" t="s">
        <v>777</v>
      </c>
      <c r="P544" s="82"/>
      <c r="Q544" s="82"/>
      <c r="R544" s="82"/>
      <c r="S544" s="82"/>
      <c r="T544" s="82"/>
      <c r="U544" s="82"/>
      <c r="V544" s="82" t="s">
        <v>1847</v>
      </c>
      <c r="W544" s="84" t="str">
        <f>HYPERLINK("https://www.youtube.com/watch?v=vC6g1DOX6CM")</f>
        <v>https://www.youtube.com/watch?v=vC6g1DOX6CM</v>
      </c>
      <c r="X544" s="82"/>
      <c r="Y544" s="82"/>
      <c r="Z544" s="86">
        <v>45082.94283564815</v>
      </c>
      <c r="AA544" s="82"/>
      <c r="AB544" s="82"/>
      <c r="AC544" s="82"/>
      <c r="AD544" s="82"/>
      <c r="AE544" s="82">
        <v>1</v>
      </c>
      <c r="AF544" s="81">
        <v>6</v>
      </c>
      <c r="AG544" s="81">
        <v>6</v>
      </c>
      <c r="AH544" s="49"/>
      <c r="AI544" s="50"/>
      <c r="AJ544" s="49"/>
      <c r="AK544" s="50"/>
      <c r="AL544" s="49"/>
      <c r="AM544" s="50"/>
      <c r="AN544" s="49"/>
      <c r="AO544" s="50"/>
      <c r="AP544" s="49"/>
    </row>
    <row r="545" spans="1:42" ht="15">
      <c r="A545" s="66" t="s">
        <v>764</v>
      </c>
      <c r="B545" s="66" t="s">
        <v>764</v>
      </c>
      <c r="C545" s="67" t="s">
        <v>774</v>
      </c>
      <c r="D545" s="68">
        <v>3</v>
      </c>
      <c r="E545" s="69"/>
      <c r="F545" s="70">
        <v>40</v>
      </c>
      <c r="G545" s="67"/>
      <c r="H545" s="71"/>
      <c r="I545" s="72"/>
      <c r="J545" s="72"/>
      <c r="K545" s="35" t="s">
        <v>65</v>
      </c>
      <c r="L545" s="80">
        <v>545</v>
      </c>
      <c r="M545" s="80"/>
      <c r="N545" s="74"/>
      <c r="O545" s="82" t="s">
        <v>777</v>
      </c>
      <c r="P545" s="82"/>
      <c r="Q545" s="82"/>
      <c r="R545" s="82"/>
      <c r="S545" s="82"/>
      <c r="T545" s="82"/>
      <c r="U545" s="82"/>
      <c r="V545" s="82" t="s">
        <v>1848</v>
      </c>
      <c r="W545" s="84" t="str">
        <f>HYPERLINK("https://www.youtube.com/watch?v=1jLZC7MC6M4")</f>
        <v>https://www.youtube.com/watch?v=1jLZC7MC6M4</v>
      </c>
      <c r="X545" s="82"/>
      <c r="Y545" s="82"/>
      <c r="Z545" s="86">
        <v>44988.166666666664</v>
      </c>
      <c r="AA545" s="82"/>
      <c r="AB545" s="82"/>
      <c r="AC545" s="82"/>
      <c r="AD545" s="82"/>
      <c r="AE545" s="82">
        <v>1</v>
      </c>
      <c r="AF545" s="81">
        <v>6</v>
      </c>
      <c r="AG545" s="81">
        <v>6</v>
      </c>
      <c r="AH545" s="49"/>
      <c r="AI545" s="50"/>
      <c r="AJ545" s="49"/>
      <c r="AK545" s="50"/>
      <c r="AL545" s="49"/>
      <c r="AM545" s="50"/>
      <c r="AN545" s="49"/>
      <c r="AO545" s="50"/>
      <c r="AP545" s="49"/>
    </row>
    <row r="546" spans="1:42" ht="15">
      <c r="A546" s="66" t="s">
        <v>765</v>
      </c>
      <c r="B546" s="66" t="s">
        <v>765</v>
      </c>
      <c r="C546" s="67" t="s">
        <v>774</v>
      </c>
      <c r="D546" s="68">
        <v>3</v>
      </c>
      <c r="E546" s="69"/>
      <c r="F546" s="70">
        <v>40</v>
      </c>
      <c r="G546" s="67"/>
      <c r="H546" s="71"/>
      <c r="I546" s="72"/>
      <c r="J546" s="72"/>
      <c r="K546" s="35" t="s">
        <v>65</v>
      </c>
      <c r="L546" s="80">
        <v>546</v>
      </c>
      <c r="M546" s="80"/>
      <c r="N546" s="74"/>
      <c r="O546" s="82" t="s">
        <v>777</v>
      </c>
      <c r="P546" s="82"/>
      <c r="Q546" s="82"/>
      <c r="R546" s="82"/>
      <c r="S546" s="82"/>
      <c r="T546" s="82"/>
      <c r="U546" s="82"/>
      <c r="V546" s="82" t="s">
        <v>1849</v>
      </c>
      <c r="W546" s="84" t="str">
        <f>HYPERLINK("https://www.youtube.com/watch?v=dRzwl4LdVTI")</f>
        <v>https://www.youtube.com/watch?v=dRzwl4LdVTI</v>
      </c>
      <c r="X546" s="82"/>
      <c r="Y546" s="82"/>
      <c r="Z546" s="86">
        <v>44907.91326388889</v>
      </c>
      <c r="AA546" s="82"/>
      <c r="AB546" s="82"/>
      <c r="AC546" s="82"/>
      <c r="AD546" s="82"/>
      <c r="AE546" s="82">
        <v>1</v>
      </c>
      <c r="AF546" s="81">
        <v>6</v>
      </c>
      <c r="AG546" s="81">
        <v>6</v>
      </c>
      <c r="AH546" s="49"/>
      <c r="AI546" s="50"/>
      <c r="AJ546" s="49"/>
      <c r="AK546" s="50"/>
      <c r="AL546" s="49"/>
      <c r="AM546" s="50"/>
      <c r="AN546" s="49"/>
      <c r="AO546" s="50"/>
      <c r="AP546" s="49"/>
    </row>
    <row r="547" spans="1:42" ht="15">
      <c r="A547" s="66" t="s">
        <v>766</v>
      </c>
      <c r="B547" s="66" t="s">
        <v>766</v>
      </c>
      <c r="C547" s="67" t="s">
        <v>774</v>
      </c>
      <c r="D547" s="68">
        <v>3</v>
      </c>
      <c r="E547" s="69"/>
      <c r="F547" s="70">
        <v>40</v>
      </c>
      <c r="G547" s="67"/>
      <c r="H547" s="71"/>
      <c r="I547" s="72"/>
      <c r="J547" s="72"/>
      <c r="K547" s="35" t="s">
        <v>65</v>
      </c>
      <c r="L547" s="80">
        <v>547</v>
      </c>
      <c r="M547" s="80"/>
      <c r="N547" s="74"/>
      <c r="O547" s="82" t="s">
        <v>777</v>
      </c>
      <c r="P547" s="82"/>
      <c r="Q547" s="82"/>
      <c r="R547" s="82"/>
      <c r="S547" s="82"/>
      <c r="T547" s="82"/>
      <c r="U547" s="82"/>
      <c r="V547" s="82" t="s">
        <v>1850</v>
      </c>
      <c r="W547" s="84" t="str">
        <f>HYPERLINK("https://www.youtube.com/watch?v=pm8E9s06gzg")</f>
        <v>https://www.youtube.com/watch?v=pm8E9s06gzg</v>
      </c>
      <c r="X547" s="82"/>
      <c r="Y547" s="82"/>
      <c r="Z547" s="86">
        <v>45022.751388888886</v>
      </c>
      <c r="AA547" s="82"/>
      <c r="AB547" s="82"/>
      <c r="AC547" s="82"/>
      <c r="AD547" s="82"/>
      <c r="AE547" s="82">
        <v>1</v>
      </c>
      <c r="AF547" s="81">
        <v>6</v>
      </c>
      <c r="AG547" s="81">
        <v>6</v>
      </c>
      <c r="AH547" s="49"/>
      <c r="AI547" s="50"/>
      <c r="AJ547" s="49"/>
      <c r="AK547" s="50"/>
      <c r="AL547" s="49"/>
      <c r="AM547" s="50"/>
      <c r="AN547" s="49"/>
      <c r="AO547" s="50"/>
      <c r="AP547" s="49"/>
    </row>
    <row r="548" spans="1:42" ht="15">
      <c r="A548" s="66" t="s">
        <v>767</v>
      </c>
      <c r="B548" s="66" t="s">
        <v>767</v>
      </c>
      <c r="C548" s="67" t="s">
        <v>774</v>
      </c>
      <c r="D548" s="68">
        <v>3</v>
      </c>
      <c r="E548" s="69"/>
      <c r="F548" s="70">
        <v>40</v>
      </c>
      <c r="G548" s="67"/>
      <c r="H548" s="71"/>
      <c r="I548" s="72"/>
      <c r="J548" s="72"/>
      <c r="K548" s="35" t="s">
        <v>65</v>
      </c>
      <c r="L548" s="80">
        <v>548</v>
      </c>
      <c r="M548" s="80"/>
      <c r="N548" s="74"/>
      <c r="O548" s="82" t="s">
        <v>777</v>
      </c>
      <c r="P548" s="82"/>
      <c r="Q548" s="82"/>
      <c r="R548" s="82"/>
      <c r="S548" s="82"/>
      <c r="T548" s="82"/>
      <c r="U548" s="82"/>
      <c r="V548" s="82" t="s">
        <v>1851</v>
      </c>
      <c r="W548" s="84" t="str">
        <f>HYPERLINK("https://www.youtube.com/watch?v=J8LP-kB9xWo")</f>
        <v>https://www.youtube.com/watch?v=J8LP-kB9xWo</v>
      </c>
      <c r="X548" s="82"/>
      <c r="Y548" s="82"/>
      <c r="Z548" s="86">
        <v>45078.7016087963</v>
      </c>
      <c r="AA548" s="82"/>
      <c r="AB548" s="82"/>
      <c r="AC548" s="82"/>
      <c r="AD548" s="82"/>
      <c r="AE548" s="82">
        <v>1</v>
      </c>
      <c r="AF548" s="81">
        <v>6</v>
      </c>
      <c r="AG548" s="81">
        <v>6</v>
      </c>
      <c r="AH548" s="49"/>
      <c r="AI548" s="50"/>
      <c r="AJ548" s="49"/>
      <c r="AK548" s="50"/>
      <c r="AL548" s="49"/>
      <c r="AM548" s="50"/>
      <c r="AN548" s="49"/>
      <c r="AO548" s="50"/>
      <c r="AP548" s="49"/>
    </row>
    <row r="549" spans="1:42" ht="15">
      <c r="A549" s="66" t="s">
        <v>768</v>
      </c>
      <c r="B549" s="66" t="s">
        <v>768</v>
      </c>
      <c r="C549" s="67" t="s">
        <v>775</v>
      </c>
      <c r="D549" s="68">
        <v>10</v>
      </c>
      <c r="E549" s="69"/>
      <c r="F549" s="70">
        <v>15</v>
      </c>
      <c r="G549" s="67"/>
      <c r="H549" s="71"/>
      <c r="I549" s="72"/>
      <c r="J549" s="72"/>
      <c r="K549" s="35" t="s">
        <v>65</v>
      </c>
      <c r="L549" s="80">
        <v>549</v>
      </c>
      <c r="M549" s="80"/>
      <c r="N549" s="74"/>
      <c r="O549" s="82" t="s">
        <v>777</v>
      </c>
      <c r="P549" s="82"/>
      <c r="Q549" s="82"/>
      <c r="R549" s="82"/>
      <c r="S549" s="82"/>
      <c r="T549" s="82"/>
      <c r="U549" s="82"/>
      <c r="V549" s="82" t="s">
        <v>1852</v>
      </c>
      <c r="W549" s="84" t="str">
        <f>HYPERLINK("https://www.youtube.com/watch?v=UwvKAwOnN1U")</f>
        <v>https://www.youtube.com/watch?v=UwvKAwOnN1U</v>
      </c>
      <c r="X549" s="82"/>
      <c r="Y549" s="82"/>
      <c r="Z549" s="86">
        <v>45093.71916666667</v>
      </c>
      <c r="AA549" s="82"/>
      <c r="AB549" s="82"/>
      <c r="AC549" s="82"/>
      <c r="AD549" s="82"/>
      <c r="AE549" s="82">
        <v>100</v>
      </c>
      <c r="AF549" s="81">
        <v>6</v>
      </c>
      <c r="AG549" s="81">
        <v>6</v>
      </c>
      <c r="AH549" s="49"/>
      <c r="AI549" s="50"/>
      <c r="AJ549" s="49"/>
      <c r="AK549" s="50"/>
      <c r="AL549" s="49"/>
      <c r="AM549" s="50"/>
      <c r="AN549" s="49"/>
      <c r="AO549" s="50"/>
      <c r="AP549" s="49"/>
    </row>
    <row r="550" spans="1:42" ht="15">
      <c r="A550" s="66" t="s">
        <v>769</v>
      </c>
      <c r="B550" s="66" t="s">
        <v>769</v>
      </c>
      <c r="C550" s="67" t="s">
        <v>774</v>
      </c>
      <c r="D550" s="68">
        <v>3</v>
      </c>
      <c r="E550" s="69"/>
      <c r="F550" s="70">
        <v>40</v>
      </c>
      <c r="G550" s="67"/>
      <c r="H550" s="71"/>
      <c r="I550" s="72"/>
      <c r="J550" s="72"/>
      <c r="K550" s="35" t="s">
        <v>65</v>
      </c>
      <c r="L550" s="80">
        <v>550</v>
      </c>
      <c r="M550" s="80"/>
      <c r="N550" s="74"/>
      <c r="O550" s="82" t="s">
        <v>777</v>
      </c>
      <c r="P550" s="82"/>
      <c r="Q550" s="82"/>
      <c r="R550" s="82"/>
      <c r="S550" s="82"/>
      <c r="T550" s="82"/>
      <c r="U550" s="82"/>
      <c r="V550" s="82" t="s">
        <v>1853</v>
      </c>
      <c r="W550" s="84" t="str">
        <f>HYPERLINK("https://www.youtube.com/watch?v=_r17DLe0mI4")</f>
        <v>https://www.youtube.com/watch?v=_r17DLe0mI4</v>
      </c>
      <c r="X550" s="82"/>
      <c r="Y550" s="82"/>
      <c r="Z550" s="86">
        <v>45130.76971064815</v>
      </c>
      <c r="AA550" s="82"/>
      <c r="AB550" s="82"/>
      <c r="AC550" s="82"/>
      <c r="AD550" s="82"/>
      <c r="AE550" s="82">
        <v>1</v>
      </c>
      <c r="AF550" s="81">
        <v>6</v>
      </c>
      <c r="AG550" s="81">
        <v>6</v>
      </c>
      <c r="AH550" s="49"/>
      <c r="AI550" s="50"/>
      <c r="AJ550" s="49"/>
      <c r="AK550" s="50"/>
      <c r="AL550" s="49"/>
      <c r="AM550" s="50"/>
      <c r="AN550" s="49"/>
      <c r="AO550" s="50"/>
      <c r="AP550" s="49"/>
    </row>
    <row r="551" spans="1:42" ht="15">
      <c r="A551" s="66" t="s">
        <v>770</v>
      </c>
      <c r="B551" s="66" t="s">
        <v>770</v>
      </c>
      <c r="C551" s="67" t="s">
        <v>774</v>
      </c>
      <c r="D551" s="68">
        <v>3</v>
      </c>
      <c r="E551" s="69"/>
      <c r="F551" s="70">
        <v>40</v>
      </c>
      <c r="G551" s="67"/>
      <c r="H551" s="71"/>
      <c r="I551" s="72"/>
      <c r="J551" s="72"/>
      <c r="K551" s="35" t="s">
        <v>65</v>
      </c>
      <c r="L551" s="80">
        <v>551</v>
      </c>
      <c r="M551" s="80"/>
      <c r="N551" s="74"/>
      <c r="O551" s="82" t="s">
        <v>777</v>
      </c>
      <c r="P551" s="82"/>
      <c r="Q551" s="82"/>
      <c r="R551" s="82"/>
      <c r="S551" s="82"/>
      <c r="T551" s="82"/>
      <c r="U551" s="82"/>
      <c r="V551" s="82" t="s">
        <v>1854</v>
      </c>
      <c r="W551" s="84" t="str">
        <f>HYPERLINK("https://www.youtube.com/watch?v=ZHFOfNZhcC8")</f>
        <v>https://www.youtube.com/watch?v=ZHFOfNZhcC8</v>
      </c>
      <c r="X551" s="82"/>
      <c r="Y551" s="82"/>
      <c r="Z551" s="86">
        <v>44974.58712962963</v>
      </c>
      <c r="AA551" s="82"/>
      <c r="AB551" s="82"/>
      <c r="AC551" s="82"/>
      <c r="AD551" s="82"/>
      <c r="AE551" s="82">
        <v>1</v>
      </c>
      <c r="AF551" s="81">
        <v>6</v>
      </c>
      <c r="AG551" s="81">
        <v>6</v>
      </c>
      <c r="AH551" s="49"/>
      <c r="AI551" s="50"/>
      <c r="AJ551" s="49"/>
      <c r="AK551" s="50"/>
      <c r="AL551" s="49"/>
      <c r="AM551" s="50"/>
      <c r="AN551" s="49"/>
      <c r="AO551" s="50"/>
      <c r="AP551" s="49"/>
    </row>
    <row r="552" spans="1:42" ht="15">
      <c r="A552" s="66" t="s">
        <v>771</v>
      </c>
      <c r="B552" s="66" t="s">
        <v>771</v>
      </c>
      <c r="C552" s="67" t="s">
        <v>774</v>
      </c>
      <c r="D552" s="68">
        <v>3</v>
      </c>
      <c r="E552" s="69"/>
      <c r="F552" s="70">
        <v>40</v>
      </c>
      <c r="G552" s="67"/>
      <c r="H552" s="71"/>
      <c r="I552" s="72"/>
      <c r="J552" s="72"/>
      <c r="K552" s="35" t="s">
        <v>65</v>
      </c>
      <c r="L552" s="80">
        <v>552</v>
      </c>
      <c r="M552" s="80"/>
      <c r="N552" s="74"/>
      <c r="O552" s="82" t="s">
        <v>777</v>
      </c>
      <c r="P552" s="82"/>
      <c r="Q552" s="82"/>
      <c r="R552" s="82"/>
      <c r="S552" s="82"/>
      <c r="T552" s="82"/>
      <c r="U552" s="82"/>
      <c r="V552" s="82" t="s">
        <v>1855</v>
      </c>
      <c r="W552" s="84" t="str">
        <f>HYPERLINK("https://www.youtube.com/watch?v=-Az3vD7k7RE")</f>
        <v>https://www.youtube.com/watch?v=-Az3vD7k7RE</v>
      </c>
      <c r="X552" s="82"/>
      <c r="Y552" s="82"/>
      <c r="Z552" s="86">
        <v>45058.967314814814</v>
      </c>
      <c r="AA552" s="82"/>
      <c r="AB552" s="82"/>
      <c r="AC552" s="82"/>
      <c r="AD552" s="82"/>
      <c r="AE552" s="82">
        <v>1</v>
      </c>
      <c r="AF552" s="81">
        <v>6</v>
      </c>
      <c r="AG552" s="81">
        <v>6</v>
      </c>
      <c r="AH552" s="49"/>
      <c r="AI552" s="50"/>
      <c r="AJ552" s="49"/>
      <c r="AK552" s="50"/>
      <c r="AL552" s="49"/>
      <c r="AM552" s="50"/>
      <c r="AN552" s="49"/>
      <c r="AO552" s="50"/>
      <c r="AP552" s="49"/>
    </row>
    <row r="553" spans="1:42" ht="15">
      <c r="A553" s="66" t="s">
        <v>772</v>
      </c>
      <c r="B553" s="66" t="s">
        <v>772</v>
      </c>
      <c r="C553" s="67" t="s">
        <v>774</v>
      </c>
      <c r="D553" s="68">
        <v>3</v>
      </c>
      <c r="E553" s="69"/>
      <c r="F553" s="70">
        <v>40</v>
      </c>
      <c r="G553" s="67"/>
      <c r="H553" s="71"/>
      <c r="I553" s="72"/>
      <c r="J553" s="72"/>
      <c r="K553" s="35" t="s">
        <v>65</v>
      </c>
      <c r="L553" s="80">
        <v>553</v>
      </c>
      <c r="M553" s="80"/>
      <c r="N553" s="74"/>
      <c r="O553" s="82" t="s">
        <v>777</v>
      </c>
      <c r="P553" s="82"/>
      <c r="Q553" s="82"/>
      <c r="R553" s="82"/>
      <c r="S553" s="82"/>
      <c r="T553" s="82"/>
      <c r="U553" s="82"/>
      <c r="V553" s="82" t="s">
        <v>1856</v>
      </c>
      <c r="W553" s="84" t="str">
        <f>HYPERLINK("https://www.youtube.com/watch?v=jRbztKCETg0")</f>
        <v>https://www.youtube.com/watch?v=jRbztKCETg0</v>
      </c>
      <c r="X553" s="82"/>
      <c r="Y553" s="82"/>
      <c r="Z553" s="86">
        <v>45169.905636574076</v>
      </c>
      <c r="AA553" s="82"/>
      <c r="AB553" s="82"/>
      <c r="AC553" s="82"/>
      <c r="AD553" s="82"/>
      <c r="AE553" s="82">
        <v>1</v>
      </c>
      <c r="AF553" s="81">
        <v>6</v>
      </c>
      <c r="AG553" s="81">
        <v>6</v>
      </c>
      <c r="AH553" s="49"/>
      <c r="AI553" s="50"/>
      <c r="AJ553" s="49"/>
      <c r="AK553" s="50"/>
      <c r="AL553" s="49"/>
      <c r="AM553" s="50"/>
      <c r="AN553" s="49"/>
      <c r="AO553" s="50"/>
      <c r="AP55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3"/>
    <dataValidation allowBlank="1" showErrorMessage="1" sqref="N2:N5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3"/>
    <dataValidation allowBlank="1" showInputMessage="1" promptTitle="Edge Color" prompt="To select an optional edge color, right-click and select Select Color on the right-click menu." sqref="C3:C553"/>
    <dataValidation allowBlank="1" showInputMessage="1" promptTitle="Edge Width" prompt="Enter an optional edge width between 1 and 10." errorTitle="Invalid Edge Width" error="The optional edge width must be a whole number between 1 and 10." sqref="D3:D553"/>
    <dataValidation allowBlank="1" showInputMessage="1" promptTitle="Edge Opacity" prompt="Enter an optional edge opacity between 0 (transparent) and 100 (opaque)." errorTitle="Invalid Edge Opacity" error="The optional edge opacity must be a whole number between 0 and 10." sqref="F3:F5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3">
      <formula1>ValidEdgeVisibilities</formula1>
    </dataValidation>
    <dataValidation allowBlank="1" showInputMessage="1" showErrorMessage="1" promptTitle="Vertex 1 Name" prompt="Enter the name of the edge's first vertex." sqref="A3:A553"/>
    <dataValidation allowBlank="1" showInputMessage="1" showErrorMessage="1" promptTitle="Vertex 2 Name" prompt="Enter the name of the edge's second vertex." sqref="B3:B553"/>
    <dataValidation allowBlank="1" showInputMessage="1" showErrorMessage="1" promptTitle="Edge Label" prompt="Enter an optional edge label." errorTitle="Invalid Edge Visibility" error="You have entered an unrecognized edge visibility.  Try selecting from the drop-down list instead." sqref="H3:H5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2EDD1-4354-4B00-A0E5-8EEDDBC03063}">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4373</v>
      </c>
      <c r="B2" s="112" t="s">
        <v>4374</v>
      </c>
      <c r="C2" s="54" t="s">
        <v>4375</v>
      </c>
    </row>
    <row r="3" spans="1:3" ht="15">
      <c r="A3" s="111" t="s">
        <v>3500</v>
      </c>
      <c r="B3" s="111" t="s">
        <v>3500</v>
      </c>
      <c r="C3" s="35">
        <v>196</v>
      </c>
    </row>
    <row r="4" spans="1:3" ht="15">
      <c r="A4" s="111" t="s">
        <v>3501</v>
      </c>
      <c r="B4" s="111" t="s">
        <v>3501</v>
      </c>
      <c r="C4" s="35">
        <v>150</v>
      </c>
    </row>
    <row r="5" spans="1:3" ht="15">
      <c r="A5" s="111" t="s">
        <v>3502</v>
      </c>
      <c r="B5" s="111" t="s">
        <v>3502</v>
      </c>
      <c r="C5" s="35">
        <v>66</v>
      </c>
    </row>
    <row r="6" spans="1:3" ht="15">
      <c r="A6" s="111" t="s">
        <v>3503</v>
      </c>
      <c r="B6" s="111" t="s">
        <v>3503</v>
      </c>
      <c r="C6" s="35">
        <v>63</v>
      </c>
    </row>
    <row r="7" spans="1:3" ht="15">
      <c r="A7" s="111" t="s">
        <v>3504</v>
      </c>
      <c r="B7" s="111" t="s">
        <v>3504</v>
      </c>
      <c r="C7" s="35">
        <v>24</v>
      </c>
    </row>
    <row r="8" spans="1:3" ht="15">
      <c r="A8" s="111" t="s">
        <v>3505</v>
      </c>
      <c r="B8" s="111" t="s">
        <v>3505</v>
      </c>
      <c r="C8" s="35">
        <v>13</v>
      </c>
    </row>
    <row r="9" spans="1:3" ht="15">
      <c r="A9" s="111" t="s">
        <v>3506</v>
      </c>
      <c r="B9" s="111" t="s">
        <v>3506</v>
      </c>
      <c r="C9" s="35">
        <v>12</v>
      </c>
    </row>
    <row r="10" spans="1:3" ht="15">
      <c r="A10" s="111" t="s">
        <v>3507</v>
      </c>
      <c r="B10" s="111" t="s">
        <v>3507</v>
      </c>
      <c r="C10" s="35">
        <v>9</v>
      </c>
    </row>
    <row r="11" spans="1:3" ht="15">
      <c r="A11" s="111" t="s">
        <v>3508</v>
      </c>
      <c r="B11" s="111" t="s">
        <v>3508</v>
      </c>
      <c r="C11" s="35">
        <v>4</v>
      </c>
    </row>
    <row r="12" spans="1:3" ht="15">
      <c r="A12" s="111" t="s">
        <v>3509</v>
      </c>
      <c r="B12" s="111" t="s">
        <v>3509</v>
      </c>
      <c r="C12" s="35">
        <v>4</v>
      </c>
    </row>
    <row r="13" spans="1:3" ht="15">
      <c r="A13" s="111" t="s">
        <v>3510</v>
      </c>
      <c r="B13" s="111" t="s">
        <v>3510</v>
      </c>
      <c r="C13" s="35">
        <v>4</v>
      </c>
    </row>
    <row r="14" spans="1:3" ht="15">
      <c r="A14" s="111" t="s">
        <v>3511</v>
      </c>
      <c r="B14" s="111" t="s">
        <v>3511</v>
      </c>
      <c r="C14" s="35">
        <v>2</v>
      </c>
    </row>
    <row r="15" spans="1:3" ht="15">
      <c r="A15" s="111" t="s">
        <v>3512</v>
      </c>
      <c r="B15" s="111" t="s">
        <v>3512</v>
      </c>
      <c r="C15" s="35">
        <v>2</v>
      </c>
    </row>
    <row r="16" spans="1:3" ht="15">
      <c r="A16" s="111" t="s">
        <v>3513</v>
      </c>
      <c r="B16" s="111" t="s">
        <v>3513</v>
      </c>
      <c r="C16"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EC0C-DADC-4903-B922-E3680EC35D8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4396</v>
      </c>
      <c r="B1" s="13" t="s">
        <v>17</v>
      </c>
    </row>
    <row r="2" spans="1:2" ht="15">
      <c r="A2" s="81" t="s">
        <v>4397</v>
      </c>
      <c r="B2" s="81"/>
    </row>
    <row r="3" spans="1:2" ht="15">
      <c r="A3" s="82" t="s">
        <v>4398</v>
      </c>
      <c r="B3" s="81"/>
    </row>
    <row r="4" spans="1:2" ht="15">
      <c r="A4" s="82" t="s">
        <v>4399</v>
      </c>
      <c r="B4" s="81"/>
    </row>
    <row r="5" spans="1:2" ht="15">
      <c r="A5" s="82" t="s">
        <v>4400</v>
      </c>
      <c r="B5" s="81"/>
    </row>
    <row r="6" spans="1:2" ht="15">
      <c r="A6" s="82" t="s">
        <v>4401</v>
      </c>
      <c r="B6" s="81"/>
    </row>
    <row r="7" spans="1:2" ht="15">
      <c r="A7" s="82" t="s">
        <v>4402</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3C7D9-87C7-49E5-8616-322147FA3B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4403</v>
      </c>
      <c r="B1" s="13" t="s">
        <v>34</v>
      </c>
    </row>
    <row r="2" spans="1:2" ht="15">
      <c r="A2" s="104" t="s">
        <v>636</v>
      </c>
      <c r="B2" s="81">
        <v>37830</v>
      </c>
    </row>
    <row r="3" spans="1:2" ht="15">
      <c r="A3" s="114" t="s">
        <v>758</v>
      </c>
      <c r="B3" s="81">
        <v>22052</v>
      </c>
    </row>
    <row r="4" spans="1:2" ht="15">
      <c r="A4" s="114" t="s">
        <v>292</v>
      </c>
      <c r="B4" s="81">
        <v>4160</v>
      </c>
    </row>
    <row r="5" spans="1:2" ht="15">
      <c r="A5" s="114" t="s">
        <v>355</v>
      </c>
      <c r="B5" s="81">
        <v>3782</v>
      </c>
    </row>
    <row r="6" spans="1:2" ht="15">
      <c r="A6" s="114" t="s">
        <v>668</v>
      </c>
      <c r="B6" s="81">
        <v>506</v>
      </c>
    </row>
    <row r="7" spans="1:2" ht="15">
      <c r="A7" s="114" t="s">
        <v>680</v>
      </c>
      <c r="B7" s="81">
        <v>110</v>
      </c>
    </row>
    <row r="8" spans="1:2" ht="15">
      <c r="A8" s="114" t="s">
        <v>462</v>
      </c>
      <c r="B8" s="81">
        <v>56</v>
      </c>
    </row>
    <row r="9" spans="1:2" ht="15">
      <c r="A9" s="114" t="s">
        <v>660</v>
      </c>
      <c r="B9" s="81">
        <v>6</v>
      </c>
    </row>
    <row r="10" spans="1:2" ht="15">
      <c r="A10" s="114" t="s">
        <v>226</v>
      </c>
      <c r="B10" s="81">
        <v>6</v>
      </c>
    </row>
    <row r="11" spans="1:2" ht="15">
      <c r="A11" s="114" t="s">
        <v>640</v>
      </c>
      <c r="B11" s="81">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7BB3-8F68-49AF-9DEC-11815E69395C}">
  <dimension ref="A1:V4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4404</v>
      </c>
      <c r="B1" s="13" t="s">
        <v>4411</v>
      </c>
      <c r="C1" s="13" t="s">
        <v>4412</v>
      </c>
      <c r="D1" s="13" t="s">
        <v>4414</v>
      </c>
      <c r="E1" s="13" t="s">
        <v>4413</v>
      </c>
      <c r="F1" s="13" t="s">
        <v>4416</v>
      </c>
      <c r="G1" s="13" t="s">
        <v>4415</v>
      </c>
      <c r="H1" s="13" t="s">
        <v>4418</v>
      </c>
      <c r="I1" s="81" t="s">
        <v>4417</v>
      </c>
      <c r="J1" s="81" t="s">
        <v>4420</v>
      </c>
      <c r="K1" s="81" t="s">
        <v>4419</v>
      </c>
      <c r="L1" s="81" t="s">
        <v>4422</v>
      </c>
      <c r="M1" s="81" t="s">
        <v>4421</v>
      </c>
      <c r="N1" s="81" t="s">
        <v>4424</v>
      </c>
      <c r="O1" s="13" t="s">
        <v>4423</v>
      </c>
      <c r="P1" s="13" t="s">
        <v>4426</v>
      </c>
      <c r="Q1" s="81" t="s">
        <v>4425</v>
      </c>
      <c r="R1" s="81" t="s">
        <v>4428</v>
      </c>
      <c r="S1" s="81" t="s">
        <v>4427</v>
      </c>
      <c r="T1" s="81" t="s">
        <v>4430</v>
      </c>
      <c r="U1" s="81" t="s">
        <v>4429</v>
      </c>
      <c r="V1" s="81" t="s">
        <v>4431</v>
      </c>
    </row>
    <row r="2" spans="1:22" ht="15">
      <c r="A2" s="83" t="s">
        <v>4405</v>
      </c>
      <c r="B2" s="81">
        <v>2</v>
      </c>
      <c r="C2" s="83" t="s">
        <v>4405</v>
      </c>
      <c r="D2" s="81">
        <v>2</v>
      </c>
      <c r="E2" s="83" t="s">
        <v>4406</v>
      </c>
      <c r="F2" s="81">
        <v>1</v>
      </c>
      <c r="G2" s="83" t="s">
        <v>4410</v>
      </c>
      <c r="H2" s="81">
        <v>1</v>
      </c>
      <c r="I2" s="81"/>
      <c r="J2" s="81"/>
      <c r="K2" s="81"/>
      <c r="L2" s="81"/>
      <c r="M2" s="81"/>
      <c r="N2" s="81"/>
      <c r="O2" s="83" t="s">
        <v>4407</v>
      </c>
      <c r="P2" s="81">
        <v>1</v>
      </c>
      <c r="Q2" s="81"/>
      <c r="R2" s="81"/>
      <c r="S2" s="81"/>
      <c r="T2" s="81"/>
      <c r="U2" s="81"/>
      <c r="V2" s="81"/>
    </row>
    <row r="3" spans="1:22" ht="15">
      <c r="A3" s="84" t="s">
        <v>4406</v>
      </c>
      <c r="B3" s="81">
        <v>1</v>
      </c>
      <c r="C3" s="81"/>
      <c r="D3" s="81"/>
      <c r="E3" s="81"/>
      <c r="F3" s="81"/>
      <c r="G3" s="81"/>
      <c r="H3" s="81"/>
      <c r="I3" s="81"/>
      <c r="J3" s="81"/>
      <c r="K3" s="81"/>
      <c r="L3" s="81"/>
      <c r="M3" s="81"/>
      <c r="N3" s="81"/>
      <c r="O3" s="83" t="s">
        <v>4408</v>
      </c>
      <c r="P3" s="81">
        <v>1</v>
      </c>
      <c r="Q3" s="81"/>
      <c r="R3" s="81"/>
      <c r="S3" s="81"/>
      <c r="T3" s="81"/>
      <c r="U3" s="81"/>
      <c r="V3" s="81"/>
    </row>
    <row r="4" spans="1:22" ht="15">
      <c r="A4" s="84" t="s">
        <v>4407</v>
      </c>
      <c r="B4" s="81">
        <v>1</v>
      </c>
      <c r="C4" s="81"/>
      <c r="D4" s="81"/>
      <c r="E4" s="81"/>
      <c r="F4" s="81"/>
      <c r="G4" s="81"/>
      <c r="H4" s="81"/>
      <c r="I4" s="81"/>
      <c r="J4" s="81"/>
      <c r="K4" s="81"/>
      <c r="L4" s="81"/>
      <c r="M4" s="81"/>
      <c r="N4" s="81"/>
      <c r="O4" s="83" t="s">
        <v>4409</v>
      </c>
      <c r="P4" s="81">
        <v>1</v>
      </c>
      <c r="Q4" s="81"/>
      <c r="R4" s="81"/>
      <c r="S4" s="81"/>
      <c r="T4" s="81"/>
      <c r="U4" s="81"/>
      <c r="V4" s="81"/>
    </row>
    <row r="5" spans="1:22" ht="15">
      <c r="A5" s="84" t="s">
        <v>4408</v>
      </c>
      <c r="B5" s="81">
        <v>1</v>
      </c>
      <c r="C5" s="81"/>
      <c r="D5" s="81"/>
      <c r="E5" s="81"/>
      <c r="F5" s="81"/>
      <c r="G5" s="81"/>
      <c r="H5" s="81"/>
      <c r="I5" s="81"/>
      <c r="J5" s="81"/>
      <c r="K5" s="81"/>
      <c r="L5" s="81"/>
      <c r="M5" s="81"/>
      <c r="N5" s="81"/>
      <c r="O5" s="81"/>
      <c r="P5" s="81"/>
      <c r="Q5" s="81"/>
      <c r="R5" s="81"/>
      <c r="S5" s="81"/>
      <c r="T5" s="81"/>
      <c r="U5" s="81"/>
      <c r="V5" s="81"/>
    </row>
    <row r="6" spans="1:22" ht="15">
      <c r="A6" s="84" t="s">
        <v>4409</v>
      </c>
      <c r="B6" s="81">
        <v>1</v>
      </c>
      <c r="C6" s="81"/>
      <c r="D6" s="81"/>
      <c r="E6" s="81"/>
      <c r="F6" s="81"/>
      <c r="G6" s="81"/>
      <c r="H6" s="81"/>
      <c r="I6" s="81"/>
      <c r="J6" s="81"/>
      <c r="K6" s="81"/>
      <c r="L6" s="81"/>
      <c r="M6" s="81"/>
      <c r="N6" s="81"/>
      <c r="O6" s="81"/>
      <c r="P6" s="81"/>
      <c r="Q6" s="81"/>
      <c r="R6" s="81"/>
      <c r="S6" s="81"/>
      <c r="T6" s="81"/>
      <c r="U6" s="81"/>
      <c r="V6" s="81"/>
    </row>
    <row r="7" spans="1:22" ht="15">
      <c r="A7" s="84" t="s">
        <v>4410</v>
      </c>
      <c r="B7" s="81">
        <v>1</v>
      </c>
      <c r="C7" s="81"/>
      <c r="D7" s="81"/>
      <c r="E7" s="81"/>
      <c r="F7" s="81"/>
      <c r="G7" s="81"/>
      <c r="H7" s="81"/>
      <c r="I7" s="81"/>
      <c r="J7" s="81"/>
      <c r="K7" s="81"/>
      <c r="L7" s="81"/>
      <c r="M7" s="81"/>
      <c r="N7" s="81"/>
      <c r="O7" s="81"/>
      <c r="P7" s="81"/>
      <c r="Q7" s="81"/>
      <c r="R7" s="81"/>
      <c r="S7" s="81"/>
      <c r="T7" s="81"/>
      <c r="U7" s="81"/>
      <c r="V7" s="81"/>
    </row>
    <row r="10" spans="1:22" ht="15" customHeight="1">
      <c r="A10" s="13" t="s">
        <v>4433</v>
      </c>
      <c r="B10" s="13" t="s">
        <v>4411</v>
      </c>
      <c r="C10" s="13" t="s">
        <v>4437</v>
      </c>
      <c r="D10" s="13" t="s">
        <v>4414</v>
      </c>
      <c r="E10" s="13" t="s">
        <v>4438</v>
      </c>
      <c r="F10" s="13" t="s">
        <v>4416</v>
      </c>
      <c r="G10" s="13" t="s">
        <v>4439</v>
      </c>
      <c r="H10" s="13" t="s">
        <v>4418</v>
      </c>
      <c r="I10" s="81" t="s">
        <v>4440</v>
      </c>
      <c r="J10" s="81" t="s">
        <v>4420</v>
      </c>
      <c r="K10" s="81" t="s">
        <v>4441</v>
      </c>
      <c r="L10" s="81" t="s">
        <v>4422</v>
      </c>
      <c r="M10" s="81" t="s">
        <v>4442</v>
      </c>
      <c r="N10" s="81" t="s">
        <v>4424</v>
      </c>
      <c r="O10" s="13" t="s">
        <v>4443</v>
      </c>
      <c r="P10" s="13" t="s">
        <v>4426</v>
      </c>
      <c r="Q10" s="81" t="s">
        <v>4444</v>
      </c>
      <c r="R10" s="81" t="s">
        <v>4428</v>
      </c>
      <c r="S10" s="81" t="s">
        <v>4445</v>
      </c>
      <c r="T10" s="81" t="s">
        <v>4430</v>
      </c>
      <c r="U10" s="81" t="s">
        <v>4446</v>
      </c>
      <c r="V10" s="81" t="s">
        <v>4431</v>
      </c>
    </row>
    <row r="11" spans="1:22" ht="15">
      <c r="A11" s="81" t="s">
        <v>1860</v>
      </c>
      <c r="B11" s="81">
        <v>2</v>
      </c>
      <c r="C11" s="81" t="s">
        <v>2573</v>
      </c>
      <c r="D11" s="81">
        <v>2</v>
      </c>
      <c r="E11" s="81" t="s">
        <v>1860</v>
      </c>
      <c r="F11" s="81">
        <v>1</v>
      </c>
      <c r="G11" s="81" t="s">
        <v>1860</v>
      </c>
      <c r="H11" s="81">
        <v>1</v>
      </c>
      <c r="I11" s="81"/>
      <c r="J11" s="81"/>
      <c r="K11" s="81"/>
      <c r="L11" s="81"/>
      <c r="M11" s="81"/>
      <c r="N11" s="81"/>
      <c r="O11" s="81" t="s">
        <v>4434</v>
      </c>
      <c r="P11" s="81">
        <v>1</v>
      </c>
      <c r="Q11" s="81"/>
      <c r="R11" s="81"/>
      <c r="S11" s="81"/>
      <c r="T11" s="81"/>
      <c r="U11" s="81"/>
      <c r="V11" s="81"/>
    </row>
    <row r="12" spans="1:22" ht="15">
      <c r="A12" s="82" t="s">
        <v>2573</v>
      </c>
      <c r="B12" s="81">
        <v>2</v>
      </c>
      <c r="C12" s="81"/>
      <c r="D12" s="81"/>
      <c r="E12" s="81"/>
      <c r="F12" s="81"/>
      <c r="G12" s="81"/>
      <c r="H12" s="81"/>
      <c r="I12" s="81"/>
      <c r="J12" s="81"/>
      <c r="K12" s="81"/>
      <c r="L12" s="81"/>
      <c r="M12" s="81"/>
      <c r="N12" s="81"/>
      <c r="O12" s="81" t="s">
        <v>4435</v>
      </c>
      <c r="P12" s="81">
        <v>1</v>
      </c>
      <c r="Q12" s="81"/>
      <c r="R12" s="81"/>
      <c r="S12" s="81"/>
      <c r="T12" s="81"/>
      <c r="U12" s="81"/>
      <c r="V12" s="81"/>
    </row>
    <row r="13" spans="1:22" ht="15">
      <c r="A13" s="82" t="s">
        <v>4434</v>
      </c>
      <c r="B13" s="81">
        <v>1</v>
      </c>
      <c r="C13" s="81"/>
      <c r="D13" s="81"/>
      <c r="E13" s="81"/>
      <c r="F13" s="81"/>
      <c r="G13" s="81"/>
      <c r="H13" s="81"/>
      <c r="I13" s="81"/>
      <c r="J13" s="81"/>
      <c r="K13" s="81"/>
      <c r="L13" s="81"/>
      <c r="M13" s="81"/>
      <c r="N13" s="81"/>
      <c r="O13" s="81" t="s">
        <v>4436</v>
      </c>
      <c r="P13" s="81">
        <v>1</v>
      </c>
      <c r="Q13" s="81"/>
      <c r="R13" s="81"/>
      <c r="S13" s="81"/>
      <c r="T13" s="81"/>
      <c r="U13" s="81"/>
      <c r="V13" s="81"/>
    </row>
    <row r="14" spans="1:22" ht="15">
      <c r="A14" s="82" t="s">
        <v>4435</v>
      </c>
      <c r="B14" s="81">
        <v>1</v>
      </c>
      <c r="C14" s="81"/>
      <c r="D14" s="81"/>
      <c r="E14" s="81"/>
      <c r="F14" s="81"/>
      <c r="G14" s="81"/>
      <c r="H14" s="81"/>
      <c r="I14" s="81"/>
      <c r="J14" s="81"/>
      <c r="K14" s="81"/>
      <c r="L14" s="81"/>
      <c r="M14" s="81"/>
      <c r="N14" s="81"/>
      <c r="O14" s="81"/>
      <c r="P14" s="81"/>
      <c r="Q14" s="81"/>
      <c r="R14" s="81"/>
      <c r="S14" s="81"/>
      <c r="T14" s="81"/>
      <c r="U14" s="81"/>
      <c r="V14" s="81"/>
    </row>
    <row r="15" spans="1:22" ht="15">
      <c r="A15" s="82" t="s">
        <v>4436</v>
      </c>
      <c r="B15" s="81">
        <v>1</v>
      </c>
      <c r="C15" s="81"/>
      <c r="D15" s="81"/>
      <c r="E15" s="81"/>
      <c r="F15" s="81"/>
      <c r="G15" s="81"/>
      <c r="H15" s="81"/>
      <c r="I15" s="81"/>
      <c r="J15" s="81"/>
      <c r="K15" s="81"/>
      <c r="L15" s="81"/>
      <c r="M15" s="81"/>
      <c r="N15" s="81"/>
      <c r="O15" s="81"/>
      <c r="P15" s="81"/>
      <c r="Q15" s="81"/>
      <c r="R15" s="81"/>
      <c r="S15" s="81"/>
      <c r="T15" s="81"/>
      <c r="U15" s="81"/>
      <c r="V15" s="81"/>
    </row>
    <row r="18" spans="1:22" ht="15" customHeight="1">
      <c r="A18" s="81" t="s">
        <v>4448</v>
      </c>
      <c r="B18" s="81" t="s">
        <v>4411</v>
      </c>
      <c r="C18" s="81" t="s">
        <v>4449</v>
      </c>
      <c r="D18" s="81" t="s">
        <v>4414</v>
      </c>
      <c r="E18" s="81" t="s">
        <v>4450</v>
      </c>
      <c r="F18" s="81" t="s">
        <v>4416</v>
      </c>
      <c r="G18" s="81" t="s">
        <v>4451</v>
      </c>
      <c r="H18" s="81" t="s">
        <v>4418</v>
      </c>
      <c r="I18" s="81" t="s">
        <v>4452</v>
      </c>
      <c r="J18" s="81" t="s">
        <v>4420</v>
      </c>
      <c r="K18" s="81" t="s">
        <v>4453</v>
      </c>
      <c r="L18" s="81" t="s">
        <v>4422</v>
      </c>
      <c r="M18" s="81" t="s">
        <v>4454</v>
      </c>
      <c r="N18" s="81" t="s">
        <v>4424</v>
      </c>
      <c r="O18" s="81" t="s">
        <v>4455</v>
      </c>
      <c r="P18" s="81" t="s">
        <v>4426</v>
      </c>
      <c r="Q18" s="81" t="s">
        <v>4456</v>
      </c>
      <c r="R18" s="81" t="s">
        <v>4428</v>
      </c>
      <c r="S18" s="81" t="s">
        <v>4457</v>
      </c>
      <c r="T18" s="81" t="s">
        <v>4430</v>
      </c>
      <c r="U18" s="81" t="s">
        <v>4458</v>
      </c>
      <c r="V18" s="81" t="s">
        <v>4431</v>
      </c>
    </row>
    <row r="19" spans="1:22" ht="15">
      <c r="A19" s="81"/>
      <c r="B19" s="81"/>
      <c r="C19" s="81"/>
      <c r="D19" s="81"/>
      <c r="E19" s="81"/>
      <c r="F19" s="81"/>
      <c r="G19" s="81"/>
      <c r="H19" s="81"/>
      <c r="I19" s="81"/>
      <c r="J19" s="81"/>
      <c r="K19" s="81"/>
      <c r="L19" s="81"/>
      <c r="M19" s="81"/>
      <c r="N19" s="81"/>
      <c r="O19" s="81"/>
      <c r="P19" s="81"/>
      <c r="Q19" s="81"/>
      <c r="R19" s="81"/>
      <c r="S19" s="81"/>
      <c r="T19" s="81"/>
      <c r="U19" s="81"/>
      <c r="V19" s="81"/>
    </row>
    <row r="21" spans="1:22" ht="15" customHeight="1">
      <c r="A21" s="13" t="s">
        <v>4460</v>
      </c>
      <c r="B21" s="13" t="s">
        <v>4411</v>
      </c>
      <c r="C21" s="13" t="s">
        <v>4461</v>
      </c>
      <c r="D21" s="13" t="s">
        <v>4414</v>
      </c>
      <c r="E21" s="13" t="s">
        <v>4462</v>
      </c>
      <c r="F21" s="13" t="s">
        <v>4416</v>
      </c>
      <c r="G21" s="13" t="s">
        <v>4463</v>
      </c>
      <c r="H21" s="13" t="s">
        <v>4418</v>
      </c>
      <c r="I21" s="13" t="s">
        <v>4464</v>
      </c>
      <c r="J21" s="13" t="s">
        <v>4420</v>
      </c>
      <c r="K21" s="13" t="s">
        <v>4465</v>
      </c>
      <c r="L21" s="13" t="s">
        <v>4422</v>
      </c>
      <c r="M21" s="81" t="s">
        <v>4466</v>
      </c>
      <c r="N21" s="81" t="s">
        <v>4424</v>
      </c>
      <c r="O21" s="13" t="s">
        <v>4467</v>
      </c>
      <c r="P21" s="13" t="s">
        <v>4426</v>
      </c>
      <c r="Q21" s="13" t="s">
        <v>4468</v>
      </c>
      <c r="R21" s="13" t="s">
        <v>4428</v>
      </c>
      <c r="S21" s="13" t="s">
        <v>4469</v>
      </c>
      <c r="T21" s="13" t="s">
        <v>4430</v>
      </c>
      <c r="U21" s="13" t="s">
        <v>4470</v>
      </c>
      <c r="V21" s="13" t="s">
        <v>4431</v>
      </c>
    </row>
    <row r="22" spans="1:22" ht="15">
      <c r="A22" s="107" t="s">
        <v>3536</v>
      </c>
      <c r="B22" s="107">
        <v>52</v>
      </c>
      <c r="C22" s="107" t="s">
        <v>3541</v>
      </c>
      <c r="D22" s="107">
        <v>34</v>
      </c>
      <c r="E22" s="107" t="s">
        <v>3539</v>
      </c>
      <c r="F22" s="107">
        <v>26</v>
      </c>
      <c r="G22" s="107" t="s">
        <v>3537</v>
      </c>
      <c r="H22" s="107">
        <v>21</v>
      </c>
      <c r="I22" s="107" t="s">
        <v>3540</v>
      </c>
      <c r="J22" s="107">
        <v>36</v>
      </c>
      <c r="K22" s="107" t="s">
        <v>3577</v>
      </c>
      <c r="L22" s="107">
        <v>12</v>
      </c>
      <c r="M22" s="107"/>
      <c r="N22" s="107"/>
      <c r="O22" s="107" t="s">
        <v>3601</v>
      </c>
      <c r="P22" s="107">
        <v>6</v>
      </c>
      <c r="Q22" s="107" t="s">
        <v>4210</v>
      </c>
      <c r="R22" s="107">
        <v>2</v>
      </c>
      <c r="S22" s="107" t="s">
        <v>3848</v>
      </c>
      <c r="T22" s="107">
        <v>2</v>
      </c>
      <c r="U22" s="107" t="s">
        <v>3556</v>
      </c>
      <c r="V22" s="107">
        <v>2</v>
      </c>
    </row>
    <row r="23" spans="1:22" ht="15">
      <c r="A23" s="87" t="s">
        <v>3537</v>
      </c>
      <c r="B23" s="107">
        <v>51</v>
      </c>
      <c r="C23" s="107" t="s">
        <v>2785</v>
      </c>
      <c r="D23" s="107">
        <v>17</v>
      </c>
      <c r="E23" s="107" t="s">
        <v>3547</v>
      </c>
      <c r="F23" s="107">
        <v>22</v>
      </c>
      <c r="G23" s="107" t="s">
        <v>3543</v>
      </c>
      <c r="H23" s="107">
        <v>14</v>
      </c>
      <c r="I23" s="107" t="s">
        <v>3538</v>
      </c>
      <c r="J23" s="107">
        <v>25</v>
      </c>
      <c r="K23" s="107" t="s">
        <v>3542</v>
      </c>
      <c r="L23" s="107">
        <v>10</v>
      </c>
      <c r="M23" s="107"/>
      <c r="N23" s="107"/>
      <c r="O23" s="107" t="s">
        <v>3538</v>
      </c>
      <c r="P23" s="107">
        <v>6</v>
      </c>
      <c r="Q23" s="107" t="s">
        <v>4093</v>
      </c>
      <c r="R23" s="107">
        <v>2</v>
      </c>
      <c r="S23" s="107"/>
      <c r="T23" s="107"/>
      <c r="U23" s="107" t="s">
        <v>4349</v>
      </c>
      <c r="V23" s="107">
        <v>2</v>
      </c>
    </row>
    <row r="24" spans="1:22" ht="15">
      <c r="A24" s="87" t="s">
        <v>3538</v>
      </c>
      <c r="B24" s="107">
        <v>51</v>
      </c>
      <c r="C24" s="107" t="s">
        <v>3549</v>
      </c>
      <c r="D24" s="107">
        <v>17</v>
      </c>
      <c r="E24" s="107" t="s">
        <v>3537</v>
      </c>
      <c r="F24" s="107">
        <v>21</v>
      </c>
      <c r="G24" s="107" t="s">
        <v>2596</v>
      </c>
      <c r="H24" s="107">
        <v>11</v>
      </c>
      <c r="I24" s="107" t="s">
        <v>3539</v>
      </c>
      <c r="J24" s="107">
        <v>18</v>
      </c>
      <c r="K24" s="107" t="s">
        <v>3536</v>
      </c>
      <c r="L24" s="107">
        <v>10</v>
      </c>
      <c r="M24" s="107"/>
      <c r="N24" s="107"/>
      <c r="O24" s="107" t="s">
        <v>3660</v>
      </c>
      <c r="P24" s="107">
        <v>4</v>
      </c>
      <c r="Q24" s="107" t="s">
        <v>2783</v>
      </c>
      <c r="R24" s="107">
        <v>2</v>
      </c>
      <c r="S24" s="107"/>
      <c r="T24" s="107"/>
      <c r="U24" s="107"/>
      <c r="V24" s="107"/>
    </row>
    <row r="25" spans="1:22" ht="15">
      <c r="A25" s="87" t="s">
        <v>3539</v>
      </c>
      <c r="B25" s="107">
        <v>47</v>
      </c>
      <c r="C25" s="107" t="s">
        <v>3544</v>
      </c>
      <c r="D25" s="107">
        <v>14</v>
      </c>
      <c r="E25" s="107" t="s">
        <v>3536</v>
      </c>
      <c r="F25" s="107">
        <v>21</v>
      </c>
      <c r="G25" s="107" t="s">
        <v>3542</v>
      </c>
      <c r="H25" s="107">
        <v>11</v>
      </c>
      <c r="I25" s="107" t="s">
        <v>3559</v>
      </c>
      <c r="J25" s="107">
        <v>15</v>
      </c>
      <c r="K25" s="107" t="s">
        <v>3548</v>
      </c>
      <c r="L25" s="107">
        <v>8</v>
      </c>
      <c r="M25" s="107"/>
      <c r="N25" s="107"/>
      <c r="O25" s="107" t="s">
        <v>3758</v>
      </c>
      <c r="P25" s="107">
        <v>4</v>
      </c>
      <c r="Q25" s="107" t="s">
        <v>3678</v>
      </c>
      <c r="R25" s="107">
        <v>2</v>
      </c>
      <c r="S25" s="107"/>
      <c r="T25" s="107"/>
      <c r="U25" s="107"/>
      <c r="V25" s="107"/>
    </row>
    <row r="26" spans="1:22" ht="15">
      <c r="A26" s="87" t="s">
        <v>2785</v>
      </c>
      <c r="B26" s="107">
        <v>46</v>
      </c>
      <c r="C26" s="107" t="s">
        <v>3575</v>
      </c>
      <c r="D26" s="107">
        <v>13</v>
      </c>
      <c r="E26" s="107" t="s">
        <v>3545</v>
      </c>
      <c r="F26" s="107">
        <v>20</v>
      </c>
      <c r="G26" s="107" t="s">
        <v>3572</v>
      </c>
      <c r="H26" s="107">
        <v>9</v>
      </c>
      <c r="I26" s="107" t="s">
        <v>3564</v>
      </c>
      <c r="J26" s="107">
        <v>14</v>
      </c>
      <c r="K26" s="107" t="s">
        <v>3593</v>
      </c>
      <c r="L26" s="107">
        <v>6</v>
      </c>
      <c r="M26" s="107"/>
      <c r="N26" s="107"/>
      <c r="O26" s="107" t="s">
        <v>3788</v>
      </c>
      <c r="P26" s="107">
        <v>4</v>
      </c>
      <c r="Q26" s="107"/>
      <c r="R26" s="107"/>
      <c r="S26" s="107"/>
      <c r="T26" s="107"/>
      <c r="U26" s="107"/>
      <c r="V26" s="107"/>
    </row>
    <row r="27" spans="1:22" ht="15">
      <c r="A27" s="87" t="s">
        <v>3540</v>
      </c>
      <c r="B27" s="107">
        <v>38</v>
      </c>
      <c r="C27" s="107" t="s">
        <v>3536</v>
      </c>
      <c r="D27" s="107">
        <v>11</v>
      </c>
      <c r="E27" s="107" t="s">
        <v>2785</v>
      </c>
      <c r="F27" s="107">
        <v>17</v>
      </c>
      <c r="G27" s="107" t="s">
        <v>3553</v>
      </c>
      <c r="H27" s="107">
        <v>9</v>
      </c>
      <c r="I27" s="107" t="s">
        <v>3551</v>
      </c>
      <c r="J27" s="107">
        <v>12</v>
      </c>
      <c r="K27" s="107" t="s">
        <v>3644</v>
      </c>
      <c r="L27" s="107">
        <v>6</v>
      </c>
      <c r="M27" s="107"/>
      <c r="N27" s="107"/>
      <c r="O27" s="107" t="s">
        <v>3542</v>
      </c>
      <c r="P27" s="107">
        <v>3</v>
      </c>
      <c r="Q27" s="107"/>
      <c r="R27" s="107"/>
      <c r="S27" s="107"/>
      <c r="T27" s="107"/>
      <c r="U27" s="107"/>
      <c r="V27" s="107"/>
    </row>
    <row r="28" spans="1:22" ht="15">
      <c r="A28" s="87" t="s">
        <v>3541</v>
      </c>
      <c r="B28" s="107">
        <v>35</v>
      </c>
      <c r="C28" s="107" t="s">
        <v>3591</v>
      </c>
      <c r="D28" s="107">
        <v>10</v>
      </c>
      <c r="E28" s="107" t="s">
        <v>3546</v>
      </c>
      <c r="F28" s="107">
        <v>17</v>
      </c>
      <c r="G28" s="107" t="s">
        <v>3608</v>
      </c>
      <c r="H28" s="107">
        <v>9</v>
      </c>
      <c r="I28" s="107" t="s">
        <v>3554</v>
      </c>
      <c r="J28" s="107">
        <v>12</v>
      </c>
      <c r="K28" s="107" t="s">
        <v>3558</v>
      </c>
      <c r="L28" s="107">
        <v>5</v>
      </c>
      <c r="M28" s="107"/>
      <c r="N28" s="107"/>
      <c r="O28" s="107" t="s">
        <v>3679</v>
      </c>
      <c r="P28" s="107">
        <v>3</v>
      </c>
      <c r="Q28" s="107"/>
      <c r="R28" s="107"/>
      <c r="S28" s="107"/>
      <c r="T28" s="107"/>
      <c r="U28" s="107"/>
      <c r="V28" s="107"/>
    </row>
    <row r="29" spans="1:22" ht="15">
      <c r="A29" s="87" t="s">
        <v>3542</v>
      </c>
      <c r="B29" s="107">
        <v>33</v>
      </c>
      <c r="C29" s="107" t="s">
        <v>3580</v>
      </c>
      <c r="D29" s="107">
        <v>10</v>
      </c>
      <c r="E29" s="107" t="s">
        <v>3563</v>
      </c>
      <c r="F29" s="107">
        <v>14</v>
      </c>
      <c r="G29" s="107" t="s">
        <v>3622</v>
      </c>
      <c r="H29" s="107">
        <v>8</v>
      </c>
      <c r="I29" s="107" t="s">
        <v>3552</v>
      </c>
      <c r="J29" s="107">
        <v>10</v>
      </c>
      <c r="K29" s="107" t="s">
        <v>3621</v>
      </c>
      <c r="L29" s="107">
        <v>4</v>
      </c>
      <c r="M29" s="107"/>
      <c r="N29" s="107"/>
      <c r="O29" s="107" t="s">
        <v>3954</v>
      </c>
      <c r="P29" s="107">
        <v>2</v>
      </c>
      <c r="Q29" s="107"/>
      <c r="R29" s="107"/>
      <c r="S29" s="107"/>
      <c r="T29" s="107"/>
      <c r="U29" s="107"/>
      <c r="V29" s="107"/>
    </row>
    <row r="30" spans="1:22" ht="15">
      <c r="A30" s="87" t="s">
        <v>3543</v>
      </c>
      <c r="B30" s="107">
        <v>32</v>
      </c>
      <c r="C30" s="107" t="s">
        <v>3599</v>
      </c>
      <c r="D30" s="107">
        <v>10</v>
      </c>
      <c r="E30" s="107" t="s">
        <v>3560</v>
      </c>
      <c r="F30" s="107">
        <v>13</v>
      </c>
      <c r="G30" s="107" t="s">
        <v>3548</v>
      </c>
      <c r="H30" s="107">
        <v>8</v>
      </c>
      <c r="I30" s="107" t="s">
        <v>2658</v>
      </c>
      <c r="J30" s="107">
        <v>9</v>
      </c>
      <c r="K30" s="107" t="s">
        <v>3543</v>
      </c>
      <c r="L30" s="107">
        <v>4</v>
      </c>
      <c r="M30" s="107"/>
      <c r="N30" s="107"/>
      <c r="O30" s="107" t="s">
        <v>3821</v>
      </c>
      <c r="P30" s="107">
        <v>2</v>
      </c>
      <c r="Q30" s="107"/>
      <c r="R30" s="107"/>
      <c r="S30" s="107"/>
      <c r="T30" s="107"/>
      <c r="U30" s="107"/>
      <c r="V30" s="107"/>
    </row>
    <row r="31" spans="1:22" ht="15">
      <c r="A31" s="87" t="s">
        <v>3544</v>
      </c>
      <c r="B31" s="107">
        <v>30</v>
      </c>
      <c r="C31" s="107" t="s">
        <v>3556</v>
      </c>
      <c r="D31" s="107">
        <v>9</v>
      </c>
      <c r="E31" s="107" t="s">
        <v>3568</v>
      </c>
      <c r="F31" s="107">
        <v>13</v>
      </c>
      <c r="G31" s="107" t="s">
        <v>3538</v>
      </c>
      <c r="H31" s="107">
        <v>8</v>
      </c>
      <c r="I31" s="107" t="s">
        <v>3609</v>
      </c>
      <c r="J31" s="107">
        <v>9</v>
      </c>
      <c r="K31" s="107" t="s">
        <v>3860</v>
      </c>
      <c r="L31" s="107">
        <v>3</v>
      </c>
      <c r="M31" s="107"/>
      <c r="N31" s="107"/>
      <c r="O31" s="107" t="s">
        <v>3802</v>
      </c>
      <c r="P31" s="107">
        <v>2</v>
      </c>
      <c r="Q31" s="107"/>
      <c r="R31" s="107"/>
      <c r="S31" s="107"/>
      <c r="T31" s="107"/>
      <c r="U31" s="107"/>
      <c r="V31" s="107"/>
    </row>
    <row r="34" spans="1:22" ht="15" customHeight="1">
      <c r="A34" s="13" t="s">
        <v>4481</v>
      </c>
      <c r="B34" s="13" t="s">
        <v>4411</v>
      </c>
      <c r="C34" s="13" t="s">
        <v>4491</v>
      </c>
      <c r="D34" s="13" t="s">
        <v>4414</v>
      </c>
      <c r="E34" s="13" t="s">
        <v>4500</v>
      </c>
      <c r="F34" s="13" t="s">
        <v>4416</v>
      </c>
      <c r="G34" s="13" t="s">
        <v>4510</v>
      </c>
      <c r="H34" s="13" t="s">
        <v>4418</v>
      </c>
      <c r="I34" s="13" t="s">
        <v>4520</v>
      </c>
      <c r="J34" s="13" t="s">
        <v>4420</v>
      </c>
      <c r="K34" s="13" t="s">
        <v>4524</v>
      </c>
      <c r="L34" s="13" t="s">
        <v>4422</v>
      </c>
      <c r="M34" s="81" t="s">
        <v>4533</v>
      </c>
      <c r="N34" s="81" t="s">
        <v>4424</v>
      </c>
      <c r="O34" s="13" t="s">
        <v>4534</v>
      </c>
      <c r="P34" s="13" t="s">
        <v>4426</v>
      </c>
      <c r="Q34" s="81" t="s">
        <v>4537</v>
      </c>
      <c r="R34" s="81" t="s">
        <v>4428</v>
      </c>
      <c r="S34" s="81" t="s">
        <v>4538</v>
      </c>
      <c r="T34" s="81" t="s">
        <v>4430</v>
      </c>
      <c r="U34" s="13" t="s">
        <v>4539</v>
      </c>
      <c r="V34" s="13" t="s">
        <v>4431</v>
      </c>
    </row>
    <row r="35" spans="1:22" ht="15">
      <c r="A35" s="107" t="s">
        <v>4482</v>
      </c>
      <c r="B35" s="107">
        <v>12</v>
      </c>
      <c r="C35" s="107" t="s">
        <v>3158</v>
      </c>
      <c r="D35" s="107">
        <v>8</v>
      </c>
      <c r="E35" s="107" t="s">
        <v>4483</v>
      </c>
      <c r="F35" s="107">
        <v>10</v>
      </c>
      <c r="G35" s="107" t="s">
        <v>4511</v>
      </c>
      <c r="H35" s="107">
        <v>4</v>
      </c>
      <c r="I35" s="107" t="s">
        <v>4482</v>
      </c>
      <c r="J35" s="107">
        <v>11</v>
      </c>
      <c r="K35" s="107" t="s">
        <v>4484</v>
      </c>
      <c r="L35" s="107">
        <v>6</v>
      </c>
      <c r="M35" s="107"/>
      <c r="N35" s="107"/>
      <c r="O35" s="107" t="s">
        <v>4535</v>
      </c>
      <c r="P35" s="107">
        <v>6</v>
      </c>
      <c r="Q35" s="107"/>
      <c r="R35" s="107"/>
      <c r="S35" s="107"/>
      <c r="T35" s="107"/>
      <c r="U35" s="107" t="s">
        <v>4540</v>
      </c>
      <c r="V35" s="107">
        <v>2</v>
      </c>
    </row>
    <row r="36" spans="1:22" ht="15">
      <c r="A36" s="87" t="s">
        <v>4483</v>
      </c>
      <c r="B36" s="107">
        <v>11</v>
      </c>
      <c r="C36" s="107" t="s">
        <v>4489</v>
      </c>
      <c r="D36" s="107">
        <v>7</v>
      </c>
      <c r="E36" s="107" t="s">
        <v>4501</v>
      </c>
      <c r="F36" s="107">
        <v>5</v>
      </c>
      <c r="G36" s="107" t="s">
        <v>4484</v>
      </c>
      <c r="H36" s="107">
        <v>4</v>
      </c>
      <c r="I36" s="107" t="s">
        <v>4485</v>
      </c>
      <c r="J36" s="107">
        <v>9</v>
      </c>
      <c r="K36" s="107" t="s">
        <v>4525</v>
      </c>
      <c r="L36" s="107">
        <v>3</v>
      </c>
      <c r="M36" s="107"/>
      <c r="N36" s="107"/>
      <c r="O36" s="107" t="s">
        <v>4536</v>
      </c>
      <c r="P36" s="107">
        <v>2</v>
      </c>
      <c r="Q36" s="107"/>
      <c r="R36" s="107"/>
      <c r="S36" s="107"/>
      <c r="T36" s="107"/>
      <c r="U36" s="107"/>
      <c r="V36" s="107"/>
    </row>
    <row r="37" spans="1:22" ht="15">
      <c r="A37" s="87" t="s">
        <v>4484</v>
      </c>
      <c r="B37" s="107">
        <v>11</v>
      </c>
      <c r="C37" s="107" t="s">
        <v>4492</v>
      </c>
      <c r="D37" s="107">
        <v>5</v>
      </c>
      <c r="E37" s="107" t="s">
        <v>4502</v>
      </c>
      <c r="F37" s="107">
        <v>2</v>
      </c>
      <c r="G37" s="107" t="s">
        <v>4512</v>
      </c>
      <c r="H37" s="107">
        <v>3</v>
      </c>
      <c r="I37" s="107" t="s">
        <v>4486</v>
      </c>
      <c r="J37" s="107">
        <v>9</v>
      </c>
      <c r="K37" s="107" t="s">
        <v>4526</v>
      </c>
      <c r="L37" s="107">
        <v>3</v>
      </c>
      <c r="M37" s="107"/>
      <c r="N37" s="107"/>
      <c r="O37" s="107"/>
      <c r="P37" s="107"/>
      <c r="Q37" s="107"/>
      <c r="R37" s="107"/>
      <c r="S37" s="107"/>
      <c r="T37" s="107"/>
      <c r="U37" s="107"/>
      <c r="V37" s="107"/>
    </row>
    <row r="38" spans="1:22" ht="15">
      <c r="A38" s="87" t="s">
        <v>4485</v>
      </c>
      <c r="B38" s="107">
        <v>9</v>
      </c>
      <c r="C38" s="107" t="s">
        <v>4493</v>
      </c>
      <c r="D38" s="107">
        <v>4</v>
      </c>
      <c r="E38" s="107" t="s">
        <v>4503</v>
      </c>
      <c r="F38" s="107">
        <v>2</v>
      </c>
      <c r="G38" s="107" t="s">
        <v>4513</v>
      </c>
      <c r="H38" s="107">
        <v>3</v>
      </c>
      <c r="I38" s="107" t="s">
        <v>4487</v>
      </c>
      <c r="J38" s="107">
        <v>7</v>
      </c>
      <c r="K38" s="107" t="s">
        <v>4527</v>
      </c>
      <c r="L38" s="107">
        <v>2</v>
      </c>
      <c r="M38" s="107"/>
      <c r="N38" s="107"/>
      <c r="O38" s="107"/>
      <c r="P38" s="107"/>
      <c r="Q38" s="107"/>
      <c r="R38" s="107"/>
      <c r="S38" s="107"/>
      <c r="T38" s="107"/>
      <c r="U38" s="107"/>
      <c r="V38" s="107"/>
    </row>
    <row r="39" spans="1:22" ht="15">
      <c r="A39" s="87" t="s">
        <v>4486</v>
      </c>
      <c r="B39" s="107">
        <v>9</v>
      </c>
      <c r="C39" s="107" t="s">
        <v>4494</v>
      </c>
      <c r="D39" s="107">
        <v>3</v>
      </c>
      <c r="E39" s="107" t="s">
        <v>4504</v>
      </c>
      <c r="F39" s="107">
        <v>2</v>
      </c>
      <c r="G39" s="107" t="s">
        <v>4514</v>
      </c>
      <c r="H39" s="107">
        <v>2</v>
      </c>
      <c r="I39" s="107" t="s">
        <v>4488</v>
      </c>
      <c r="J39" s="107">
        <v>7</v>
      </c>
      <c r="K39" s="107" t="s">
        <v>4528</v>
      </c>
      <c r="L39" s="107">
        <v>2</v>
      </c>
      <c r="M39" s="107"/>
      <c r="N39" s="107"/>
      <c r="O39" s="107"/>
      <c r="P39" s="107"/>
      <c r="Q39" s="107"/>
      <c r="R39" s="107"/>
      <c r="S39" s="107"/>
      <c r="T39" s="107"/>
      <c r="U39" s="107"/>
      <c r="V39" s="107"/>
    </row>
    <row r="40" spans="1:22" ht="15">
      <c r="A40" s="87" t="s">
        <v>3158</v>
      </c>
      <c r="B40" s="107">
        <v>8</v>
      </c>
      <c r="C40" s="107" t="s">
        <v>4495</v>
      </c>
      <c r="D40" s="107">
        <v>3</v>
      </c>
      <c r="E40" s="107" t="s">
        <v>4505</v>
      </c>
      <c r="F40" s="107">
        <v>2</v>
      </c>
      <c r="G40" s="107" t="s">
        <v>4515</v>
      </c>
      <c r="H40" s="107">
        <v>2</v>
      </c>
      <c r="I40" s="107" t="s">
        <v>4521</v>
      </c>
      <c r="J40" s="107">
        <v>6</v>
      </c>
      <c r="K40" s="107" t="s">
        <v>4529</v>
      </c>
      <c r="L40" s="107">
        <v>2</v>
      </c>
      <c r="M40" s="107"/>
      <c r="N40" s="107"/>
      <c r="O40" s="107"/>
      <c r="P40" s="107"/>
      <c r="Q40" s="107"/>
      <c r="R40" s="107"/>
      <c r="S40" s="107"/>
      <c r="T40" s="107"/>
      <c r="U40" s="107"/>
      <c r="V40" s="107"/>
    </row>
    <row r="41" spans="1:22" ht="15">
      <c r="A41" s="87" t="s">
        <v>4487</v>
      </c>
      <c r="B41" s="107">
        <v>8</v>
      </c>
      <c r="C41" s="107" t="s">
        <v>4496</v>
      </c>
      <c r="D41" s="107">
        <v>3</v>
      </c>
      <c r="E41" s="107" t="s">
        <v>4506</v>
      </c>
      <c r="F41" s="107">
        <v>2</v>
      </c>
      <c r="G41" s="107" t="s">
        <v>4516</v>
      </c>
      <c r="H41" s="107">
        <v>2</v>
      </c>
      <c r="I41" s="107" t="s">
        <v>4490</v>
      </c>
      <c r="J41" s="107">
        <v>5</v>
      </c>
      <c r="K41" s="107" t="s">
        <v>4530</v>
      </c>
      <c r="L41" s="107">
        <v>2</v>
      </c>
      <c r="M41" s="107"/>
      <c r="N41" s="107"/>
      <c r="O41" s="107"/>
      <c r="P41" s="107"/>
      <c r="Q41" s="107"/>
      <c r="R41" s="107"/>
      <c r="S41" s="107"/>
      <c r="T41" s="107"/>
      <c r="U41" s="107"/>
      <c r="V41" s="107"/>
    </row>
    <row r="42" spans="1:22" ht="15">
      <c r="A42" s="87" t="s">
        <v>4488</v>
      </c>
      <c r="B42" s="107">
        <v>7</v>
      </c>
      <c r="C42" s="107" t="s">
        <v>4497</v>
      </c>
      <c r="D42" s="107">
        <v>3</v>
      </c>
      <c r="E42" s="107" t="s">
        <v>4507</v>
      </c>
      <c r="F42" s="107">
        <v>2</v>
      </c>
      <c r="G42" s="107" t="s">
        <v>4517</v>
      </c>
      <c r="H42" s="107">
        <v>2</v>
      </c>
      <c r="I42" s="107" t="s">
        <v>4522</v>
      </c>
      <c r="J42" s="107">
        <v>3</v>
      </c>
      <c r="K42" s="107" t="s">
        <v>4531</v>
      </c>
      <c r="L42" s="107">
        <v>2</v>
      </c>
      <c r="M42" s="107"/>
      <c r="N42" s="107"/>
      <c r="O42" s="107"/>
      <c r="P42" s="107"/>
      <c r="Q42" s="107"/>
      <c r="R42" s="107"/>
      <c r="S42" s="107"/>
      <c r="T42" s="107"/>
      <c r="U42" s="107"/>
      <c r="V42" s="107"/>
    </row>
    <row r="43" spans="1:22" ht="15">
      <c r="A43" s="87" t="s">
        <v>4489</v>
      </c>
      <c r="B43" s="107">
        <v>7</v>
      </c>
      <c r="C43" s="107" t="s">
        <v>4498</v>
      </c>
      <c r="D43" s="107">
        <v>3</v>
      </c>
      <c r="E43" s="107" t="s">
        <v>4508</v>
      </c>
      <c r="F43" s="107">
        <v>2</v>
      </c>
      <c r="G43" s="107" t="s">
        <v>4518</v>
      </c>
      <c r="H43" s="107">
        <v>2</v>
      </c>
      <c r="I43" s="107" t="s">
        <v>3154</v>
      </c>
      <c r="J43" s="107">
        <v>3</v>
      </c>
      <c r="K43" s="107" t="s">
        <v>4490</v>
      </c>
      <c r="L43" s="107">
        <v>2</v>
      </c>
      <c r="M43" s="107"/>
      <c r="N43" s="107"/>
      <c r="O43" s="107"/>
      <c r="P43" s="107"/>
      <c r="Q43" s="107"/>
      <c r="R43" s="107"/>
      <c r="S43" s="107"/>
      <c r="T43" s="107"/>
      <c r="U43" s="107"/>
      <c r="V43" s="107"/>
    </row>
    <row r="44" spans="1:22" ht="15">
      <c r="A44" s="87" t="s">
        <v>4490</v>
      </c>
      <c r="B44" s="107">
        <v>7</v>
      </c>
      <c r="C44" s="107" t="s">
        <v>4499</v>
      </c>
      <c r="D44" s="107">
        <v>2</v>
      </c>
      <c r="E44" s="107" t="s">
        <v>4509</v>
      </c>
      <c r="F44" s="107">
        <v>2</v>
      </c>
      <c r="G44" s="107" t="s">
        <v>4519</v>
      </c>
      <c r="H44" s="107">
        <v>2</v>
      </c>
      <c r="I44" s="107" t="s">
        <v>4523</v>
      </c>
      <c r="J44" s="107">
        <v>3</v>
      </c>
      <c r="K44" s="107" t="s">
        <v>4532</v>
      </c>
      <c r="L44" s="107">
        <v>2</v>
      </c>
      <c r="M44" s="107"/>
      <c r="N44" s="107"/>
      <c r="O44" s="107"/>
      <c r="P44" s="107"/>
      <c r="Q44" s="107"/>
      <c r="R44" s="107"/>
      <c r="S44" s="107"/>
      <c r="T44" s="107"/>
      <c r="U44" s="107"/>
      <c r="V44" s="107"/>
    </row>
  </sheetData>
  <hyperlinks>
    <hyperlink ref="A2" r:id="rId1" display="https://youtu.be/oTccIyHjxVU"/>
    <hyperlink ref="A3" r:id="rId2" display="https://www.youtube.com/watch?v=QNvu01OGv-Y&amp;amp;t=6m11s"/>
    <hyperlink ref="A4" r:id="rId3" display="http://my.call/"/>
    <hyperlink ref="A5" r:id="rId4" display="http://is.my/"/>
    <hyperlink ref="A6" r:id="rId5" display="http://them.in/"/>
    <hyperlink ref="A7" r:id="rId6" display="https://www.youtube.com/watch?v=Q-YZD2u1mO8&amp;amp;t=49m00s"/>
    <hyperlink ref="C2" r:id="rId7" display="https://youtu.be/oTccIyHjxVU"/>
    <hyperlink ref="E2" r:id="rId8" display="https://www.youtube.com/watch?v=QNvu01OGv-Y&amp;amp;t=6m11s"/>
    <hyperlink ref="G2" r:id="rId9" display="https://www.youtube.com/watch?v=Q-YZD2u1mO8&amp;amp;t=49m00s"/>
    <hyperlink ref="O2" r:id="rId10" display="http://my.call/"/>
    <hyperlink ref="O3" r:id="rId11" display="http://is.my/"/>
    <hyperlink ref="O4" r:id="rId12" display="http://them.in/"/>
  </hyperlinks>
  <printOptions/>
  <pageMargins left="0.7" right="0.7" top="0.75" bottom="0.75" header="0.3" footer="0.3"/>
  <pageSetup orientation="portrait" paperSize="9"/>
  <tableParts>
    <tablePart r:id="rId16"/>
    <tablePart r:id="rId15"/>
    <tablePart r:id="rId17"/>
    <tablePart r:id="rId14"/>
    <tablePart r:id="rId1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5A61F-5454-400F-B0CB-90EA887B5C7C}">
  <dimension ref="A25:B216"/>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6" t="s">
        <v>4597</v>
      </c>
      <c r="B25" t="s">
        <v>4596</v>
      </c>
    </row>
    <row r="26" spans="1:2" ht="15">
      <c r="A26" s="117" t="s">
        <v>4599</v>
      </c>
      <c r="B26" s="3">
        <v>143</v>
      </c>
    </row>
    <row r="27" spans="1:2" ht="15">
      <c r="A27" s="118" t="s">
        <v>4600</v>
      </c>
      <c r="B27" s="3">
        <v>92</v>
      </c>
    </row>
    <row r="28" spans="1:2" ht="15">
      <c r="A28" s="119" t="s">
        <v>4601</v>
      </c>
      <c r="B28" s="3">
        <v>56</v>
      </c>
    </row>
    <row r="29" spans="1:2" ht="15">
      <c r="A29" s="119" t="s">
        <v>4602</v>
      </c>
      <c r="B29" s="3">
        <v>20</v>
      </c>
    </row>
    <row r="30" spans="1:2" ht="15">
      <c r="A30" s="119" t="s">
        <v>4603</v>
      </c>
      <c r="B30" s="3">
        <v>10</v>
      </c>
    </row>
    <row r="31" spans="1:2" ht="15">
      <c r="A31" s="119" t="s">
        <v>4604</v>
      </c>
      <c r="B31" s="3">
        <v>2</v>
      </c>
    </row>
    <row r="32" spans="1:2" ht="15">
      <c r="A32" s="119" t="s">
        <v>4605</v>
      </c>
      <c r="B32" s="3">
        <v>2</v>
      </c>
    </row>
    <row r="33" spans="1:2" ht="15">
      <c r="A33" s="119" t="s">
        <v>4606</v>
      </c>
      <c r="B33" s="3">
        <v>2</v>
      </c>
    </row>
    <row r="34" spans="1:2" ht="15">
      <c r="A34" s="118" t="s">
        <v>4607</v>
      </c>
      <c r="B34" s="3">
        <v>47</v>
      </c>
    </row>
    <row r="35" spans="1:2" ht="15">
      <c r="A35" s="119" t="s">
        <v>4608</v>
      </c>
      <c r="B35" s="3">
        <v>6</v>
      </c>
    </row>
    <row r="36" spans="1:2" ht="15">
      <c r="A36" s="119" t="s">
        <v>4609</v>
      </c>
      <c r="B36" s="3">
        <v>3</v>
      </c>
    </row>
    <row r="37" spans="1:2" ht="15">
      <c r="A37" s="119" t="s">
        <v>4610</v>
      </c>
      <c r="B37" s="3">
        <v>1</v>
      </c>
    </row>
    <row r="38" spans="1:2" ht="15">
      <c r="A38" s="119" t="s">
        <v>4611</v>
      </c>
      <c r="B38" s="3">
        <v>2</v>
      </c>
    </row>
    <row r="39" spans="1:2" ht="15">
      <c r="A39" s="119" t="s">
        <v>4612</v>
      </c>
      <c r="B39" s="3">
        <v>1</v>
      </c>
    </row>
    <row r="40" spans="1:2" ht="15">
      <c r="A40" s="119" t="s">
        <v>4613</v>
      </c>
      <c r="B40" s="3">
        <v>2</v>
      </c>
    </row>
    <row r="41" spans="1:2" ht="15">
      <c r="A41" s="119" t="s">
        <v>4614</v>
      </c>
      <c r="B41" s="3">
        <v>3</v>
      </c>
    </row>
    <row r="42" spans="1:2" ht="15">
      <c r="A42" s="119" t="s">
        <v>4615</v>
      </c>
      <c r="B42" s="3">
        <v>4</v>
      </c>
    </row>
    <row r="43" spans="1:2" ht="15">
      <c r="A43" s="119" t="s">
        <v>4616</v>
      </c>
      <c r="B43" s="3">
        <v>5</v>
      </c>
    </row>
    <row r="44" spans="1:2" ht="15">
      <c r="A44" s="119" t="s">
        <v>4617</v>
      </c>
      <c r="B44" s="3">
        <v>2</v>
      </c>
    </row>
    <row r="45" spans="1:2" ht="15">
      <c r="A45" s="119" t="s">
        <v>4618</v>
      </c>
      <c r="B45" s="3">
        <v>2</v>
      </c>
    </row>
    <row r="46" spans="1:2" ht="15">
      <c r="A46" s="119" t="s">
        <v>4619</v>
      </c>
      <c r="B46" s="3">
        <v>2</v>
      </c>
    </row>
    <row r="47" spans="1:2" ht="15">
      <c r="A47" s="119" t="s">
        <v>4620</v>
      </c>
      <c r="B47" s="3">
        <v>2</v>
      </c>
    </row>
    <row r="48" spans="1:2" ht="15">
      <c r="A48" s="119" t="s">
        <v>4621</v>
      </c>
      <c r="B48" s="3">
        <v>2</v>
      </c>
    </row>
    <row r="49" spans="1:2" ht="15">
      <c r="A49" s="119" t="s">
        <v>4622</v>
      </c>
      <c r="B49" s="3">
        <v>1</v>
      </c>
    </row>
    <row r="50" spans="1:2" ht="15">
      <c r="A50" s="119" t="s">
        <v>4623</v>
      </c>
      <c r="B50" s="3">
        <v>3</v>
      </c>
    </row>
    <row r="51" spans="1:2" ht="15">
      <c r="A51" s="119" t="s">
        <v>4624</v>
      </c>
      <c r="B51" s="3">
        <v>1</v>
      </c>
    </row>
    <row r="52" spans="1:2" ht="15">
      <c r="A52" s="119" t="s">
        <v>4625</v>
      </c>
      <c r="B52" s="3">
        <v>1</v>
      </c>
    </row>
    <row r="53" spans="1:2" ht="15">
      <c r="A53" s="119" t="s">
        <v>4626</v>
      </c>
      <c r="B53" s="3">
        <v>1</v>
      </c>
    </row>
    <row r="54" spans="1:2" ht="15">
      <c r="A54" s="119" t="s">
        <v>4627</v>
      </c>
      <c r="B54" s="3">
        <v>2</v>
      </c>
    </row>
    <row r="55" spans="1:2" ht="15">
      <c r="A55" s="119" t="s">
        <v>4628</v>
      </c>
      <c r="B55" s="3">
        <v>1</v>
      </c>
    </row>
    <row r="56" spans="1:2" ht="15">
      <c r="A56" s="118" t="s">
        <v>4629</v>
      </c>
      <c r="B56" s="3">
        <v>1</v>
      </c>
    </row>
    <row r="57" spans="1:2" ht="15">
      <c r="A57" s="119" t="s">
        <v>4630</v>
      </c>
      <c r="B57" s="3">
        <v>1</v>
      </c>
    </row>
    <row r="58" spans="1:2" ht="15">
      <c r="A58" s="118" t="s">
        <v>4631</v>
      </c>
      <c r="B58" s="3">
        <v>3</v>
      </c>
    </row>
    <row r="59" spans="1:2" ht="15">
      <c r="A59" s="119" t="s">
        <v>4632</v>
      </c>
      <c r="B59" s="3">
        <v>1</v>
      </c>
    </row>
    <row r="60" spans="1:2" ht="15">
      <c r="A60" s="119" t="s">
        <v>4633</v>
      </c>
      <c r="B60" s="3">
        <v>1</v>
      </c>
    </row>
    <row r="61" spans="1:2" ht="15">
      <c r="A61" s="119" t="s">
        <v>4634</v>
      </c>
      <c r="B61" s="3">
        <v>1</v>
      </c>
    </row>
    <row r="62" spans="1:2" ht="15">
      <c r="A62" s="117" t="s">
        <v>4635</v>
      </c>
      <c r="B62" s="3">
        <v>408</v>
      </c>
    </row>
    <row r="63" spans="1:2" ht="15">
      <c r="A63" s="118" t="s">
        <v>4636</v>
      </c>
      <c r="B63" s="3">
        <v>15</v>
      </c>
    </row>
    <row r="64" spans="1:2" ht="15">
      <c r="A64" s="119" t="s">
        <v>4637</v>
      </c>
      <c r="B64" s="3">
        <v>2</v>
      </c>
    </row>
    <row r="65" spans="1:2" ht="15">
      <c r="A65" s="119" t="s">
        <v>4638</v>
      </c>
      <c r="B65" s="3">
        <v>2</v>
      </c>
    </row>
    <row r="66" spans="1:2" ht="15">
      <c r="A66" s="119" t="s">
        <v>4639</v>
      </c>
      <c r="B66" s="3">
        <v>1</v>
      </c>
    </row>
    <row r="67" spans="1:2" ht="15">
      <c r="A67" s="119" t="s">
        <v>4640</v>
      </c>
      <c r="B67" s="3">
        <v>3</v>
      </c>
    </row>
    <row r="68" spans="1:2" ht="15">
      <c r="A68" s="119" t="s">
        <v>4641</v>
      </c>
      <c r="B68" s="3">
        <v>2</v>
      </c>
    </row>
    <row r="69" spans="1:2" ht="15">
      <c r="A69" s="119" t="s">
        <v>4642</v>
      </c>
      <c r="B69" s="3">
        <v>1</v>
      </c>
    </row>
    <row r="70" spans="1:2" ht="15">
      <c r="A70" s="119" t="s">
        <v>4643</v>
      </c>
      <c r="B70" s="3">
        <v>1</v>
      </c>
    </row>
    <row r="71" spans="1:2" ht="15">
      <c r="A71" s="119" t="s">
        <v>4644</v>
      </c>
      <c r="B71" s="3">
        <v>1</v>
      </c>
    </row>
    <row r="72" spans="1:2" ht="15">
      <c r="A72" s="119" t="s">
        <v>4645</v>
      </c>
      <c r="B72" s="3">
        <v>2</v>
      </c>
    </row>
    <row r="73" spans="1:2" ht="15">
      <c r="A73" s="118" t="s">
        <v>4646</v>
      </c>
      <c r="B73" s="3">
        <v>34</v>
      </c>
    </row>
    <row r="74" spans="1:2" ht="15">
      <c r="A74" s="119" t="s">
        <v>4647</v>
      </c>
      <c r="B74" s="3">
        <v>1</v>
      </c>
    </row>
    <row r="75" spans="1:2" ht="15">
      <c r="A75" s="119" t="s">
        <v>4648</v>
      </c>
      <c r="B75" s="3">
        <v>1</v>
      </c>
    </row>
    <row r="76" spans="1:2" ht="15">
      <c r="A76" s="119" t="s">
        <v>4649</v>
      </c>
      <c r="B76" s="3">
        <v>1</v>
      </c>
    </row>
    <row r="77" spans="1:2" ht="15">
      <c r="A77" s="119" t="s">
        <v>4650</v>
      </c>
      <c r="B77" s="3">
        <v>1</v>
      </c>
    </row>
    <row r="78" spans="1:2" ht="15">
      <c r="A78" s="119" t="s">
        <v>4651</v>
      </c>
      <c r="B78" s="3">
        <v>1</v>
      </c>
    </row>
    <row r="79" spans="1:2" ht="15">
      <c r="A79" s="119" t="s">
        <v>4652</v>
      </c>
      <c r="B79" s="3">
        <v>2</v>
      </c>
    </row>
    <row r="80" spans="1:2" ht="15">
      <c r="A80" s="119" t="s">
        <v>4653</v>
      </c>
      <c r="B80" s="3">
        <v>2</v>
      </c>
    </row>
    <row r="81" spans="1:2" ht="15">
      <c r="A81" s="119" t="s">
        <v>4654</v>
      </c>
      <c r="B81" s="3">
        <v>2</v>
      </c>
    </row>
    <row r="82" spans="1:2" ht="15">
      <c r="A82" s="119" t="s">
        <v>4655</v>
      </c>
      <c r="B82" s="3">
        <v>2</v>
      </c>
    </row>
    <row r="83" spans="1:2" ht="15">
      <c r="A83" s="119" t="s">
        <v>4656</v>
      </c>
      <c r="B83" s="3">
        <v>7</v>
      </c>
    </row>
    <row r="84" spans="1:2" ht="15">
      <c r="A84" s="119" t="s">
        <v>4657</v>
      </c>
      <c r="B84" s="3">
        <v>2</v>
      </c>
    </row>
    <row r="85" spans="1:2" ht="15">
      <c r="A85" s="119" t="s">
        <v>4658</v>
      </c>
      <c r="B85" s="3">
        <v>4</v>
      </c>
    </row>
    <row r="86" spans="1:2" ht="15">
      <c r="A86" s="119" t="s">
        <v>4659</v>
      </c>
      <c r="B86" s="3">
        <v>6</v>
      </c>
    </row>
    <row r="87" spans="1:2" ht="15">
      <c r="A87" s="119" t="s">
        <v>4660</v>
      </c>
      <c r="B87" s="3">
        <v>1</v>
      </c>
    </row>
    <row r="88" spans="1:2" ht="15">
      <c r="A88" s="119" t="s">
        <v>4661</v>
      </c>
      <c r="B88" s="3">
        <v>1</v>
      </c>
    </row>
    <row r="89" spans="1:2" ht="15">
      <c r="A89" s="118" t="s">
        <v>4662</v>
      </c>
      <c r="B89" s="3">
        <v>52</v>
      </c>
    </row>
    <row r="90" spans="1:2" ht="15">
      <c r="A90" s="119" t="s">
        <v>4663</v>
      </c>
      <c r="B90" s="3">
        <v>2</v>
      </c>
    </row>
    <row r="91" spans="1:2" ht="15">
      <c r="A91" s="119" t="s">
        <v>4664</v>
      </c>
      <c r="B91" s="3">
        <v>3</v>
      </c>
    </row>
    <row r="92" spans="1:2" ht="15">
      <c r="A92" s="119" t="s">
        <v>4665</v>
      </c>
      <c r="B92" s="3">
        <v>1</v>
      </c>
    </row>
    <row r="93" spans="1:2" ht="15">
      <c r="A93" s="119" t="s">
        <v>4666</v>
      </c>
      <c r="B93" s="3">
        <v>2</v>
      </c>
    </row>
    <row r="94" spans="1:2" ht="15">
      <c r="A94" s="119" t="s">
        <v>4667</v>
      </c>
      <c r="B94" s="3">
        <v>6</v>
      </c>
    </row>
    <row r="95" spans="1:2" ht="15">
      <c r="A95" s="119" t="s">
        <v>4668</v>
      </c>
      <c r="B95" s="3">
        <v>2</v>
      </c>
    </row>
    <row r="96" spans="1:2" ht="15">
      <c r="A96" s="119" t="s">
        <v>4669</v>
      </c>
      <c r="B96" s="3">
        <v>4</v>
      </c>
    </row>
    <row r="97" spans="1:2" ht="15">
      <c r="A97" s="119" t="s">
        <v>4670</v>
      </c>
      <c r="B97" s="3">
        <v>5</v>
      </c>
    </row>
    <row r="98" spans="1:2" ht="15">
      <c r="A98" s="119" t="s">
        <v>4671</v>
      </c>
      <c r="B98" s="3">
        <v>7</v>
      </c>
    </row>
    <row r="99" spans="1:2" ht="15">
      <c r="A99" s="119" t="s">
        <v>4672</v>
      </c>
      <c r="B99" s="3">
        <v>6</v>
      </c>
    </row>
    <row r="100" spans="1:2" ht="15">
      <c r="A100" s="119" t="s">
        <v>4673</v>
      </c>
      <c r="B100" s="3">
        <v>1</v>
      </c>
    </row>
    <row r="101" spans="1:2" ht="15">
      <c r="A101" s="119" t="s">
        <v>4674</v>
      </c>
      <c r="B101" s="3">
        <v>1</v>
      </c>
    </row>
    <row r="102" spans="1:2" ht="15">
      <c r="A102" s="119" t="s">
        <v>4675</v>
      </c>
      <c r="B102" s="3">
        <v>1</v>
      </c>
    </row>
    <row r="103" spans="1:2" ht="15">
      <c r="A103" s="119" t="s">
        <v>4676</v>
      </c>
      <c r="B103" s="3">
        <v>1</v>
      </c>
    </row>
    <row r="104" spans="1:2" ht="15">
      <c r="A104" s="119" t="s">
        <v>4677</v>
      </c>
      <c r="B104" s="3">
        <v>2</v>
      </c>
    </row>
    <row r="105" spans="1:2" ht="15">
      <c r="A105" s="119" t="s">
        <v>4678</v>
      </c>
      <c r="B105" s="3">
        <v>2</v>
      </c>
    </row>
    <row r="106" spans="1:2" ht="15">
      <c r="A106" s="119" t="s">
        <v>4679</v>
      </c>
      <c r="B106" s="3">
        <v>2</v>
      </c>
    </row>
    <row r="107" spans="1:2" ht="15">
      <c r="A107" s="119" t="s">
        <v>4680</v>
      </c>
      <c r="B107" s="3">
        <v>2</v>
      </c>
    </row>
    <row r="108" spans="1:2" ht="15">
      <c r="A108" s="119" t="s">
        <v>4681</v>
      </c>
      <c r="B108" s="3">
        <v>1</v>
      </c>
    </row>
    <row r="109" spans="1:2" ht="15">
      <c r="A109" s="119" t="s">
        <v>4682</v>
      </c>
      <c r="B109" s="3">
        <v>1</v>
      </c>
    </row>
    <row r="110" spans="1:2" ht="15">
      <c r="A110" s="118" t="s">
        <v>4683</v>
      </c>
      <c r="B110" s="3">
        <v>12</v>
      </c>
    </row>
    <row r="111" spans="1:2" ht="15">
      <c r="A111" s="119" t="s">
        <v>4684</v>
      </c>
      <c r="B111" s="3">
        <v>1</v>
      </c>
    </row>
    <row r="112" spans="1:2" ht="15">
      <c r="A112" s="119" t="s">
        <v>4685</v>
      </c>
      <c r="B112" s="3">
        <v>1</v>
      </c>
    </row>
    <row r="113" spans="1:2" ht="15">
      <c r="A113" s="119" t="s">
        <v>4686</v>
      </c>
      <c r="B113" s="3">
        <v>1</v>
      </c>
    </row>
    <row r="114" spans="1:2" ht="15">
      <c r="A114" s="119" t="s">
        <v>4687</v>
      </c>
      <c r="B114" s="3">
        <v>1</v>
      </c>
    </row>
    <row r="115" spans="1:2" ht="15">
      <c r="A115" s="119" t="s">
        <v>4688</v>
      </c>
      <c r="B115" s="3">
        <v>1</v>
      </c>
    </row>
    <row r="116" spans="1:2" ht="15">
      <c r="A116" s="119" t="s">
        <v>4689</v>
      </c>
      <c r="B116" s="3">
        <v>1</v>
      </c>
    </row>
    <row r="117" spans="1:2" ht="15">
      <c r="A117" s="119" t="s">
        <v>4690</v>
      </c>
      <c r="B117" s="3">
        <v>1</v>
      </c>
    </row>
    <row r="118" spans="1:2" ht="15">
      <c r="A118" s="119" t="s">
        <v>4691</v>
      </c>
      <c r="B118" s="3">
        <v>1</v>
      </c>
    </row>
    <row r="119" spans="1:2" ht="15">
      <c r="A119" s="119" t="s">
        <v>4692</v>
      </c>
      <c r="B119" s="3">
        <v>1</v>
      </c>
    </row>
    <row r="120" spans="1:2" ht="15">
      <c r="A120" s="119" t="s">
        <v>4693</v>
      </c>
      <c r="B120" s="3">
        <v>1</v>
      </c>
    </row>
    <row r="121" spans="1:2" ht="15">
      <c r="A121" s="119" t="s">
        <v>4694</v>
      </c>
      <c r="B121" s="3">
        <v>1</v>
      </c>
    </row>
    <row r="122" spans="1:2" ht="15">
      <c r="A122" s="119" t="s">
        <v>4695</v>
      </c>
      <c r="B122" s="3">
        <v>1</v>
      </c>
    </row>
    <row r="123" spans="1:2" ht="15">
      <c r="A123" s="118" t="s">
        <v>4696</v>
      </c>
      <c r="B123" s="3">
        <v>21</v>
      </c>
    </row>
    <row r="124" spans="1:2" ht="15">
      <c r="A124" s="119" t="s">
        <v>4697</v>
      </c>
      <c r="B124" s="3">
        <v>2</v>
      </c>
    </row>
    <row r="125" spans="1:2" ht="15">
      <c r="A125" s="119" t="s">
        <v>4698</v>
      </c>
      <c r="B125" s="3">
        <v>1</v>
      </c>
    </row>
    <row r="126" spans="1:2" ht="15">
      <c r="A126" s="119" t="s">
        <v>4699</v>
      </c>
      <c r="B126" s="3">
        <v>1</v>
      </c>
    </row>
    <row r="127" spans="1:2" ht="15">
      <c r="A127" s="119" t="s">
        <v>4700</v>
      </c>
      <c r="B127" s="3">
        <v>1</v>
      </c>
    </row>
    <row r="128" spans="1:2" ht="15">
      <c r="A128" s="119" t="s">
        <v>4701</v>
      </c>
      <c r="B128" s="3">
        <v>2</v>
      </c>
    </row>
    <row r="129" spans="1:2" ht="15">
      <c r="A129" s="119" t="s">
        <v>4702</v>
      </c>
      <c r="B129" s="3">
        <v>1</v>
      </c>
    </row>
    <row r="130" spans="1:2" ht="15">
      <c r="A130" s="119" t="s">
        <v>4703</v>
      </c>
      <c r="B130" s="3">
        <v>1</v>
      </c>
    </row>
    <row r="131" spans="1:2" ht="15">
      <c r="A131" s="119" t="s">
        <v>4704</v>
      </c>
      <c r="B131" s="3">
        <v>2</v>
      </c>
    </row>
    <row r="132" spans="1:2" ht="15">
      <c r="A132" s="119" t="s">
        <v>4705</v>
      </c>
      <c r="B132" s="3">
        <v>1</v>
      </c>
    </row>
    <row r="133" spans="1:2" ht="15">
      <c r="A133" s="119" t="s">
        <v>4706</v>
      </c>
      <c r="B133" s="3">
        <v>2</v>
      </c>
    </row>
    <row r="134" spans="1:2" ht="15">
      <c r="A134" s="119" t="s">
        <v>4707</v>
      </c>
      <c r="B134" s="3">
        <v>1</v>
      </c>
    </row>
    <row r="135" spans="1:2" ht="15">
      <c r="A135" s="119" t="s">
        <v>4708</v>
      </c>
      <c r="B135" s="3">
        <v>1</v>
      </c>
    </row>
    <row r="136" spans="1:2" ht="15">
      <c r="A136" s="119" t="s">
        <v>4709</v>
      </c>
      <c r="B136" s="3">
        <v>1</v>
      </c>
    </row>
    <row r="137" spans="1:2" ht="15">
      <c r="A137" s="119" t="s">
        <v>4710</v>
      </c>
      <c r="B137" s="3">
        <v>1</v>
      </c>
    </row>
    <row r="138" spans="1:2" ht="15">
      <c r="A138" s="119" t="s">
        <v>4711</v>
      </c>
      <c r="B138" s="3">
        <v>1</v>
      </c>
    </row>
    <row r="139" spans="1:2" ht="15">
      <c r="A139" s="119" t="s">
        <v>4712</v>
      </c>
      <c r="B139" s="3">
        <v>1</v>
      </c>
    </row>
    <row r="140" spans="1:2" ht="15">
      <c r="A140" s="119" t="s">
        <v>4713</v>
      </c>
      <c r="B140" s="3">
        <v>1</v>
      </c>
    </row>
    <row r="141" spans="1:2" ht="15">
      <c r="A141" s="118" t="s">
        <v>4714</v>
      </c>
      <c r="B141" s="3">
        <v>28</v>
      </c>
    </row>
    <row r="142" spans="1:2" ht="15">
      <c r="A142" s="119" t="s">
        <v>4715</v>
      </c>
      <c r="B142" s="3">
        <v>2</v>
      </c>
    </row>
    <row r="143" spans="1:2" ht="15">
      <c r="A143" s="119" t="s">
        <v>4716</v>
      </c>
      <c r="B143" s="3">
        <v>2</v>
      </c>
    </row>
    <row r="144" spans="1:2" ht="15">
      <c r="A144" s="119" t="s">
        <v>4717</v>
      </c>
      <c r="B144" s="3">
        <v>1</v>
      </c>
    </row>
    <row r="145" spans="1:2" ht="15">
      <c r="A145" s="119" t="s">
        <v>4718</v>
      </c>
      <c r="B145" s="3">
        <v>3</v>
      </c>
    </row>
    <row r="146" spans="1:2" ht="15">
      <c r="A146" s="119" t="s">
        <v>4719</v>
      </c>
      <c r="B146" s="3">
        <v>2</v>
      </c>
    </row>
    <row r="147" spans="1:2" ht="15">
      <c r="A147" s="119" t="s">
        <v>4720</v>
      </c>
      <c r="B147" s="3">
        <v>1</v>
      </c>
    </row>
    <row r="148" spans="1:2" ht="15">
      <c r="A148" s="119" t="s">
        <v>4721</v>
      </c>
      <c r="B148" s="3">
        <v>1</v>
      </c>
    </row>
    <row r="149" spans="1:2" ht="15">
      <c r="A149" s="119" t="s">
        <v>4722</v>
      </c>
      <c r="B149" s="3">
        <v>1</v>
      </c>
    </row>
    <row r="150" spans="1:2" ht="15">
      <c r="A150" s="119" t="s">
        <v>4723</v>
      </c>
      <c r="B150" s="3">
        <v>5</v>
      </c>
    </row>
    <row r="151" spans="1:2" ht="15">
      <c r="A151" s="119" t="s">
        <v>4724</v>
      </c>
      <c r="B151" s="3">
        <v>2</v>
      </c>
    </row>
    <row r="152" spans="1:2" ht="15">
      <c r="A152" s="119" t="s">
        <v>4725</v>
      </c>
      <c r="B152" s="3">
        <v>1</v>
      </c>
    </row>
    <row r="153" spans="1:2" ht="15">
      <c r="A153" s="119" t="s">
        <v>4726</v>
      </c>
      <c r="B153" s="3">
        <v>2</v>
      </c>
    </row>
    <row r="154" spans="1:2" ht="15">
      <c r="A154" s="119" t="s">
        <v>4727</v>
      </c>
      <c r="B154" s="3">
        <v>3</v>
      </c>
    </row>
    <row r="155" spans="1:2" ht="15">
      <c r="A155" s="119" t="s">
        <v>4728</v>
      </c>
      <c r="B155" s="3">
        <v>1</v>
      </c>
    </row>
    <row r="156" spans="1:2" ht="15">
      <c r="A156" s="119" t="s">
        <v>4729</v>
      </c>
      <c r="B156" s="3">
        <v>1</v>
      </c>
    </row>
    <row r="157" spans="1:2" ht="15">
      <c r="A157" s="118" t="s">
        <v>4730</v>
      </c>
      <c r="B157" s="3">
        <v>13</v>
      </c>
    </row>
    <row r="158" spans="1:2" ht="15">
      <c r="A158" s="119" t="s">
        <v>4731</v>
      </c>
      <c r="B158" s="3">
        <v>1</v>
      </c>
    </row>
    <row r="159" spans="1:2" ht="15">
      <c r="A159" s="119" t="s">
        <v>4732</v>
      </c>
      <c r="B159" s="3">
        <v>2</v>
      </c>
    </row>
    <row r="160" spans="1:2" ht="15">
      <c r="A160" s="119" t="s">
        <v>4733</v>
      </c>
      <c r="B160" s="3">
        <v>1</v>
      </c>
    </row>
    <row r="161" spans="1:2" ht="15">
      <c r="A161" s="119" t="s">
        <v>4734</v>
      </c>
      <c r="B161" s="3">
        <v>1</v>
      </c>
    </row>
    <row r="162" spans="1:2" ht="15">
      <c r="A162" s="119" t="s">
        <v>4735</v>
      </c>
      <c r="B162" s="3">
        <v>2</v>
      </c>
    </row>
    <row r="163" spans="1:2" ht="15">
      <c r="A163" s="119" t="s">
        <v>4736</v>
      </c>
      <c r="B163" s="3">
        <v>1</v>
      </c>
    </row>
    <row r="164" spans="1:2" ht="15">
      <c r="A164" s="119" t="s">
        <v>4737</v>
      </c>
      <c r="B164" s="3">
        <v>1</v>
      </c>
    </row>
    <row r="165" spans="1:2" ht="15">
      <c r="A165" s="119" t="s">
        <v>4738</v>
      </c>
      <c r="B165" s="3">
        <v>3</v>
      </c>
    </row>
    <row r="166" spans="1:2" ht="15">
      <c r="A166" s="119" t="s">
        <v>4739</v>
      </c>
      <c r="B166" s="3">
        <v>1</v>
      </c>
    </row>
    <row r="167" spans="1:2" ht="15">
      <c r="A167" s="118" t="s">
        <v>4740</v>
      </c>
      <c r="B167" s="3">
        <v>194</v>
      </c>
    </row>
    <row r="168" spans="1:2" ht="15">
      <c r="A168" s="119" t="s">
        <v>4741</v>
      </c>
      <c r="B168" s="3">
        <v>4</v>
      </c>
    </row>
    <row r="169" spans="1:2" ht="15">
      <c r="A169" s="119" t="s">
        <v>4742</v>
      </c>
      <c r="B169" s="3">
        <v>8</v>
      </c>
    </row>
    <row r="170" spans="1:2" ht="15">
      <c r="A170" s="119" t="s">
        <v>4743</v>
      </c>
      <c r="B170" s="3">
        <v>7</v>
      </c>
    </row>
    <row r="171" spans="1:2" ht="15">
      <c r="A171" s="119" t="s">
        <v>4744</v>
      </c>
      <c r="B171" s="3">
        <v>9</v>
      </c>
    </row>
    <row r="172" spans="1:2" ht="15">
      <c r="A172" s="119" t="s">
        <v>4745</v>
      </c>
      <c r="B172" s="3">
        <v>8</v>
      </c>
    </row>
    <row r="173" spans="1:2" ht="15">
      <c r="A173" s="119" t="s">
        <v>4746</v>
      </c>
      <c r="B173" s="3">
        <v>11</v>
      </c>
    </row>
    <row r="174" spans="1:2" ht="15">
      <c r="A174" s="119" t="s">
        <v>4747</v>
      </c>
      <c r="B174" s="3">
        <v>8</v>
      </c>
    </row>
    <row r="175" spans="1:2" ht="15">
      <c r="A175" s="119" t="s">
        <v>4748</v>
      </c>
      <c r="B175" s="3">
        <v>6</v>
      </c>
    </row>
    <row r="176" spans="1:2" ht="15">
      <c r="A176" s="119" t="s">
        <v>4749</v>
      </c>
      <c r="B176" s="3">
        <v>9</v>
      </c>
    </row>
    <row r="177" spans="1:2" ht="15">
      <c r="A177" s="119" t="s">
        <v>4750</v>
      </c>
      <c r="B177" s="3">
        <v>2</v>
      </c>
    </row>
    <row r="178" spans="1:2" ht="15">
      <c r="A178" s="119" t="s">
        <v>4751</v>
      </c>
      <c r="B178" s="3">
        <v>2</v>
      </c>
    </row>
    <row r="179" spans="1:2" ht="15">
      <c r="A179" s="119" t="s">
        <v>4752</v>
      </c>
      <c r="B179" s="3">
        <v>4</v>
      </c>
    </row>
    <row r="180" spans="1:2" ht="15">
      <c r="A180" s="119" t="s">
        <v>4753</v>
      </c>
      <c r="B180" s="3">
        <v>5</v>
      </c>
    </row>
    <row r="181" spans="1:2" ht="15">
      <c r="A181" s="119" t="s">
        <v>4754</v>
      </c>
      <c r="B181" s="3">
        <v>4</v>
      </c>
    </row>
    <row r="182" spans="1:2" ht="15">
      <c r="A182" s="119" t="s">
        <v>4755</v>
      </c>
      <c r="B182" s="3">
        <v>4</v>
      </c>
    </row>
    <row r="183" spans="1:2" ht="15">
      <c r="A183" s="119" t="s">
        <v>4756</v>
      </c>
      <c r="B183" s="3">
        <v>3</v>
      </c>
    </row>
    <row r="184" spans="1:2" ht="15">
      <c r="A184" s="119" t="s">
        <v>4757</v>
      </c>
      <c r="B184" s="3">
        <v>3</v>
      </c>
    </row>
    <row r="185" spans="1:2" ht="15">
      <c r="A185" s="119" t="s">
        <v>4758</v>
      </c>
      <c r="B185" s="3">
        <v>3</v>
      </c>
    </row>
    <row r="186" spans="1:2" ht="15">
      <c r="A186" s="119" t="s">
        <v>4759</v>
      </c>
      <c r="B186" s="3">
        <v>2</v>
      </c>
    </row>
    <row r="187" spans="1:2" ht="15">
      <c r="A187" s="119" t="s">
        <v>4760</v>
      </c>
      <c r="B187" s="3">
        <v>48</v>
      </c>
    </row>
    <row r="188" spans="1:2" ht="15">
      <c r="A188" s="119" t="s">
        <v>4761</v>
      </c>
      <c r="B188" s="3">
        <v>20</v>
      </c>
    </row>
    <row r="189" spans="1:2" ht="15">
      <c r="A189" s="119" t="s">
        <v>4762</v>
      </c>
      <c r="B189" s="3">
        <v>5</v>
      </c>
    </row>
    <row r="190" spans="1:2" ht="15">
      <c r="A190" s="119" t="s">
        <v>4763</v>
      </c>
      <c r="B190" s="3">
        <v>2</v>
      </c>
    </row>
    <row r="191" spans="1:2" ht="15">
      <c r="A191" s="119" t="s">
        <v>4764</v>
      </c>
      <c r="B191" s="3">
        <v>2</v>
      </c>
    </row>
    <row r="192" spans="1:2" ht="15">
      <c r="A192" s="119" t="s">
        <v>4765</v>
      </c>
      <c r="B192" s="3">
        <v>5</v>
      </c>
    </row>
    <row r="193" spans="1:2" ht="15">
      <c r="A193" s="119" t="s">
        <v>4766</v>
      </c>
      <c r="B193" s="3">
        <v>2</v>
      </c>
    </row>
    <row r="194" spans="1:2" ht="15">
      <c r="A194" s="119" t="s">
        <v>4767</v>
      </c>
      <c r="B194" s="3">
        <v>2</v>
      </c>
    </row>
    <row r="195" spans="1:2" ht="15">
      <c r="A195" s="119" t="s">
        <v>4768</v>
      </c>
      <c r="B195" s="3">
        <v>2</v>
      </c>
    </row>
    <row r="196" spans="1:2" ht="15">
      <c r="A196" s="119" t="s">
        <v>4769</v>
      </c>
      <c r="B196" s="3">
        <v>1</v>
      </c>
    </row>
    <row r="197" spans="1:2" ht="15">
      <c r="A197" s="119" t="s">
        <v>4770</v>
      </c>
      <c r="B197" s="3">
        <v>1</v>
      </c>
    </row>
    <row r="198" spans="1:2" ht="15">
      <c r="A198" s="119" t="s">
        <v>4771</v>
      </c>
      <c r="B198" s="3">
        <v>2</v>
      </c>
    </row>
    <row r="199" spans="1:2" ht="15">
      <c r="A199" s="118" t="s">
        <v>4600</v>
      </c>
      <c r="B199" s="3">
        <v>39</v>
      </c>
    </row>
    <row r="200" spans="1:2" ht="15">
      <c r="A200" s="119" t="s">
        <v>4772</v>
      </c>
      <c r="B200" s="3">
        <v>1</v>
      </c>
    </row>
    <row r="201" spans="1:2" ht="15">
      <c r="A201" s="119" t="s">
        <v>4773</v>
      </c>
      <c r="B201" s="3">
        <v>2</v>
      </c>
    </row>
    <row r="202" spans="1:2" ht="15">
      <c r="A202" s="119" t="s">
        <v>4774</v>
      </c>
      <c r="B202" s="3">
        <v>1</v>
      </c>
    </row>
    <row r="203" spans="1:2" ht="15">
      <c r="A203" s="119" t="s">
        <v>4775</v>
      </c>
      <c r="B203" s="3">
        <v>1</v>
      </c>
    </row>
    <row r="204" spans="1:2" ht="15">
      <c r="A204" s="119" t="s">
        <v>4776</v>
      </c>
      <c r="B204" s="3">
        <v>1</v>
      </c>
    </row>
    <row r="205" spans="1:2" ht="15">
      <c r="A205" s="119" t="s">
        <v>4777</v>
      </c>
      <c r="B205" s="3">
        <v>2</v>
      </c>
    </row>
    <row r="206" spans="1:2" ht="15">
      <c r="A206" s="119" t="s">
        <v>4778</v>
      </c>
      <c r="B206" s="3">
        <v>2</v>
      </c>
    </row>
    <row r="207" spans="1:2" ht="15">
      <c r="A207" s="119" t="s">
        <v>4779</v>
      </c>
      <c r="B207" s="3">
        <v>13</v>
      </c>
    </row>
    <row r="208" spans="1:2" ht="15">
      <c r="A208" s="119" t="s">
        <v>4780</v>
      </c>
      <c r="B208" s="3">
        <v>3</v>
      </c>
    </row>
    <row r="209" spans="1:2" ht="15">
      <c r="A209" s="119" t="s">
        <v>4781</v>
      </c>
      <c r="B209" s="3">
        <v>2</v>
      </c>
    </row>
    <row r="210" spans="1:2" ht="15">
      <c r="A210" s="119" t="s">
        <v>4782</v>
      </c>
      <c r="B210" s="3">
        <v>2</v>
      </c>
    </row>
    <row r="211" spans="1:2" ht="15">
      <c r="A211" s="119" t="s">
        <v>4783</v>
      </c>
      <c r="B211" s="3">
        <v>2</v>
      </c>
    </row>
    <row r="212" spans="1:2" ht="15">
      <c r="A212" s="119" t="s">
        <v>4784</v>
      </c>
      <c r="B212" s="3">
        <v>2</v>
      </c>
    </row>
    <row r="213" spans="1:2" ht="15">
      <c r="A213" s="119" t="s">
        <v>4785</v>
      </c>
      <c r="B213" s="3">
        <v>1</v>
      </c>
    </row>
    <row r="214" spans="1:2" ht="15">
      <c r="A214" s="119" t="s">
        <v>4786</v>
      </c>
      <c r="B214" s="3">
        <v>1</v>
      </c>
    </row>
    <row r="215" spans="1:2" ht="15">
      <c r="A215" s="119" t="s">
        <v>4787</v>
      </c>
      <c r="B215" s="3">
        <v>3</v>
      </c>
    </row>
    <row r="216" spans="1:2" ht="15">
      <c r="A216" s="117" t="s">
        <v>4598</v>
      </c>
      <c r="B216" s="3">
        <v>551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3.7109375" style="0" bestFit="1" customWidth="1"/>
    <col min="56" max="56" width="17.00390625" style="0" bestFit="1" customWidth="1"/>
    <col min="57" max="58" width="18.8515625" style="0" bestFit="1" customWidth="1"/>
    <col min="59" max="60" width="22.57421875" style="0" bestFit="1" customWidth="1"/>
    <col min="61" max="62" width="22.7109375" style="0" bestFit="1" customWidth="1"/>
    <col min="63" max="63" width="20.57421875" style="0" bestFit="1" customWidth="1"/>
    <col min="64" max="64" width="24.4218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1863</v>
      </c>
      <c r="AE2" s="13" t="s">
        <v>1864</v>
      </c>
      <c r="AF2" s="13" t="s">
        <v>198</v>
      </c>
      <c r="AG2" s="13" t="s">
        <v>199</v>
      </c>
      <c r="AH2" s="13" t="s">
        <v>200</v>
      </c>
      <c r="AI2" s="13" t="s">
        <v>1865</v>
      </c>
      <c r="AJ2" s="13" t="s">
        <v>206</v>
      </c>
      <c r="AK2" s="13" t="s">
        <v>1866</v>
      </c>
      <c r="AL2" s="13" t="s">
        <v>1867</v>
      </c>
      <c r="AM2" s="13" t="s">
        <v>1868</v>
      </c>
      <c r="AN2" s="13" t="s">
        <v>1869</v>
      </c>
      <c r="AO2" s="13" t="s">
        <v>1870</v>
      </c>
      <c r="AP2" s="13" t="s">
        <v>1871</v>
      </c>
      <c r="AQ2" s="13" t="s">
        <v>1872</v>
      </c>
      <c r="AR2" s="13" t="s">
        <v>1873</v>
      </c>
      <c r="AS2" s="13" t="s">
        <v>1874</v>
      </c>
      <c r="AT2" s="13" t="s">
        <v>1875</v>
      </c>
      <c r="AU2" s="13" t="s">
        <v>1876</v>
      </c>
      <c r="AV2" s="13" t="s">
        <v>214</v>
      </c>
      <c r="AW2" s="13" t="s">
        <v>215</v>
      </c>
      <c r="AX2" s="13" t="s">
        <v>216</v>
      </c>
      <c r="AY2" s="13" t="s">
        <v>217</v>
      </c>
      <c r="AZ2" s="13" t="s">
        <v>218</v>
      </c>
      <c r="BA2" s="13" t="s">
        <v>219</v>
      </c>
      <c r="BB2" s="13" t="s">
        <v>220</v>
      </c>
      <c r="BC2" s="13" t="s">
        <v>221</v>
      </c>
      <c r="BD2" s="13" t="s">
        <v>1877</v>
      </c>
      <c r="BE2" s="13" t="s">
        <v>1878</v>
      </c>
      <c r="BF2" s="13" t="s">
        <v>1879</v>
      </c>
      <c r="BG2" s="13" t="s">
        <v>1880</v>
      </c>
      <c r="BH2" s="13" t="s">
        <v>1881</v>
      </c>
      <c r="BI2" s="13" t="s">
        <v>1882</v>
      </c>
      <c r="BJ2" s="13" t="s">
        <v>1883</v>
      </c>
      <c r="BK2" s="13" t="s">
        <v>1884</v>
      </c>
      <c r="BL2" s="13" t="s">
        <v>1885</v>
      </c>
      <c r="BM2" s="13" t="s">
        <v>1886</v>
      </c>
      <c r="BN2" s="13" t="s">
        <v>1887</v>
      </c>
      <c r="BO2" s="3"/>
      <c r="BP2" s="3"/>
    </row>
    <row r="3" spans="1:68" ht="15" customHeight="1">
      <c r="A3" s="66" t="s">
        <v>773</v>
      </c>
      <c r="B3" s="67"/>
      <c r="C3" s="67"/>
      <c r="D3" s="68">
        <v>150</v>
      </c>
      <c r="E3" s="70"/>
      <c r="F3" s="102" t="str">
        <f>HYPERLINK("https://yt3.ggpht.com/ytc/AOPolaQBvUAwYgQB3iLkNx2qqmQkv-0M5-6I6T5N47ISn8FZBxyOA8UYSXNBTzacd74x=s88-c-k-c0x00ffffff-no-rj")</f>
        <v>https://yt3.ggpht.com/ytc/AOPolaQBvUAwYgQB3iLkNx2qqmQkv-0M5-6I6T5N47ISn8FZBxyOA8UYSXNBTzacd74x=s88-c-k-c0x00ffffff-no-rj</v>
      </c>
      <c r="G3" s="67"/>
      <c r="H3" s="71" t="s">
        <v>1824</v>
      </c>
      <c r="I3" s="72"/>
      <c r="J3" s="72" t="s">
        <v>159</v>
      </c>
      <c r="K3" s="71" t="s">
        <v>1824</v>
      </c>
      <c r="L3" s="75">
        <v>1</v>
      </c>
      <c r="M3" s="76">
        <v>9755.833984375</v>
      </c>
      <c r="N3" s="76">
        <v>2259.113037109375</v>
      </c>
      <c r="O3" s="77"/>
      <c r="P3" s="78"/>
      <c r="Q3" s="78"/>
      <c r="R3" s="49"/>
      <c r="S3" s="49">
        <v>0</v>
      </c>
      <c r="T3" s="49">
        <v>1</v>
      </c>
      <c r="U3" s="50">
        <v>0</v>
      </c>
      <c r="V3" s="50">
        <v>0.003273</v>
      </c>
      <c r="W3" s="50">
        <v>0</v>
      </c>
      <c r="X3" s="50">
        <v>0.001631</v>
      </c>
      <c r="Y3" s="50">
        <v>0</v>
      </c>
      <c r="Z3" s="50">
        <v>0</v>
      </c>
      <c r="AA3" s="73">
        <v>3</v>
      </c>
      <c r="AB3" s="73"/>
      <c r="AC3" s="74"/>
      <c r="AD3" s="81" t="s">
        <v>1824</v>
      </c>
      <c r="AE3" s="81"/>
      <c r="AF3" s="81"/>
      <c r="AG3" s="81"/>
      <c r="AH3" s="81"/>
      <c r="AI3" s="81" t="s">
        <v>2570</v>
      </c>
      <c r="AJ3" s="85">
        <v>44620.83391203704</v>
      </c>
      <c r="AK3" s="83" t="str">
        <f>HYPERLINK("https://yt3.ggpht.com/ytc/AOPolaQBvUAwYgQB3iLkNx2qqmQkv-0M5-6I6T5N47ISn8FZBxyOA8UYSXNBTzacd74x=s88-c-k-c0x00ffffff-no-rj")</f>
        <v>https://yt3.ggpht.com/ytc/AOPolaQBvUAwYgQB3iLkNx2qqmQkv-0M5-6I6T5N47ISn8FZBxyOA8UYSXNBTzacd74x=s88-c-k-c0x00ffffff-no-rj</v>
      </c>
      <c r="AL3" s="81">
        <v>0</v>
      </c>
      <c r="AM3" s="81">
        <v>0</v>
      </c>
      <c r="AN3" s="81">
        <v>0</v>
      </c>
      <c r="AO3" s="81" t="b">
        <v>0</v>
      </c>
      <c r="AP3" s="81">
        <v>0</v>
      </c>
      <c r="AQ3" s="81"/>
      <c r="AR3" s="81"/>
      <c r="AS3" s="81" t="s">
        <v>2571</v>
      </c>
      <c r="AT3" s="83" t="str">
        <f>HYPERLINK("https://www.youtube.com/channel/UCWg-RBRh6C1HCJHhkiaKj5Q")</f>
        <v>https://www.youtube.com/channel/UCWg-RBRh6C1HCJHhkiaKj5Q</v>
      </c>
      <c r="AU3" s="81" t="str">
        <f>REPLACE(INDEX(GroupVertices[Group],MATCH(Vertices[[#This Row],[Vertex]],GroupVertices[Vertex],0)),1,1,"")</f>
        <v>11</v>
      </c>
      <c r="AV3" s="49">
        <v>2</v>
      </c>
      <c r="AW3" s="50">
        <v>100</v>
      </c>
      <c r="AX3" s="49">
        <v>0</v>
      </c>
      <c r="AY3" s="50">
        <v>0</v>
      </c>
      <c r="AZ3" s="49">
        <v>0</v>
      </c>
      <c r="BA3" s="50">
        <v>0</v>
      </c>
      <c r="BB3" s="49">
        <v>0</v>
      </c>
      <c r="BC3" s="50">
        <v>0</v>
      </c>
      <c r="BD3" s="49">
        <v>2</v>
      </c>
      <c r="BE3" s="49"/>
      <c r="BF3" s="49"/>
      <c r="BG3" s="49"/>
      <c r="BH3" s="49"/>
      <c r="BI3" s="49"/>
      <c r="BJ3" s="49"/>
      <c r="BK3" s="115" t="s">
        <v>4548</v>
      </c>
      <c r="BL3" s="115" t="s">
        <v>4548</v>
      </c>
      <c r="BM3" s="115" t="s">
        <v>4573</v>
      </c>
      <c r="BN3" s="115" t="s">
        <v>4573</v>
      </c>
      <c r="BO3" s="3"/>
      <c r="BP3" s="3"/>
    </row>
    <row r="4" spans="1:71" ht="15">
      <c r="A4" s="66" t="s">
        <v>226</v>
      </c>
      <c r="B4" s="67"/>
      <c r="C4" s="67"/>
      <c r="D4" s="68">
        <v>160.07905138339922</v>
      </c>
      <c r="E4" s="70"/>
      <c r="F4" s="102" t="str">
        <f>HYPERLINK("https://yt3.ggpht.com/7Q4PKmU70fX4svCg5CVj6N0Bnu9uKg5dqCpGwbAPr72E-97af4edHOLP4OZ8ZXZAs3HVOSoao_g=s88-c-k-c0x00ffffff-no-rj")</f>
        <v>https://yt3.ggpht.com/7Q4PKmU70fX4svCg5CVj6N0Bnu9uKg5dqCpGwbAPr72E-97af4edHOLP4OZ8ZXZAs3HVOSoao_g=s88-c-k-c0x00ffffff-no-rj</v>
      </c>
      <c r="G4" s="67"/>
      <c r="H4" s="71" t="s">
        <v>1888</v>
      </c>
      <c r="I4" s="72"/>
      <c r="J4" s="72" t="s">
        <v>75</v>
      </c>
      <c r="K4" s="71" t="s">
        <v>1888</v>
      </c>
      <c r="L4" s="75">
        <v>2.585725614591594</v>
      </c>
      <c r="M4" s="76">
        <v>9755.833984375</v>
      </c>
      <c r="N4" s="76">
        <v>1720.3739013671875</v>
      </c>
      <c r="O4" s="77"/>
      <c r="P4" s="78"/>
      <c r="Q4" s="78"/>
      <c r="R4" s="88"/>
      <c r="S4" s="49">
        <v>4</v>
      </c>
      <c r="T4" s="49">
        <v>1</v>
      </c>
      <c r="U4" s="50">
        <v>6</v>
      </c>
      <c r="V4" s="50">
        <v>0.005455</v>
      </c>
      <c r="W4" s="50">
        <v>0</v>
      </c>
      <c r="X4" s="50">
        <v>0.002365</v>
      </c>
      <c r="Y4" s="50">
        <v>0</v>
      </c>
      <c r="Z4" s="50">
        <v>0</v>
      </c>
      <c r="AA4" s="73">
        <v>4</v>
      </c>
      <c r="AB4" s="73"/>
      <c r="AC4" s="74"/>
      <c r="AD4" s="81" t="s">
        <v>1888</v>
      </c>
      <c r="AE4" s="81" t="s">
        <v>1914</v>
      </c>
      <c r="AF4" s="81"/>
      <c r="AG4" s="81"/>
      <c r="AH4" s="81"/>
      <c r="AI4" s="81" t="s">
        <v>2020</v>
      </c>
      <c r="AJ4" s="85">
        <v>44606.715949074074</v>
      </c>
      <c r="AK4" s="83" t="str">
        <f>HYPERLINK("https://yt3.ggpht.com/7Q4PKmU70fX4svCg5CVj6N0Bnu9uKg5dqCpGwbAPr72E-97af4edHOLP4OZ8ZXZAs3HVOSoao_g=s88-c-k-c0x00ffffff-no-rj")</f>
        <v>https://yt3.ggpht.com/7Q4PKmU70fX4svCg5CVj6N0Bnu9uKg5dqCpGwbAPr72E-97af4edHOLP4OZ8ZXZAs3HVOSoao_g=s88-c-k-c0x00ffffff-no-rj</v>
      </c>
      <c r="AL4" s="81">
        <v>9174</v>
      </c>
      <c r="AM4" s="81">
        <v>0</v>
      </c>
      <c r="AN4" s="81">
        <v>143</v>
      </c>
      <c r="AO4" s="81" t="b">
        <v>0</v>
      </c>
      <c r="AP4" s="81">
        <v>45</v>
      </c>
      <c r="AQ4" s="81"/>
      <c r="AR4" s="81"/>
      <c r="AS4" s="81" t="s">
        <v>2571</v>
      </c>
      <c r="AT4" s="83" t="str">
        <f>HYPERLINK("https://www.youtube.com/channel/UCotnwz_joL3ZDyICya0q_Bw")</f>
        <v>https://www.youtube.com/channel/UCotnwz_joL3ZDyICya0q_Bw</v>
      </c>
      <c r="AU4" s="81">
        <v>11</v>
      </c>
      <c r="AV4" s="49"/>
      <c r="AW4" s="50"/>
      <c r="AX4" s="49"/>
      <c r="AY4" s="50"/>
      <c r="AZ4" s="49"/>
      <c r="BA4" s="50"/>
      <c r="BB4" s="49"/>
      <c r="BC4" s="50"/>
      <c r="BD4" s="49"/>
      <c r="BE4" s="49"/>
      <c r="BF4" s="49"/>
      <c r="BG4" s="49"/>
      <c r="BH4" s="49"/>
      <c r="BI4" s="49"/>
      <c r="BJ4" s="49"/>
      <c r="BK4" s="115" t="s">
        <v>4477</v>
      </c>
      <c r="BL4" s="115" t="s">
        <v>4477</v>
      </c>
      <c r="BM4" s="115" t="s">
        <v>4477</v>
      </c>
      <c r="BN4" s="115" t="s">
        <v>4477</v>
      </c>
      <c r="BO4" s="2"/>
      <c r="BP4" s="3"/>
      <c r="BQ4" s="3"/>
      <c r="BR4" s="3"/>
      <c r="BS4" s="3"/>
    </row>
    <row r="5" spans="1:71" ht="15">
      <c r="A5" s="66" t="s">
        <v>223</v>
      </c>
      <c r="B5" s="67"/>
      <c r="C5" s="67"/>
      <c r="D5" s="68">
        <v>150</v>
      </c>
      <c r="E5" s="70"/>
      <c r="F5" s="102" t="str">
        <f>HYPERLINK("https://yt3.ggpht.com/ytc/AOPolaSrPpCO21nISqekk4xgu6EdOGXIJy_BJ3l0gzAD=s88-c-k-c0x00ffffff-no-rj")</f>
        <v>https://yt3.ggpht.com/ytc/AOPolaSrPpCO21nISqekk4xgu6EdOGXIJy_BJ3l0gzAD=s88-c-k-c0x00ffffff-no-rj</v>
      </c>
      <c r="G5" s="67"/>
      <c r="H5" s="71" t="s">
        <v>1303</v>
      </c>
      <c r="I5" s="72"/>
      <c r="J5" s="72" t="s">
        <v>159</v>
      </c>
      <c r="K5" s="71" t="s">
        <v>1303</v>
      </c>
      <c r="L5" s="75">
        <v>1</v>
      </c>
      <c r="M5" s="76">
        <v>9528.8779296875</v>
      </c>
      <c r="N5" s="76">
        <v>2259.113037109375</v>
      </c>
      <c r="O5" s="77"/>
      <c r="P5" s="78"/>
      <c r="Q5" s="78"/>
      <c r="R5" s="88"/>
      <c r="S5" s="49">
        <v>0</v>
      </c>
      <c r="T5" s="49">
        <v>1</v>
      </c>
      <c r="U5" s="50">
        <v>0</v>
      </c>
      <c r="V5" s="50">
        <v>0.003273</v>
      </c>
      <c r="W5" s="50">
        <v>0</v>
      </c>
      <c r="X5" s="50">
        <v>0.001631</v>
      </c>
      <c r="Y5" s="50">
        <v>0</v>
      </c>
      <c r="Z5" s="50">
        <v>0</v>
      </c>
      <c r="AA5" s="73">
        <v>5</v>
      </c>
      <c r="AB5" s="73"/>
      <c r="AC5" s="74"/>
      <c r="AD5" s="81" t="s">
        <v>1303</v>
      </c>
      <c r="AE5" s="81"/>
      <c r="AF5" s="81"/>
      <c r="AG5" s="81"/>
      <c r="AH5" s="81"/>
      <c r="AI5" s="81" t="s">
        <v>2021</v>
      </c>
      <c r="AJ5" s="85">
        <v>44322.06123842593</v>
      </c>
      <c r="AK5" s="83" t="str">
        <f>HYPERLINK("https://yt3.ggpht.com/ytc/AOPolaSrPpCO21nISqekk4xgu6EdOGXIJy_BJ3l0gzAD=s88-c-k-c0x00ffffff-no-rj")</f>
        <v>https://yt3.ggpht.com/ytc/AOPolaSrPpCO21nISqekk4xgu6EdOGXIJy_BJ3l0gzAD=s88-c-k-c0x00ffffff-no-rj</v>
      </c>
      <c r="AL5" s="81">
        <v>0</v>
      </c>
      <c r="AM5" s="81">
        <v>0</v>
      </c>
      <c r="AN5" s="81">
        <v>0</v>
      </c>
      <c r="AO5" s="81" t="b">
        <v>0</v>
      </c>
      <c r="AP5" s="81">
        <v>0</v>
      </c>
      <c r="AQ5" s="81"/>
      <c r="AR5" s="81"/>
      <c r="AS5" s="81" t="s">
        <v>2571</v>
      </c>
      <c r="AT5" s="83" t="str">
        <f>HYPERLINK("https://www.youtube.com/channel/UC_fih_n7WX_Ah5Lpycyoxaw")</f>
        <v>https://www.youtube.com/channel/UC_fih_n7WX_Ah5Lpycyoxaw</v>
      </c>
      <c r="AU5" s="81">
        <v>11</v>
      </c>
      <c r="AV5" s="49">
        <v>0</v>
      </c>
      <c r="AW5" s="50">
        <v>0</v>
      </c>
      <c r="AX5" s="49">
        <v>1</v>
      </c>
      <c r="AY5" s="50">
        <v>16.666666666666668</v>
      </c>
      <c r="AZ5" s="49">
        <v>0</v>
      </c>
      <c r="BA5" s="50">
        <v>0</v>
      </c>
      <c r="BB5" s="49">
        <v>3</v>
      </c>
      <c r="BC5" s="50">
        <v>50</v>
      </c>
      <c r="BD5" s="49">
        <v>6</v>
      </c>
      <c r="BE5" s="49"/>
      <c r="BF5" s="49"/>
      <c r="BG5" s="49"/>
      <c r="BH5" s="49"/>
      <c r="BI5" s="49"/>
      <c r="BJ5" s="49"/>
      <c r="BK5" s="115" t="s">
        <v>2575</v>
      </c>
      <c r="BL5" s="115" t="s">
        <v>2575</v>
      </c>
      <c r="BM5" s="115" t="s">
        <v>3055</v>
      </c>
      <c r="BN5" s="115" t="s">
        <v>3055</v>
      </c>
      <c r="BO5" s="2"/>
      <c r="BP5" s="3"/>
      <c r="BQ5" s="3"/>
      <c r="BR5" s="3"/>
      <c r="BS5" s="3"/>
    </row>
    <row r="6" spans="1:71" ht="15">
      <c r="A6" s="66" t="s">
        <v>224</v>
      </c>
      <c r="B6" s="67"/>
      <c r="C6" s="67"/>
      <c r="D6" s="68">
        <v>150</v>
      </c>
      <c r="E6" s="70"/>
      <c r="F6" s="102" t="str">
        <f>HYPERLINK("https://yt3.ggpht.com/ytc/AOPolaSz94poTXu7RvmbPKzE-6o69_jgPoHXqsTgVN4d-LA=s88-c-k-c0x00ffffff-no-rj")</f>
        <v>https://yt3.ggpht.com/ytc/AOPolaSz94poTXu7RvmbPKzE-6o69_jgPoHXqsTgVN4d-LA=s88-c-k-c0x00ffffff-no-rj</v>
      </c>
      <c r="G6" s="67"/>
      <c r="H6" s="71" t="s">
        <v>1304</v>
      </c>
      <c r="I6" s="72"/>
      <c r="J6" s="72" t="s">
        <v>159</v>
      </c>
      <c r="K6" s="71" t="s">
        <v>1304</v>
      </c>
      <c r="L6" s="75">
        <v>1</v>
      </c>
      <c r="M6" s="76">
        <v>9331.103515625</v>
      </c>
      <c r="N6" s="76">
        <v>1124.169189453125</v>
      </c>
      <c r="O6" s="77"/>
      <c r="P6" s="78"/>
      <c r="Q6" s="78"/>
      <c r="R6" s="88"/>
      <c r="S6" s="49">
        <v>0</v>
      </c>
      <c r="T6" s="49">
        <v>1</v>
      </c>
      <c r="U6" s="50">
        <v>0</v>
      </c>
      <c r="V6" s="50">
        <v>0.001818</v>
      </c>
      <c r="W6" s="50">
        <v>0</v>
      </c>
      <c r="X6" s="50">
        <v>0.001688</v>
      </c>
      <c r="Y6" s="50">
        <v>0</v>
      </c>
      <c r="Z6" s="50">
        <v>0</v>
      </c>
      <c r="AA6" s="73">
        <v>6</v>
      </c>
      <c r="AB6" s="73"/>
      <c r="AC6" s="74"/>
      <c r="AD6" s="81" t="s">
        <v>1304</v>
      </c>
      <c r="AE6" s="81"/>
      <c r="AF6" s="81"/>
      <c r="AG6" s="81"/>
      <c r="AH6" s="81"/>
      <c r="AI6" s="81" t="s">
        <v>2022</v>
      </c>
      <c r="AJ6" s="85">
        <v>40903.59127314815</v>
      </c>
      <c r="AK6" s="83" t="str">
        <f>HYPERLINK("https://yt3.ggpht.com/ytc/AOPolaSz94poTXu7RvmbPKzE-6o69_jgPoHXqsTgVN4d-LA=s88-c-k-c0x00ffffff-no-rj")</f>
        <v>https://yt3.ggpht.com/ytc/AOPolaSz94poTXu7RvmbPKzE-6o69_jgPoHXqsTgVN4d-LA=s88-c-k-c0x00ffffff-no-rj</v>
      </c>
      <c r="AL6" s="81">
        <v>0</v>
      </c>
      <c r="AM6" s="81">
        <v>0</v>
      </c>
      <c r="AN6" s="81">
        <v>4</v>
      </c>
      <c r="AO6" s="81" t="b">
        <v>0</v>
      </c>
      <c r="AP6" s="81">
        <v>0</v>
      </c>
      <c r="AQ6" s="81"/>
      <c r="AR6" s="81"/>
      <c r="AS6" s="81" t="s">
        <v>2571</v>
      </c>
      <c r="AT6" s="83" t="str">
        <f>HYPERLINK("https://www.youtube.com/channel/UCl-rkPJ4jt9fjP-htmVnYPA")</f>
        <v>https://www.youtube.com/channel/UCl-rkPJ4jt9fjP-htmVnYPA</v>
      </c>
      <c r="AU6" s="81">
        <v>14</v>
      </c>
      <c r="AV6" s="49">
        <v>1</v>
      </c>
      <c r="AW6" s="50">
        <v>50</v>
      </c>
      <c r="AX6" s="49">
        <v>0</v>
      </c>
      <c r="AY6" s="50">
        <v>0</v>
      </c>
      <c r="AZ6" s="49">
        <v>0</v>
      </c>
      <c r="BA6" s="50">
        <v>0</v>
      </c>
      <c r="BB6" s="49">
        <v>1</v>
      </c>
      <c r="BC6" s="50">
        <v>50</v>
      </c>
      <c r="BD6" s="49">
        <v>2</v>
      </c>
      <c r="BE6" s="49"/>
      <c r="BF6" s="49"/>
      <c r="BG6" s="49"/>
      <c r="BH6" s="49"/>
      <c r="BI6" s="49"/>
      <c r="BJ6" s="49"/>
      <c r="BK6" s="115" t="s">
        <v>2576</v>
      </c>
      <c r="BL6" s="115" t="s">
        <v>2576</v>
      </c>
      <c r="BM6" s="115" t="s">
        <v>3056</v>
      </c>
      <c r="BN6" s="115" t="s">
        <v>3056</v>
      </c>
      <c r="BO6" s="2"/>
      <c r="BP6" s="3"/>
      <c r="BQ6" s="3"/>
      <c r="BR6" s="3"/>
      <c r="BS6" s="3"/>
    </row>
    <row r="7" spans="1:71" ht="15">
      <c r="A7" s="66" t="s">
        <v>225</v>
      </c>
      <c r="B7" s="67"/>
      <c r="C7" s="67"/>
      <c r="D7" s="68">
        <v>150</v>
      </c>
      <c r="E7" s="70"/>
      <c r="F7" s="102" t="str">
        <f>HYPERLINK("https://yt3.ggpht.com/ytc/AOPolaSiyLNukeaidI-b3qg3-_kgU1i8y-cPOFHt0aa3PtDyp5JVEzdutppuv_J_TsaS=s88-c-k-c0x00ffffff-no-rj")</f>
        <v>https://yt3.ggpht.com/ytc/AOPolaSiyLNukeaidI-b3qg3-_kgU1i8y-cPOFHt0aa3PtDyp5JVEzdutppuv_J_TsaS=s88-c-k-c0x00ffffff-no-rj</v>
      </c>
      <c r="G7" s="67"/>
      <c r="H7" s="71" t="s">
        <v>1889</v>
      </c>
      <c r="I7" s="72"/>
      <c r="J7" s="72" t="s">
        <v>159</v>
      </c>
      <c r="K7" s="71" t="s">
        <v>1889</v>
      </c>
      <c r="L7" s="75">
        <v>1</v>
      </c>
      <c r="M7" s="76">
        <v>9331.103515625</v>
      </c>
      <c r="N7" s="76">
        <v>757.8265380859375</v>
      </c>
      <c r="O7" s="77"/>
      <c r="P7" s="78"/>
      <c r="Q7" s="78"/>
      <c r="R7" s="88"/>
      <c r="S7" s="49">
        <v>2</v>
      </c>
      <c r="T7" s="49">
        <v>1</v>
      </c>
      <c r="U7" s="50">
        <v>0</v>
      </c>
      <c r="V7" s="50">
        <v>0.001818</v>
      </c>
      <c r="W7" s="50">
        <v>0</v>
      </c>
      <c r="X7" s="50">
        <v>0.001942</v>
      </c>
      <c r="Y7" s="50">
        <v>0</v>
      </c>
      <c r="Z7" s="50">
        <v>0</v>
      </c>
      <c r="AA7" s="73">
        <v>7</v>
      </c>
      <c r="AB7" s="73"/>
      <c r="AC7" s="74"/>
      <c r="AD7" s="81" t="s">
        <v>1889</v>
      </c>
      <c r="AE7" s="81" t="s">
        <v>1915</v>
      </c>
      <c r="AF7" s="81"/>
      <c r="AG7" s="81"/>
      <c r="AH7" s="81"/>
      <c r="AI7" s="81" t="s">
        <v>2023</v>
      </c>
      <c r="AJ7" s="85">
        <v>43973.60023148148</v>
      </c>
      <c r="AK7" s="83" t="str">
        <f>HYPERLINK("https://yt3.ggpht.com/ytc/AOPolaSiyLNukeaidI-b3qg3-_kgU1i8y-cPOFHt0aa3PtDyp5JVEzdutppuv_J_TsaS=s88-c-k-c0x00ffffff-no-rj")</f>
        <v>https://yt3.ggpht.com/ytc/AOPolaSiyLNukeaidI-b3qg3-_kgU1i8y-cPOFHt0aa3PtDyp5JVEzdutppuv_J_TsaS=s88-c-k-c0x00ffffff-no-rj</v>
      </c>
      <c r="AL7" s="81">
        <v>613</v>
      </c>
      <c r="AM7" s="81">
        <v>0</v>
      </c>
      <c r="AN7" s="81">
        <v>38</v>
      </c>
      <c r="AO7" s="81" t="b">
        <v>0</v>
      </c>
      <c r="AP7" s="81">
        <v>24</v>
      </c>
      <c r="AQ7" s="81"/>
      <c r="AR7" s="81"/>
      <c r="AS7" s="81" t="s">
        <v>2571</v>
      </c>
      <c r="AT7" s="83" t="str">
        <f>HYPERLINK("https://www.youtube.com/channel/UCFmSHlTH1i1EwkbmSN4ZCGg")</f>
        <v>https://www.youtube.com/channel/UCFmSHlTH1i1EwkbmSN4ZCGg</v>
      </c>
      <c r="AU7" s="81">
        <v>14</v>
      </c>
      <c r="AV7" s="49"/>
      <c r="AW7" s="50"/>
      <c r="AX7" s="49"/>
      <c r="AY7" s="50"/>
      <c r="AZ7" s="49"/>
      <c r="BA7" s="50"/>
      <c r="BB7" s="49"/>
      <c r="BC7" s="50"/>
      <c r="BD7" s="49"/>
      <c r="BE7" s="49"/>
      <c r="BF7" s="49"/>
      <c r="BG7" s="49"/>
      <c r="BH7" s="49"/>
      <c r="BI7" s="49"/>
      <c r="BJ7" s="49"/>
      <c r="BK7" s="115" t="s">
        <v>4477</v>
      </c>
      <c r="BL7" s="115" t="s">
        <v>4477</v>
      </c>
      <c r="BM7" s="115" t="s">
        <v>4477</v>
      </c>
      <c r="BN7" s="115" t="s">
        <v>4477</v>
      </c>
      <c r="BO7" s="2"/>
      <c r="BP7" s="3"/>
      <c r="BQ7" s="3"/>
      <c r="BR7" s="3"/>
      <c r="BS7" s="3"/>
    </row>
    <row r="8" spans="1:71" ht="15">
      <c r="A8" s="66" t="s">
        <v>227</v>
      </c>
      <c r="B8" s="67"/>
      <c r="C8" s="67"/>
      <c r="D8" s="68">
        <v>150</v>
      </c>
      <c r="E8" s="70"/>
      <c r="F8" s="102" t="str">
        <f>HYPERLINK("https://yt3.ggpht.com/ytc/AOPolaSDrW_yyo_hmX66DgqxH1_qdl9fjzCsf0sf_Ao4MHY0RfHAm14m5YJu9fl9-NtP=s88-c-k-c0x00ffffff-no-rj")</f>
        <v>https://yt3.ggpht.com/ytc/AOPolaSDrW_yyo_hmX66DgqxH1_qdl9fjzCsf0sf_Ao4MHY0RfHAm14m5YJu9fl9-NtP=s88-c-k-c0x00ffffff-no-rj</v>
      </c>
      <c r="G8" s="67"/>
      <c r="H8" s="71" t="s">
        <v>1305</v>
      </c>
      <c r="I8" s="72"/>
      <c r="J8" s="72" t="s">
        <v>159</v>
      </c>
      <c r="K8" s="71" t="s">
        <v>1305</v>
      </c>
      <c r="L8" s="75">
        <v>1</v>
      </c>
      <c r="M8" s="76">
        <v>9528.8779296875</v>
      </c>
      <c r="N8" s="76">
        <v>1720.3739013671875</v>
      </c>
      <c r="O8" s="77"/>
      <c r="P8" s="78"/>
      <c r="Q8" s="78"/>
      <c r="R8" s="88"/>
      <c r="S8" s="49">
        <v>0</v>
      </c>
      <c r="T8" s="49">
        <v>1</v>
      </c>
      <c r="U8" s="50">
        <v>0</v>
      </c>
      <c r="V8" s="50">
        <v>0.003273</v>
      </c>
      <c r="W8" s="50">
        <v>0</v>
      </c>
      <c r="X8" s="50">
        <v>0.001631</v>
      </c>
      <c r="Y8" s="50">
        <v>0</v>
      </c>
      <c r="Z8" s="50">
        <v>0</v>
      </c>
      <c r="AA8" s="73">
        <v>8</v>
      </c>
      <c r="AB8" s="73"/>
      <c r="AC8" s="74"/>
      <c r="AD8" s="81" t="s">
        <v>1305</v>
      </c>
      <c r="AE8" s="81"/>
      <c r="AF8" s="81"/>
      <c r="AG8" s="81"/>
      <c r="AH8" s="81"/>
      <c r="AI8" s="81" t="s">
        <v>2024</v>
      </c>
      <c r="AJ8" s="85">
        <v>44896.788449074076</v>
      </c>
      <c r="AK8" s="83" t="str">
        <f>HYPERLINK("https://yt3.ggpht.com/ytc/AOPolaSDrW_yyo_hmX66DgqxH1_qdl9fjzCsf0sf_Ao4MHY0RfHAm14m5YJu9fl9-NtP=s88-c-k-c0x00ffffff-no-rj")</f>
        <v>https://yt3.ggpht.com/ytc/AOPolaSDrW_yyo_hmX66DgqxH1_qdl9fjzCsf0sf_Ao4MHY0RfHAm14m5YJu9fl9-NtP=s88-c-k-c0x00ffffff-no-rj</v>
      </c>
      <c r="AL8" s="81">
        <v>0</v>
      </c>
      <c r="AM8" s="81">
        <v>0</v>
      </c>
      <c r="AN8" s="81">
        <v>1</v>
      </c>
      <c r="AO8" s="81" t="b">
        <v>0</v>
      </c>
      <c r="AP8" s="81">
        <v>0</v>
      </c>
      <c r="AQ8" s="81"/>
      <c r="AR8" s="81"/>
      <c r="AS8" s="81" t="s">
        <v>2571</v>
      </c>
      <c r="AT8" s="83" t="str">
        <f>HYPERLINK("https://www.youtube.com/channel/UCQZXu94X5lUU8Kq8XY8ic2w")</f>
        <v>https://www.youtube.com/channel/UCQZXu94X5lUU8Kq8XY8ic2w</v>
      </c>
      <c r="AU8" s="81">
        <v>11</v>
      </c>
      <c r="AV8" s="49">
        <v>1</v>
      </c>
      <c r="AW8" s="50">
        <v>14.285714285714286</v>
      </c>
      <c r="AX8" s="49">
        <v>0</v>
      </c>
      <c r="AY8" s="50">
        <v>0</v>
      </c>
      <c r="AZ8" s="49">
        <v>0</v>
      </c>
      <c r="BA8" s="50">
        <v>0</v>
      </c>
      <c r="BB8" s="49">
        <v>2</v>
      </c>
      <c r="BC8" s="50">
        <v>28.571428571428573</v>
      </c>
      <c r="BD8" s="49">
        <v>7</v>
      </c>
      <c r="BE8" s="49"/>
      <c r="BF8" s="49"/>
      <c r="BG8" s="49"/>
      <c r="BH8" s="49"/>
      <c r="BI8" s="49"/>
      <c r="BJ8" s="49"/>
      <c r="BK8" s="115" t="s">
        <v>2577</v>
      </c>
      <c r="BL8" s="115" t="s">
        <v>2577</v>
      </c>
      <c r="BM8" s="115" t="s">
        <v>3057</v>
      </c>
      <c r="BN8" s="115" t="s">
        <v>3057</v>
      </c>
      <c r="BO8" s="2"/>
      <c r="BP8" s="3"/>
      <c r="BQ8" s="3"/>
      <c r="BR8" s="3"/>
      <c r="BS8" s="3"/>
    </row>
    <row r="9" spans="1:71" ht="15">
      <c r="A9" s="66" t="s">
        <v>228</v>
      </c>
      <c r="B9" s="67"/>
      <c r="C9" s="67"/>
      <c r="D9" s="68">
        <v>150</v>
      </c>
      <c r="E9" s="70"/>
      <c r="F9" s="102" t="str">
        <f>HYPERLINK("https://yt3.ggpht.com/ytc/AOPolaT8ysqfFwqa-kojmdaJEGdzd3pMluj70AG3WdaEkQ=s88-c-k-c0x00ffffff-no-rj")</f>
        <v>https://yt3.ggpht.com/ytc/AOPolaT8ysqfFwqa-kojmdaJEGdzd3pMluj70AG3WdaEkQ=s88-c-k-c0x00ffffff-no-rj</v>
      </c>
      <c r="G9" s="67"/>
      <c r="H9" s="71" t="s">
        <v>1306</v>
      </c>
      <c r="I9" s="72"/>
      <c r="J9" s="72" t="s">
        <v>159</v>
      </c>
      <c r="K9" s="71" t="s">
        <v>1306</v>
      </c>
      <c r="L9" s="75">
        <v>1</v>
      </c>
      <c r="M9" s="76">
        <v>7765.09228515625</v>
      </c>
      <c r="N9" s="76">
        <v>7496.73681640625</v>
      </c>
      <c r="O9" s="77"/>
      <c r="P9" s="78"/>
      <c r="Q9" s="78"/>
      <c r="R9" s="88"/>
      <c r="S9" s="49">
        <v>0</v>
      </c>
      <c r="T9" s="49">
        <v>1</v>
      </c>
      <c r="U9" s="50">
        <v>0</v>
      </c>
      <c r="V9" s="50">
        <v>0.059549</v>
      </c>
      <c r="W9" s="50">
        <v>0</v>
      </c>
      <c r="X9" s="50">
        <v>0.001581</v>
      </c>
      <c r="Y9" s="50">
        <v>0</v>
      </c>
      <c r="Z9" s="50">
        <v>0</v>
      </c>
      <c r="AA9" s="73">
        <v>9</v>
      </c>
      <c r="AB9" s="73"/>
      <c r="AC9" s="74"/>
      <c r="AD9" s="81" t="s">
        <v>1306</v>
      </c>
      <c r="AE9" s="81"/>
      <c r="AF9" s="81"/>
      <c r="AG9" s="81"/>
      <c r="AH9" s="81"/>
      <c r="AI9" s="81" t="s">
        <v>2025</v>
      </c>
      <c r="AJ9" s="85">
        <v>40832.366273148145</v>
      </c>
      <c r="AK9" s="83" t="str">
        <f>HYPERLINK("https://yt3.ggpht.com/ytc/AOPolaT8ysqfFwqa-kojmdaJEGdzd3pMluj70AG3WdaEkQ=s88-c-k-c0x00ffffff-no-rj")</f>
        <v>https://yt3.ggpht.com/ytc/AOPolaT8ysqfFwqa-kojmdaJEGdzd3pMluj70AG3WdaEkQ=s88-c-k-c0x00ffffff-no-rj</v>
      </c>
      <c r="AL9" s="81">
        <v>0</v>
      </c>
      <c r="AM9" s="81">
        <v>0</v>
      </c>
      <c r="AN9" s="81">
        <v>2</v>
      </c>
      <c r="AO9" s="81" t="b">
        <v>0</v>
      </c>
      <c r="AP9" s="81">
        <v>0</v>
      </c>
      <c r="AQ9" s="81"/>
      <c r="AR9" s="81"/>
      <c r="AS9" s="81" t="s">
        <v>2571</v>
      </c>
      <c r="AT9" s="83" t="str">
        <f>HYPERLINK("https://www.youtube.com/channel/UCofm4FS2wgiO5LqblEGzvFA")</f>
        <v>https://www.youtube.com/channel/UCofm4FS2wgiO5LqblEGzvFA</v>
      </c>
      <c r="AU9" s="81">
        <v>3</v>
      </c>
      <c r="AV9" s="49">
        <v>0</v>
      </c>
      <c r="AW9" s="50">
        <v>0</v>
      </c>
      <c r="AX9" s="49">
        <v>3</v>
      </c>
      <c r="AY9" s="50">
        <v>4.918032786885246</v>
      </c>
      <c r="AZ9" s="49">
        <v>0</v>
      </c>
      <c r="BA9" s="50">
        <v>0</v>
      </c>
      <c r="BB9" s="49">
        <v>25</v>
      </c>
      <c r="BC9" s="50">
        <v>40.98360655737705</v>
      </c>
      <c r="BD9" s="49">
        <v>61</v>
      </c>
      <c r="BE9" s="49"/>
      <c r="BF9" s="49"/>
      <c r="BG9" s="49"/>
      <c r="BH9" s="49"/>
      <c r="BI9" s="49"/>
      <c r="BJ9" s="49"/>
      <c r="BK9" s="115" t="s">
        <v>2578</v>
      </c>
      <c r="BL9" s="115" t="s">
        <v>2578</v>
      </c>
      <c r="BM9" s="115" t="s">
        <v>3058</v>
      </c>
      <c r="BN9" s="115" t="s">
        <v>3058</v>
      </c>
      <c r="BO9" s="2"/>
      <c r="BP9" s="3"/>
      <c r="BQ9" s="3"/>
      <c r="BR9" s="3"/>
      <c r="BS9" s="3"/>
    </row>
    <row r="10" spans="1:71" ht="15">
      <c r="A10" s="66" t="s">
        <v>292</v>
      </c>
      <c r="B10" s="67"/>
      <c r="C10" s="67"/>
      <c r="D10" s="68">
        <v>1000</v>
      </c>
      <c r="E10" s="70"/>
      <c r="F10" s="102" t="str">
        <f>HYPERLINK("https://yt3.ggpht.com/ytc/AOPolaS-bEss23wk7rU0VywpmYtdz7zmFrSLplLrxtKt6Do=s88-c-k-c0x00ffffff-no-rj")</f>
        <v>https://yt3.ggpht.com/ytc/AOPolaS-bEss23wk7rU0VywpmYtdz7zmFrSLplLrxtKt6Do=s88-c-k-c0x00ffffff-no-rj</v>
      </c>
      <c r="G10" s="67"/>
      <c r="H10" s="71" t="s">
        <v>1890</v>
      </c>
      <c r="I10" s="72"/>
      <c r="J10" s="72" t="s">
        <v>75</v>
      </c>
      <c r="K10" s="71" t="s">
        <v>1890</v>
      </c>
      <c r="L10" s="75">
        <v>1100.4364261168384</v>
      </c>
      <c r="M10" s="76">
        <v>8092.42724609375</v>
      </c>
      <c r="N10" s="76">
        <v>8332.41015625</v>
      </c>
      <c r="O10" s="77"/>
      <c r="P10" s="78"/>
      <c r="Q10" s="78"/>
      <c r="R10" s="88"/>
      <c r="S10" s="49">
        <v>66</v>
      </c>
      <c r="T10" s="49">
        <v>1</v>
      </c>
      <c r="U10" s="50">
        <v>4160</v>
      </c>
      <c r="V10" s="50">
        <v>0.118182</v>
      </c>
      <c r="W10" s="50">
        <v>0</v>
      </c>
      <c r="X10" s="50">
        <v>0.016999</v>
      </c>
      <c r="Y10" s="50">
        <v>0</v>
      </c>
      <c r="Z10" s="50">
        <v>0</v>
      </c>
      <c r="AA10" s="73">
        <v>10</v>
      </c>
      <c r="AB10" s="73"/>
      <c r="AC10" s="74"/>
      <c r="AD10" s="81" t="s">
        <v>1890</v>
      </c>
      <c r="AE10" s="81" t="s">
        <v>1916</v>
      </c>
      <c r="AF10" s="81"/>
      <c r="AG10" s="81"/>
      <c r="AH10" s="81"/>
      <c r="AI10" s="81" t="s">
        <v>2026</v>
      </c>
      <c r="AJ10" s="85">
        <v>39770.14231481482</v>
      </c>
      <c r="AK10" s="83" t="str">
        <f>HYPERLINK("https://yt3.ggpht.com/ytc/AOPolaS-bEss23wk7rU0VywpmYtdz7zmFrSLplLrxtKt6Do=s88-c-k-c0x00ffffff-no-rj")</f>
        <v>https://yt3.ggpht.com/ytc/AOPolaS-bEss23wk7rU0VywpmYtdz7zmFrSLplLrxtKt6Do=s88-c-k-c0x00ffffff-no-rj</v>
      </c>
      <c r="AL10" s="81">
        <v>36312107</v>
      </c>
      <c r="AM10" s="81">
        <v>0</v>
      </c>
      <c r="AN10" s="81">
        <v>253000</v>
      </c>
      <c r="AO10" s="81" t="b">
        <v>0</v>
      </c>
      <c r="AP10" s="81">
        <v>2140</v>
      </c>
      <c r="AQ10" s="81"/>
      <c r="AR10" s="81"/>
      <c r="AS10" s="81" t="s">
        <v>2571</v>
      </c>
      <c r="AT10" s="83" t="str">
        <f>HYPERLINK("https://www.youtube.com/channel/UCD_DaKNac0Ta-2PeHuoQ1uA")</f>
        <v>https://www.youtube.com/channel/UCD_DaKNac0Ta-2PeHuoQ1uA</v>
      </c>
      <c r="AU10" s="81">
        <v>3</v>
      </c>
      <c r="AV10" s="49"/>
      <c r="AW10" s="50"/>
      <c r="AX10" s="49"/>
      <c r="AY10" s="50"/>
      <c r="AZ10" s="49"/>
      <c r="BA10" s="50"/>
      <c r="BB10" s="49"/>
      <c r="BC10" s="50"/>
      <c r="BD10" s="49"/>
      <c r="BE10" s="49"/>
      <c r="BF10" s="49"/>
      <c r="BG10" s="49"/>
      <c r="BH10" s="49"/>
      <c r="BI10" s="49"/>
      <c r="BJ10" s="49"/>
      <c r="BK10" s="115" t="s">
        <v>4477</v>
      </c>
      <c r="BL10" s="115" t="s">
        <v>4477</v>
      </c>
      <c r="BM10" s="115" t="s">
        <v>4477</v>
      </c>
      <c r="BN10" s="115" t="s">
        <v>4477</v>
      </c>
      <c r="BO10" s="2"/>
      <c r="BP10" s="3"/>
      <c r="BQ10" s="3"/>
      <c r="BR10" s="3"/>
      <c r="BS10" s="3"/>
    </row>
    <row r="11" spans="1:71" ht="15">
      <c r="A11" s="66" t="s">
        <v>229</v>
      </c>
      <c r="B11" s="67"/>
      <c r="C11" s="67"/>
      <c r="D11" s="68">
        <v>150</v>
      </c>
      <c r="E11" s="70"/>
      <c r="F11" s="102" t="str">
        <f>HYPERLINK("https://yt3.ggpht.com/ytc/AOPolaQuTs09_nwzJSS9zIOCpebIK1rIKIjqXiB3OA=s88-c-k-c0x00ffffff-no-rj")</f>
        <v>https://yt3.ggpht.com/ytc/AOPolaQuTs09_nwzJSS9zIOCpebIK1rIKIjqXiB3OA=s88-c-k-c0x00ffffff-no-rj</v>
      </c>
      <c r="G11" s="67"/>
      <c r="H11" s="71" t="s">
        <v>1307</v>
      </c>
      <c r="I11" s="72"/>
      <c r="J11" s="72" t="s">
        <v>159</v>
      </c>
      <c r="K11" s="71" t="s">
        <v>1307</v>
      </c>
      <c r="L11" s="75">
        <v>1</v>
      </c>
      <c r="M11" s="76">
        <v>9864.2900390625</v>
      </c>
      <c r="N11" s="76">
        <v>8115.935546875</v>
      </c>
      <c r="O11" s="77"/>
      <c r="P11" s="78"/>
      <c r="Q11" s="78"/>
      <c r="R11" s="88"/>
      <c r="S11" s="49">
        <v>0</v>
      </c>
      <c r="T11" s="49">
        <v>1</v>
      </c>
      <c r="U11" s="50">
        <v>0</v>
      </c>
      <c r="V11" s="50">
        <v>0.059549</v>
      </c>
      <c r="W11" s="50">
        <v>0</v>
      </c>
      <c r="X11" s="50">
        <v>0.001581</v>
      </c>
      <c r="Y11" s="50">
        <v>0</v>
      </c>
      <c r="Z11" s="50">
        <v>0</v>
      </c>
      <c r="AA11" s="73">
        <v>11</v>
      </c>
      <c r="AB11" s="73"/>
      <c r="AC11" s="74"/>
      <c r="AD11" s="81" t="s">
        <v>1307</v>
      </c>
      <c r="AE11" s="81"/>
      <c r="AF11" s="81"/>
      <c r="AG11" s="81"/>
      <c r="AH11" s="81"/>
      <c r="AI11" s="81" t="s">
        <v>2027</v>
      </c>
      <c r="AJ11" s="85">
        <v>40524.61</v>
      </c>
      <c r="AK11" s="83" t="str">
        <f>HYPERLINK("https://yt3.ggpht.com/ytc/AOPolaQuTs09_nwzJSS9zIOCpebIK1rIKIjqXiB3OA=s88-c-k-c0x00ffffff-no-rj")</f>
        <v>https://yt3.ggpht.com/ytc/AOPolaQuTs09_nwzJSS9zIOCpebIK1rIKIjqXiB3OA=s88-c-k-c0x00ffffff-no-rj</v>
      </c>
      <c r="AL11" s="81">
        <v>0</v>
      </c>
      <c r="AM11" s="81">
        <v>0</v>
      </c>
      <c r="AN11" s="81">
        <v>1</v>
      </c>
      <c r="AO11" s="81" t="b">
        <v>0</v>
      </c>
      <c r="AP11" s="81">
        <v>0</v>
      </c>
      <c r="AQ11" s="81"/>
      <c r="AR11" s="81"/>
      <c r="AS11" s="81" t="s">
        <v>2571</v>
      </c>
      <c r="AT11" s="83" t="str">
        <f>HYPERLINK("https://www.youtube.com/channel/UCsJOnWW5NyNRL8yxDHv3CeA")</f>
        <v>https://www.youtube.com/channel/UCsJOnWW5NyNRL8yxDHv3CeA</v>
      </c>
      <c r="AU11" s="81">
        <v>3</v>
      </c>
      <c r="AV11" s="49">
        <v>1</v>
      </c>
      <c r="AW11" s="50">
        <v>3.5714285714285716</v>
      </c>
      <c r="AX11" s="49">
        <v>1</v>
      </c>
      <c r="AY11" s="50">
        <v>3.5714285714285716</v>
      </c>
      <c r="AZ11" s="49">
        <v>0</v>
      </c>
      <c r="BA11" s="50">
        <v>0</v>
      </c>
      <c r="BB11" s="49">
        <v>5</v>
      </c>
      <c r="BC11" s="50">
        <v>17.857142857142858</v>
      </c>
      <c r="BD11" s="49">
        <v>28</v>
      </c>
      <c r="BE11" s="49"/>
      <c r="BF11" s="49"/>
      <c r="BG11" s="49"/>
      <c r="BH11" s="49"/>
      <c r="BI11" s="49"/>
      <c r="BJ11" s="49"/>
      <c r="BK11" s="115" t="s">
        <v>2579</v>
      </c>
      <c r="BL11" s="115" t="s">
        <v>2579</v>
      </c>
      <c r="BM11" s="115" t="s">
        <v>3059</v>
      </c>
      <c r="BN11" s="115" t="s">
        <v>3059</v>
      </c>
      <c r="BO11" s="2"/>
      <c r="BP11" s="3"/>
      <c r="BQ11" s="3"/>
      <c r="BR11" s="3"/>
      <c r="BS11" s="3"/>
    </row>
    <row r="12" spans="1:71" ht="15">
      <c r="A12" s="66" t="s">
        <v>230</v>
      </c>
      <c r="B12" s="67"/>
      <c r="C12" s="67"/>
      <c r="D12" s="68">
        <v>150</v>
      </c>
      <c r="E12" s="70"/>
      <c r="F12" s="102" t="str">
        <f>HYPERLINK("https://yt3.ggpht.com/ytc/AOPolaQ2xnaVpBTc3w8Umn1cw720P9R6GAinz-87fg=s88-c-k-c0x00ffffff-no-rj")</f>
        <v>https://yt3.ggpht.com/ytc/AOPolaQ2xnaVpBTc3w8Umn1cw720P9R6GAinz-87fg=s88-c-k-c0x00ffffff-no-rj</v>
      </c>
      <c r="G12" s="67"/>
      <c r="H12" s="71" t="s">
        <v>1308</v>
      </c>
      <c r="I12" s="72"/>
      <c r="J12" s="72" t="s">
        <v>159</v>
      </c>
      <c r="K12" s="71" t="s">
        <v>1308</v>
      </c>
      <c r="L12" s="75">
        <v>1</v>
      </c>
      <c r="M12" s="76">
        <v>7258.14501953125</v>
      </c>
      <c r="N12" s="76">
        <v>9146.71484375</v>
      </c>
      <c r="O12" s="77"/>
      <c r="P12" s="78"/>
      <c r="Q12" s="78"/>
      <c r="R12" s="88"/>
      <c r="S12" s="49">
        <v>0</v>
      </c>
      <c r="T12" s="49">
        <v>1</v>
      </c>
      <c r="U12" s="50">
        <v>0</v>
      </c>
      <c r="V12" s="50">
        <v>0.059549</v>
      </c>
      <c r="W12" s="50">
        <v>0</v>
      </c>
      <c r="X12" s="50">
        <v>0.001581</v>
      </c>
      <c r="Y12" s="50">
        <v>0</v>
      </c>
      <c r="Z12" s="50">
        <v>0</v>
      </c>
      <c r="AA12" s="73">
        <v>12</v>
      </c>
      <c r="AB12" s="73"/>
      <c r="AC12" s="74"/>
      <c r="AD12" s="81" t="s">
        <v>1308</v>
      </c>
      <c r="AE12" s="81"/>
      <c r="AF12" s="81"/>
      <c r="AG12" s="81"/>
      <c r="AH12" s="81"/>
      <c r="AI12" s="81" t="s">
        <v>2028</v>
      </c>
      <c r="AJ12" s="85">
        <v>42916.432071759256</v>
      </c>
      <c r="AK12" s="83" t="str">
        <f>HYPERLINK("https://yt3.ggpht.com/ytc/AOPolaQ2xnaVpBTc3w8Umn1cw720P9R6GAinz-87fg=s88-c-k-c0x00ffffff-no-rj")</f>
        <v>https://yt3.ggpht.com/ytc/AOPolaQ2xnaVpBTc3w8Umn1cw720P9R6GAinz-87fg=s88-c-k-c0x00ffffff-no-rj</v>
      </c>
      <c r="AL12" s="81">
        <v>0</v>
      </c>
      <c r="AM12" s="81">
        <v>0</v>
      </c>
      <c r="AN12" s="81">
        <v>1</v>
      </c>
      <c r="AO12" s="81" t="b">
        <v>0</v>
      </c>
      <c r="AP12" s="81">
        <v>0</v>
      </c>
      <c r="AQ12" s="81"/>
      <c r="AR12" s="81"/>
      <c r="AS12" s="81" t="s">
        <v>2571</v>
      </c>
      <c r="AT12" s="83" t="str">
        <f>HYPERLINK("https://www.youtube.com/channel/UCSHSmXn83dGWiPwSXO3KZTg")</f>
        <v>https://www.youtube.com/channel/UCSHSmXn83dGWiPwSXO3KZTg</v>
      </c>
      <c r="AU12" s="81">
        <v>3</v>
      </c>
      <c r="AV12" s="49">
        <v>1</v>
      </c>
      <c r="AW12" s="50">
        <v>5</v>
      </c>
      <c r="AX12" s="49">
        <v>0</v>
      </c>
      <c r="AY12" s="50">
        <v>0</v>
      </c>
      <c r="AZ12" s="49">
        <v>0</v>
      </c>
      <c r="BA12" s="50">
        <v>0</v>
      </c>
      <c r="BB12" s="49">
        <v>3</v>
      </c>
      <c r="BC12" s="50">
        <v>15</v>
      </c>
      <c r="BD12" s="49">
        <v>20</v>
      </c>
      <c r="BE12" s="49"/>
      <c r="BF12" s="49"/>
      <c r="BG12" s="49"/>
      <c r="BH12" s="49"/>
      <c r="BI12" s="49"/>
      <c r="BJ12" s="49"/>
      <c r="BK12" s="115" t="s">
        <v>2580</v>
      </c>
      <c r="BL12" s="115" t="s">
        <v>2580</v>
      </c>
      <c r="BM12" s="115" t="s">
        <v>3060</v>
      </c>
      <c r="BN12" s="115" t="s">
        <v>3060</v>
      </c>
      <c r="BO12" s="2"/>
      <c r="BP12" s="3"/>
      <c r="BQ12" s="3"/>
      <c r="BR12" s="3"/>
      <c r="BS12" s="3"/>
    </row>
    <row r="13" spans="1:71" ht="15">
      <c r="A13" s="66" t="s">
        <v>231</v>
      </c>
      <c r="B13" s="67"/>
      <c r="C13" s="67"/>
      <c r="D13" s="68">
        <v>150</v>
      </c>
      <c r="E13" s="70"/>
      <c r="F13" s="102" t="str">
        <f>HYPERLINK("https://yt3.ggpht.com/ytc/AOPolaTqsh0k1XlREEBdS26TIowVjxtWNSHeJNdJl83exw=s88-c-k-c0x00ffffff-no-rj")</f>
        <v>https://yt3.ggpht.com/ytc/AOPolaTqsh0k1XlREEBdS26TIowVjxtWNSHeJNdJl83exw=s88-c-k-c0x00ffffff-no-rj</v>
      </c>
      <c r="G13" s="67"/>
      <c r="H13" s="71" t="s">
        <v>1309</v>
      </c>
      <c r="I13" s="72"/>
      <c r="J13" s="72" t="s">
        <v>159</v>
      </c>
      <c r="K13" s="71" t="s">
        <v>1309</v>
      </c>
      <c r="L13" s="75">
        <v>1</v>
      </c>
      <c r="M13" s="76">
        <v>8122.45556640625</v>
      </c>
      <c r="N13" s="76">
        <v>9005.890625</v>
      </c>
      <c r="O13" s="77"/>
      <c r="P13" s="78"/>
      <c r="Q13" s="78"/>
      <c r="R13" s="88"/>
      <c r="S13" s="49">
        <v>0</v>
      </c>
      <c r="T13" s="49">
        <v>1</v>
      </c>
      <c r="U13" s="50">
        <v>0</v>
      </c>
      <c r="V13" s="50">
        <v>0.059549</v>
      </c>
      <c r="W13" s="50">
        <v>0</v>
      </c>
      <c r="X13" s="50">
        <v>0.001581</v>
      </c>
      <c r="Y13" s="50">
        <v>0</v>
      </c>
      <c r="Z13" s="50">
        <v>0</v>
      </c>
      <c r="AA13" s="73">
        <v>13</v>
      </c>
      <c r="AB13" s="73"/>
      <c r="AC13" s="74"/>
      <c r="AD13" s="81" t="s">
        <v>1309</v>
      </c>
      <c r="AE13" s="81"/>
      <c r="AF13" s="81"/>
      <c r="AG13" s="81"/>
      <c r="AH13" s="81"/>
      <c r="AI13" s="81" t="s">
        <v>2029</v>
      </c>
      <c r="AJ13" s="85">
        <v>41525.54193287037</v>
      </c>
      <c r="AK13" s="83" t="str">
        <f>HYPERLINK("https://yt3.ggpht.com/ytc/AOPolaTqsh0k1XlREEBdS26TIowVjxtWNSHeJNdJl83exw=s88-c-k-c0x00ffffff-no-rj")</f>
        <v>https://yt3.ggpht.com/ytc/AOPolaTqsh0k1XlREEBdS26TIowVjxtWNSHeJNdJl83exw=s88-c-k-c0x00ffffff-no-rj</v>
      </c>
      <c r="AL13" s="81">
        <v>0</v>
      </c>
      <c r="AM13" s="81">
        <v>0</v>
      </c>
      <c r="AN13" s="81">
        <v>1</v>
      </c>
      <c r="AO13" s="81" t="b">
        <v>0</v>
      </c>
      <c r="AP13" s="81">
        <v>0</v>
      </c>
      <c r="AQ13" s="81"/>
      <c r="AR13" s="81"/>
      <c r="AS13" s="81" t="s">
        <v>2571</v>
      </c>
      <c r="AT13" s="83" t="str">
        <f>HYPERLINK("https://www.youtube.com/channel/UCuQMJlKO_QFzEPpxbMnMgTQ")</f>
        <v>https://www.youtube.com/channel/UCuQMJlKO_QFzEPpxbMnMgTQ</v>
      </c>
      <c r="AU13" s="81">
        <v>3</v>
      </c>
      <c r="AV13" s="49">
        <v>1</v>
      </c>
      <c r="AW13" s="50">
        <v>1.7857142857142858</v>
      </c>
      <c r="AX13" s="49">
        <v>2</v>
      </c>
      <c r="AY13" s="50">
        <v>3.5714285714285716</v>
      </c>
      <c r="AZ13" s="49">
        <v>0</v>
      </c>
      <c r="BA13" s="50">
        <v>0</v>
      </c>
      <c r="BB13" s="49">
        <v>20</v>
      </c>
      <c r="BC13" s="50">
        <v>35.714285714285715</v>
      </c>
      <c r="BD13" s="49">
        <v>56</v>
      </c>
      <c r="BE13" s="49" t="s">
        <v>4410</v>
      </c>
      <c r="BF13" s="49" t="s">
        <v>4410</v>
      </c>
      <c r="BG13" s="49" t="s">
        <v>1860</v>
      </c>
      <c r="BH13" s="49" t="s">
        <v>1860</v>
      </c>
      <c r="BI13" s="49"/>
      <c r="BJ13" s="49"/>
      <c r="BK13" s="115" t="s">
        <v>2581</v>
      </c>
      <c r="BL13" s="115" t="s">
        <v>2581</v>
      </c>
      <c r="BM13" s="115" t="s">
        <v>3061</v>
      </c>
      <c r="BN13" s="115" t="s">
        <v>3061</v>
      </c>
      <c r="BO13" s="2"/>
      <c r="BP13" s="3"/>
      <c r="BQ13" s="3"/>
      <c r="BR13" s="3"/>
      <c r="BS13" s="3"/>
    </row>
    <row r="14" spans="1:71" ht="15">
      <c r="A14" s="66" t="s">
        <v>232</v>
      </c>
      <c r="B14" s="67"/>
      <c r="C14" s="67"/>
      <c r="D14" s="68">
        <v>150</v>
      </c>
      <c r="E14" s="70"/>
      <c r="F14" s="102" t="str">
        <f>HYPERLINK("https://yt3.ggpht.com/ytc/AOPolaTvf-efYSOCEr6RSDzu2NN-Q1EVATXQUIjXpC6G=s88-c-k-c0x00ffffff-no-rj")</f>
        <v>https://yt3.ggpht.com/ytc/AOPolaTvf-efYSOCEr6RSDzu2NN-Q1EVATXQUIjXpC6G=s88-c-k-c0x00ffffff-no-rj</v>
      </c>
      <c r="G14" s="67"/>
      <c r="H14" s="71" t="s">
        <v>1310</v>
      </c>
      <c r="I14" s="72"/>
      <c r="J14" s="72" t="s">
        <v>159</v>
      </c>
      <c r="K14" s="71" t="s">
        <v>1310</v>
      </c>
      <c r="L14" s="75">
        <v>1</v>
      </c>
      <c r="M14" s="76">
        <v>7107.60107421875</v>
      </c>
      <c r="N14" s="76">
        <v>7285.24755859375</v>
      </c>
      <c r="O14" s="77"/>
      <c r="P14" s="78"/>
      <c r="Q14" s="78"/>
      <c r="R14" s="88"/>
      <c r="S14" s="49">
        <v>0</v>
      </c>
      <c r="T14" s="49">
        <v>1</v>
      </c>
      <c r="U14" s="50">
        <v>0</v>
      </c>
      <c r="V14" s="50">
        <v>0.059549</v>
      </c>
      <c r="W14" s="50">
        <v>0</v>
      </c>
      <c r="X14" s="50">
        <v>0.001581</v>
      </c>
      <c r="Y14" s="50">
        <v>0</v>
      </c>
      <c r="Z14" s="50">
        <v>0</v>
      </c>
      <c r="AA14" s="73">
        <v>14</v>
      </c>
      <c r="AB14" s="73"/>
      <c r="AC14" s="74"/>
      <c r="AD14" s="81" t="s">
        <v>1310</v>
      </c>
      <c r="AE14" s="81"/>
      <c r="AF14" s="81"/>
      <c r="AG14" s="81"/>
      <c r="AH14" s="81"/>
      <c r="AI14" s="81" t="s">
        <v>2030</v>
      </c>
      <c r="AJ14" s="85">
        <v>42634.39071759259</v>
      </c>
      <c r="AK14" s="83" t="str">
        <f>HYPERLINK("https://yt3.ggpht.com/ytc/AOPolaTvf-efYSOCEr6RSDzu2NN-Q1EVATXQUIjXpC6G=s88-c-k-c0x00ffffff-no-rj")</f>
        <v>https://yt3.ggpht.com/ytc/AOPolaTvf-efYSOCEr6RSDzu2NN-Q1EVATXQUIjXpC6G=s88-c-k-c0x00ffffff-no-rj</v>
      </c>
      <c r="AL14" s="81">
        <v>1796</v>
      </c>
      <c r="AM14" s="81">
        <v>0</v>
      </c>
      <c r="AN14" s="81">
        <v>30</v>
      </c>
      <c r="AO14" s="81" t="b">
        <v>0</v>
      </c>
      <c r="AP14" s="81">
        <v>23</v>
      </c>
      <c r="AQ14" s="81"/>
      <c r="AR14" s="81"/>
      <c r="AS14" s="81" t="s">
        <v>2571</v>
      </c>
      <c r="AT14" s="83" t="str">
        <f>HYPERLINK("https://www.youtube.com/channel/UCwITU6pvKzazXrub5ZdjCCA")</f>
        <v>https://www.youtube.com/channel/UCwITU6pvKzazXrub5ZdjCCA</v>
      </c>
      <c r="AU14" s="81">
        <v>3</v>
      </c>
      <c r="AV14" s="49">
        <v>0</v>
      </c>
      <c r="AW14" s="50">
        <v>0</v>
      </c>
      <c r="AX14" s="49">
        <v>1</v>
      </c>
      <c r="AY14" s="50">
        <v>4.3478260869565215</v>
      </c>
      <c r="AZ14" s="49">
        <v>0</v>
      </c>
      <c r="BA14" s="50">
        <v>0</v>
      </c>
      <c r="BB14" s="49">
        <v>5</v>
      </c>
      <c r="BC14" s="50">
        <v>21.73913043478261</v>
      </c>
      <c r="BD14" s="49">
        <v>23</v>
      </c>
      <c r="BE14" s="49"/>
      <c r="BF14" s="49"/>
      <c r="BG14" s="49"/>
      <c r="BH14" s="49"/>
      <c r="BI14" s="49"/>
      <c r="BJ14" s="49"/>
      <c r="BK14" s="115" t="s">
        <v>2582</v>
      </c>
      <c r="BL14" s="115" t="s">
        <v>2582</v>
      </c>
      <c r="BM14" s="115" t="s">
        <v>3062</v>
      </c>
      <c r="BN14" s="115" t="s">
        <v>3062</v>
      </c>
      <c r="BO14" s="2"/>
      <c r="BP14" s="3"/>
      <c r="BQ14" s="3"/>
      <c r="BR14" s="3"/>
      <c r="BS14" s="3"/>
    </row>
    <row r="15" spans="1:71" ht="15">
      <c r="A15" s="66" t="s">
        <v>233</v>
      </c>
      <c r="B15" s="67"/>
      <c r="C15" s="67"/>
      <c r="D15" s="68">
        <v>150</v>
      </c>
      <c r="E15" s="70"/>
      <c r="F15" s="102" t="str">
        <f>HYPERLINK("https://yt3.ggpht.com/ytc/AOPolaSTfLqlmlpfxUFUVli4pYcE6J_LK_ttIdrcOiBK=s88-c-k-c0x00ffffff-no-rj")</f>
        <v>https://yt3.ggpht.com/ytc/AOPolaSTfLqlmlpfxUFUVli4pYcE6J_LK_ttIdrcOiBK=s88-c-k-c0x00ffffff-no-rj</v>
      </c>
      <c r="G15" s="67"/>
      <c r="H15" s="71" t="s">
        <v>1311</v>
      </c>
      <c r="I15" s="72"/>
      <c r="J15" s="72" t="s">
        <v>159</v>
      </c>
      <c r="K15" s="71" t="s">
        <v>1311</v>
      </c>
      <c r="L15" s="75">
        <v>1</v>
      </c>
      <c r="M15" s="76">
        <v>7554.052734375</v>
      </c>
      <c r="N15" s="76">
        <v>6883.6142578125</v>
      </c>
      <c r="O15" s="77"/>
      <c r="P15" s="78"/>
      <c r="Q15" s="78"/>
      <c r="R15" s="88"/>
      <c r="S15" s="49">
        <v>0</v>
      </c>
      <c r="T15" s="49">
        <v>1</v>
      </c>
      <c r="U15" s="50">
        <v>0</v>
      </c>
      <c r="V15" s="50">
        <v>0.059549</v>
      </c>
      <c r="W15" s="50">
        <v>0</v>
      </c>
      <c r="X15" s="50">
        <v>0.001581</v>
      </c>
      <c r="Y15" s="50">
        <v>0</v>
      </c>
      <c r="Z15" s="50">
        <v>0</v>
      </c>
      <c r="AA15" s="73">
        <v>15</v>
      </c>
      <c r="AB15" s="73"/>
      <c r="AC15" s="74"/>
      <c r="AD15" s="81" t="s">
        <v>1311</v>
      </c>
      <c r="AE15" s="81"/>
      <c r="AF15" s="81"/>
      <c r="AG15" s="81"/>
      <c r="AH15" s="81"/>
      <c r="AI15" s="81" t="s">
        <v>2031</v>
      </c>
      <c r="AJ15" s="85">
        <v>40881.15101851852</v>
      </c>
      <c r="AK15" s="83" t="str">
        <f>HYPERLINK("https://yt3.ggpht.com/ytc/AOPolaSTfLqlmlpfxUFUVli4pYcE6J_LK_ttIdrcOiBK=s88-c-k-c0x00ffffff-no-rj")</f>
        <v>https://yt3.ggpht.com/ytc/AOPolaSTfLqlmlpfxUFUVli4pYcE6J_LK_ttIdrcOiBK=s88-c-k-c0x00ffffff-no-rj</v>
      </c>
      <c r="AL15" s="81">
        <v>0</v>
      </c>
      <c r="AM15" s="81">
        <v>0</v>
      </c>
      <c r="AN15" s="81">
        <v>2</v>
      </c>
      <c r="AO15" s="81" t="b">
        <v>0</v>
      </c>
      <c r="AP15" s="81">
        <v>0</v>
      </c>
      <c r="AQ15" s="81"/>
      <c r="AR15" s="81"/>
      <c r="AS15" s="81" t="s">
        <v>2571</v>
      </c>
      <c r="AT15" s="83" t="str">
        <f>HYPERLINK("https://www.youtube.com/channel/UCiCWDWq680ukV-Uehr_tKjg")</f>
        <v>https://www.youtube.com/channel/UCiCWDWq680ukV-Uehr_tKjg</v>
      </c>
      <c r="AU15" s="81">
        <v>3</v>
      </c>
      <c r="AV15" s="49">
        <v>0</v>
      </c>
      <c r="AW15" s="50">
        <v>0</v>
      </c>
      <c r="AX15" s="49">
        <v>1</v>
      </c>
      <c r="AY15" s="50">
        <v>8.333333333333334</v>
      </c>
      <c r="AZ15" s="49">
        <v>0</v>
      </c>
      <c r="BA15" s="50">
        <v>0</v>
      </c>
      <c r="BB15" s="49">
        <v>5</v>
      </c>
      <c r="BC15" s="50">
        <v>41.666666666666664</v>
      </c>
      <c r="BD15" s="49">
        <v>12</v>
      </c>
      <c r="BE15" s="49"/>
      <c r="BF15" s="49"/>
      <c r="BG15" s="49"/>
      <c r="BH15" s="49"/>
      <c r="BI15" s="49"/>
      <c r="BJ15" s="49"/>
      <c r="BK15" s="115" t="s">
        <v>2583</v>
      </c>
      <c r="BL15" s="115" t="s">
        <v>2583</v>
      </c>
      <c r="BM15" s="115" t="s">
        <v>3063</v>
      </c>
      <c r="BN15" s="115" t="s">
        <v>3063</v>
      </c>
      <c r="BO15" s="2"/>
      <c r="BP15" s="3"/>
      <c r="BQ15" s="3"/>
      <c r="BR15" s="3"/>
      <c r="BS15" s="3"/>
    </row>
    <row r="16" spans="1:71" ht="15">
      <c r="A16" s="66" t="s">
        <v>234</v>
      </c>
      <c r="B16" s="67"/>
      <c r="C16" s="67"/>
      <c r="D16" s="68">
        <v>150</v>
      </c>
      <c r="E16" s="70"/>
      <c r="F16" s="102" t="str">
        <f>HYPERLINK("https://yt3.ggpht.com/ytc/AOPolaRNOl4s-K2fdaJju8MjRhAkju5fJvilOl0UfBwU=s88-c-k-c0x00ffffff-no-rj")</f>
        <v>https://yt3.ggpht.com/ytc/AOPolaRNOl4s-K2fdaJju8MjRhAkju5fJvilOl0UfBwU=s88-c-k-c0x00ffffff-no-rj</v>
      </c>
      <c r="G16" s="67"/>
      <c r="H16" s="71" t="s">
        <v>1312</v>
      </c>
      <c r="I16" s="72"/>
      <c r="J16" s="72" t="s">
        <v>159</v>
      </c>
      <c r="K16" s="71" t="s">
        <v>1312</v>
      </c>
      <c r="L16" s="75">
        <v>1</v>
      </c>
      <c r="M16" s="76">
        <v>8426.345703125</v>
      </c>
      <c r="N16" s="76">
        <v>7287.01806640625</v>
      </c>
      <c r="O16" s="77"/>
      <c r="P16" s="78"/>
      <c r="Q16" s="78"/>
      <c r="R16" s="88"/>
      <c r="S16" s="49">
        <v>0</v>
      </c>
      <c r="T16" s="49">
        <v>1</v>
      </c>
      <c r="U16" s="50">
        <v>0</v>
      </c>
      <c r="V16" s="50">
        <v>0.059549</v>
      </c>
      <c r="W16" s="50">
        <v>0</v>
      </c>
      <c r="X16" s="50">
        <v>0.001581</v>
      </c>
      <c r="Y16" s="50">
        <v>0</v>
      </c>
      <c r="Z16" s="50">
        <v>0</v>
      </c>
      <c r="AA16" s="73">
        <v>16</v>
      </c>
      <c r="AB16" s="73"/>
      <c r="AC16" s="74"/>
      <c r="AD16" s="81" t="s">
        <v>1312</v>
      </c>
      <c r="AE16" s="81"/>
      <c r="AF16" s="81"/>
      <c r="AG16" s="81"/>
      <c r="AH16" s="81"/>
      <c r="AI16" s="81" t="s">
        <v>2032</v>
      </c>
      <c r="AJ16" s="85">
        <v>38810.02538194445</v>
      </c>
      <c r="AK16" s="83" t="str">
        <f>HYPERLINK("https://yt3.ggpht.com/ytc/AOPolaRNOl4s-K2fdaJju8MjRhAkju5fJvilOl0UfBwU=s88-c-k-c0x00ffffff-no-rj")</f>
        <v>https://yt3.ggpht.com/ytc/AOPolaRNOl4s-K2fdaJju8MjRhAkju5fJvilOl0UfBwU=s88-c-k-c0x00ffffff-no-rj</v>
      </c>
      <c r="AL16" s="81">
        <v>0</v>
      </c>
      <c r="AM16" s="81">
        <v>0</v>
      </c>
      <c r="AN16" s="81">
        <v>27</v>
      </c>
      <c r="AO16" s="81" t="b">
        <v>0</v>
      </c>
      <c r="AP16" s="81">
        <v>0</v>
      </c>
      <c r="AQ16" s="81"/>
      <c r="AR16" s="81"/>
      <c r="AS16" s="81" t="s">
        <v>2571</v>
      </c>
      <c r="AT16" s="83" t="str">
        <f>HYPERLINK("https://www.youtube.com/channel/UCL9DzZ00vJegnZue-sTdLYQ")</f>
        <v>https://www.youtube.com/channel/UCL9DzZ00vJegnZue-sTdLYQ</v>
      </c>
      <c r="AU16" s="81">
        <v>3</v>
      </c>
      <c r="AV16" s="49">
        <v>6</v>
      </c>
      <c r="AW16" s="50">
        <v>16.666666666666668</v>
      </c>
      <c r="AX16" s="49">
        <v>0</v>
      </c>
      <c r="AY16" s="50">
        <v>0</v>
      </c>
      <c r="AZ16" s="49">
        <v>0</v>
      </c>
      <c r="BA16" s="50">
        <v>0</v>
      </c>
      <c r="BB16" s="49">
        <v>11</v>
      </c>
      <c r="BC16" s="50">
        <v>30.555555555555557</v>
      </c>
      <c r="BD16" s="49">
        <v>36</v>
      </c>
      <c r="BE16" s="49"/>
      <c r="BF16" s="49"/>
      <c r="BG16" s="49"/>
      <c r="BH16" s="49"/>
      <c r="BI16" s="49"/>
      <c r="BJ16" s="49"/>
      <c r="BK16" s="115" t="s">
        <v>2584</v>
      </c>
      <c r="BL16" s="115" t="s">
        <v>2584</v>
      </c>
      <c r="BM16" s="115" t="s">
        <v>3064</v>
      </c>
      <c r="BN16" s="115" t="s">
        <v>3064</v>
      </c>
      <c r="BO16" s="2"/>
      <c r="BP16" s="3"/>
      <c r="BQ16" s="3"/>
      <c r="BR16" s="3"/>
      <c r="BS16" s="3"/>
    </row>
    <row r="17" spans="1:71" ht="15">
      <c r="A17" s="66" t="s">
        <v>235</v>
      </c>
      <c r="B17" s="67"/>
      <c r="C17" s="67"/>
      <c r="D17" s="68">
        <v>150</v>
      </c>
      <c r="E17" s="70"/>
      <c r="F17" s="102" t="str">
        <f>HYPERLINK("https://yt3.ggpht.com/ytc/AOPolaTi4Cide6pGI9CUrb1Sr4psQ-dBqxTFFXRR7g=s88-c-k-c0x00ffffff-no-rj")</f>
        <v>https://yt3.ggpht.com/ytc/AOPolaTi4Cide6pGI9CUrb1Sr4psQ-dBqxTFFXRR7g=s88-c-k-c0x00ffffff-no-rj</v>
      </c>
      <c r="G17" s="67"/>
      <c r="H17" s="71" t="s">
        <v>1313</v>
      </c>
      <c r="I17" s="72"/>
      <c r="J17" s="72" t="s">
        <v>159</v>
      </c>
      <c r="K17" s="71" t="s">
        <v>1313</v>
      </c>
      <c r="L17" s="75">
        <v>1</v>
      </c>
      <c r="M17" s="76">
        <v>7641.93212890625</v>
      </c>
      <c r="N17" s="76">
        <v>8034.59765625</v>
      </c>
      <c r="O17" s="77"/>
      <c r="P17" s="78"/>
      <c r="Q17" s="78"/>
      <c r="R17" s="88"/>
      <c r="S17" s="49">
        <v>0</v>
      </c>
      <c r="T17" s="49">
        <v>1</v>
      </c>
      <c r="U17" s="50">
        <v>0</v>
      </c>
      <c r="V17" s="50">
        <v>0.059549</v>
      </c>
      <c r="W17" s="50">
        <v>0</v>
      </c>
      <c r="X17" s="50">
        <v>0.001581</v>
      </c>
      <c r="Y17" s="50">
        <v>0</v>
      </c>
      <c r="Z17" s="50">
        <v>0</v>
      </c>
      <c r="AA17" s="73">
        <v>17</v>
      </c>
      <c r="AB17" s="73"/>
      <c r="AC17" s="74"/>
      <c r="AD17" s="81" t="s">
        <v>1313</v>
      </c>
      <c r="AE17" s="81"/>
      <c r="AF17" s="81"/>
      <c r="AG17" s="81"/>
      <c r="AH17" s="81"/>
      <c r="AI17" s="81" t="s">
        <v>2033</v>
      </c>
      <c r="AJ17" s="85">
        <v>40641.07716435185</v>
      </c>
      <c r="AK17" s="83" t="str">
        <f>HYPERLINK("https://yt3.ggpht.com/ytc/AOPolaTi4Cide6pGI9CUrb1Sr4psQ-dBqxTFFXRR7g=s88-c-k-c0x00ffffff-no-rj")</f>
        <v>https://yt3.ggpht.com/ytc/AOPolaTi4Cide6pGI9CUrb1Sr4psQ-dBqxTFFXRR7g=s88-c-k-c0x00ffffff-no-rj</v>
      </c>
      <c r="AL17" s="81">
        <v>0</v>
      </c>
      <c r="AM17" s="81">
        <v>0</v>
      </c>
      <c r="AN17" s="81">
        <v>0</v>
      </c>
      <c r="AO17" s="81" t="b">
        <v>0</v>
      </c>
      <c r="AP17" s="81">
        <v>0</v>
      </c>
      <c r="AQ17" s="81"/>
      <c r="AR17" s="81"/>
      <c r="AS17" s="81" t="s">
        <v>2571</v>
      </c>
      <c r="AT17" s="83" t="str">
        <f>HYPERLINK("https://www.youtube.com/channel/UCktXZ0D5zb1AKG4IEeCh6oA")</f>
        <v>https://www.youtube.com/channel/UCktXZ0D5zb1AKG4IEeCh6oA</v>
      </c>
      <c r="AU17" s="81">
        <v>3</v>
      </c>
      <c r="AV17" s="49">
        <v>0</v>
      </c>
      <c r="AW17" s="50">
        <v>0</v>
      </c>
      <c r="AX17" s="49">
        <v>2</v>
      </c>
      <c r="AY17" s="50">
        <v>9.523809523809524</v>
      </c>
      <c r="AZ17" s="49">
        <v>0</v>
      </c>
      <c r="BA17" s="50">
        <v>0</v>
      </c>
      <c r="BB17" s="49">
        <v>10</v>
      </c>
      <c r="BC17" s="50">
        <v>47.61904761904762</v>
      </c>
      <c r="BD17" s="49">
        <v>21</v>
      </c>
      <c r="BE17" s="49"/>
      <c r="BF17" s="49"/>
      <c r="BG17" s="49"/>
      <c r="BH17" s="49"/>
      <c r="BI17" s="49"/>
      <c r="BJ17" s="49"/>
      <c r="BK17" s="115" t="s">
        <v>2585</v>
      </c>
      <c r="BL17" s="115" t="s">
        <v>2585</v>
      </c>
      <c r="BM17" s="115" t="s">
        <v>3065</v>
      </c>
      <c r="BN17" s="115" t="s">
        <v>3065</v>
      </c>
      <c r="BO17" s="2"/>
      <c r="BP17" s="3"/>
      <c r="BQ17" s="3"/>
      <c r="BR17" s="3"/>
      <c r="BS17" s="3"/>
    </row>
    <row r="18" spans="1:71" ht="15">
      <c r="A18" s="66" t="s">
        <v>236</v>
      </c>
      <c r="B18" s="67"/>
      <c r="C18" s="67"/>
      <c r="D18" s="68">
        <v>150</v>
      </c>
      <c r="E18" s="70"/>
      <c r="F18" s="102" t="str">
        <f>HYPERLINK("https://yt3.ggpht.com/ytc/AOPolaTEKxQ-b5ZoLTFVUB_JgC2HYWjtORGqcCAETg=s88-c-k-c0x00ffffff-no-rj")</f>
        <v>https://yt3.ggpht.com/ytc/AOPolaTEKxQ-b5ZoLTFVUB_JgC2HYWjtORGqcCAETg=s88-c-k-c0x00ffffff-no-rj</v>
      </c>
      <c r="G18" s="67"/>
      <c r="H18" s="71" t="s">
        <v>1314</v>
      </c>
      <c r="I18" s="72"/>
      <c r="J18" s="72" t="s">
        <v>159</v>
      </c>
      <c r="K18" s="71" t="s">
        <v>1314</v>
      </c>
      <c r="L18" s="75">
        <v>1</v>
      </c>
      <c r="M18" s="76">
        <v>8906.2529296875</v>
      </c>
      <c r="N18" s="76">
        <v>8688.3515625</v>
      </c>
      <c r="O18" s="77"/>
      <c r="P18" s="78"/>
      <c r="Q18" s="78"/>
      <c r="R18" s="88"/>
      <c r="S18" s="49">
        <v>0</v>
      </c>
      <c r="T18" s="49">
        <v>1</v>
      </c>
      <c r="U18" s="50">
        <v>0</v>
      </c>
      <c r="V18" s="50">
        <v>0.059549</v>
      </c>
      <c r="W18" s="50">
        <v>0</v>
      </c>
      <c r="X18" s="50">
        <v>0.001581</v>
      </c>
      <c r="Y18" s="50">
        <v>0</v>
      </c>
      <c r="Z18" s="50">
        <v>0</v>
      </c>
      <c r="AA18" s="73">
        <v>18</v>
      </c>
      <c r="AB18" s="73"/>
      <c r="AC18" s="74"/>
      <c r="AD18" s="81" t="s">
        <v>1314</v>
      </c>
      <c r="AE18" s="81"/>
      <c r="AF18" s="81"/>
      <c r="AG18" s="81"/>
      <c r="AH18" s="81"/>
      <c r="AI18" s="81" t="s">
        <v>2034</v>
      </c>
      <c r="AJ18" s="85">
        <v>41993.17178240741</v>
      </c>
      <c r="AK18" s="83" t="str">
        <f>HYPERLINK("https://yt3.ggpht.com/ytc/AOPolaTEKxQ-b5ZoLTFVUB_JgC2HYWjtORGqcCAETg=s88-c-k-c0x00ffffff-no-rj")</f>
        <v>https://yt3.ggpht.com/ytc/AOPolaTEKxQ-b5ZoLTFVUB_JgC2HYWjtORGqcCAETg=s88-c-k-c0x00ffffff-no-rj</v>
      </c>
      <c r="AL18" s="81">
        <v>28009</v>
      </c>
      <c r="AM18" s="81">
        <v>0</v>
      </c>
      <c r="AN18" s="81">
        <v>377</v>
      </c>
      <c r="AO18" s="81" t="b">
        <v>0</v>
      </c>
      <c r="AP18" s="81">
        <v>95</v>
      </c>
      <c r="AQ18" s="81"/>
      <c r="AR18" s="81"/>
      <c r="AS18" s="81" t="s">
        <v>2571</v>
      </c>
      <c r="AT18" s="83" t="str">
        <f>HYPERLINK("https://www.youtube.com/channel/UCek14wf03-ae60a7tBVSq1w")</f>
        <v>https://www.youtube.com/channel/UCek14wf03-ae60a7tBVSq1w</v>
      </c>
      <c r="AU18" s="81">
        <v>3</v>
      </c>
      <c r="AV18" s="49">
        <v>2</v>
      </c>
      <c r="AW18" s="50">
        <v>9.523809523809524</v>
      </c>
      <c r="AX18" s="49">
        <v>0</v>
      </c>
      <c r="AY18" s="50">
        <v>0</v>
      </c>
      <c r="AZ18" s="49">
        <v>0</v>
      </c>
      <c r="BA18" s="50">
        <v>0</v>
      </c>
      <c r="BB18" s="49">
        <v>6</v>
      </c>
      <c r="BC18" s="50">
        <v>28.571428571428573</v>
      </c>
      <c r="BD18" s="49">
        <v>21</v>
      </c>
      <c r="BE18" s="49"/>
      <c r="BF18" s="49"/>
      <c r="BG18" s="49"/>
      <c r="BH18" s="49"/>
      <c r="BI18" s="49"/>
      <c r="BJ18" s="49"/>
      <c r="BK18" s="115" t="s">
        <v>2586</v>
      </c>
      <c r="BL18" s="115" t="s">
        <v>2586</v>
      </c>
      <c r="BM18" s="115" t="s">
        <v>3066</v>
      </c>
      <c r="BN18" s="115" t="s">
        <v>3066</v>
      </c>
      <c r="BO18" s="2"/>
      <c r="BP18" s="3"/>
      <c r="BQ18" s="3"/>
      <c r="BR18" s="3"/>
      <c r="BS18" s="3"/>
    </row>
    <row r="19" spans="1:71" ht="15">
      <c r="A19" s="66" t="s">
        <v>237</v>
      </c>
      <c r="B19" s="67"/>
      <c r="C19" s="67"/>
      <c r="D19" s="68">
        <v>150</v>
      </c>
      <c r="E19" s="70"/>
      <c r="F19" s="102" t="str">
        <f>HYPERLINK("https://yt3.ggpht.com/ytc/AOPolaRdcMkXzLu5uvO8kfLDqVXUXVvfN4mh2LocHkhI=s88-c-k-c0x00ffffff-no-rj")</f>
        <v>https://yt3.ggpht.com/ytc/AOPolaRdcMkXzLu5uvO8kfLDqVXUXVvfN4mh2LocHkhI=s88-c-k-c0x00ffffff-no-rj</v>
      </c>
      <c r="G19" s="67"/>
      <c r="H19" s="71" t="s">
        <v>1315</v>
      </c>
      <c r="I19" s="72"/>
      <c r="J19" s="72" t="s">
        <v>159</v>
      </c>
      <c r="K19" s="71" t="s">
        <v>1315</v>
      </c>
      <c r="L19" s="75">
        <v>1</v>
      </c>
      <c r="M19" s="76">
        <v>8061.88623046875</v>
      </c>
      <c r="N19" s="76">
        <v>7101.27001953125</v>
      </c>
      <c r="O19" s="77"/>
      <c r="P19" s="78"/>
      <c r="Q19" s="78"/>
      <c r="R19" s="88"/>
      <c r="S19" s="49">
        <v>0</v>
      </c>
      <c r="T19" s="49">
        <v>1</v>
      </c>
      <c r="U19" s="50">
        <v>0</v>
      </c>
      <c r="V19" s="50">
        <v>0.059549</v>
      </c>
      <c r="W19" s="50">
        <v>0</v>
      </c>
      <c r="X19" s="50">
        <v>0.001581</v>
      </c>
      <c r="Y19" s="50">
        <v>0</v>
      </c>
      <c r="Z19" s="50">
        <v>0</v>
      </c>
      <c r="AA19" s="73">
        <v>19</v>
      </c>
      <c r="AB19" s="73"/>
      <c r="AC19" s="74"/>
      <c r="AD19" s="81" t="s">
        <v>1315</v>
      </c>
      <c r="AE19" s="81"/>
      <c r="AF19" s="81"/>
      <c r="AG19" s="81"/>
      <c r="AH19" s="81"/>
      <c r="AI19" s="81" t="s">
        <v>2035</v>
      </c>
      <c r="AJ19" s="85">
        <v>39142.02903935185</v>
      </c>
      <c r="AK19" s="83" t="str">
        <f>HYPERLINK("https://yt3.ggpht.com/ytc/AOPolaRdcMkXzLu5uvO8kfLDqVXUXVvfN4mh2LocHkhI=s88-c-k-c0x00ffffff-no-rj")</f>
        <v>https://yt3.ggpht.com/ytc/AOPolaRdcMkXzLu5uvO8kfLDqVXUXVvfN4mh2LocHkhI=s88-c-k-c0x00ffffff-no-rj</v>
      </c>
      <c r="AL19" s="81">
        <v>38</v>
      </c>
      <c r="AM19" s="81">
        <v>0</v>
      </c>
      <c r="AN19" s="81">
        <v>4</v>
      </c>
      <c r="AO19" s="81" t="b">
        <v>0</v>
      </c>
      <c r="AP19" s="81">
        <v>1</v>
      </c>
      <c r="AQ19" s="81"/>
      <c r="AR19" s="81"/>
      <c r="AS19" s="81" t="s">
        <v>2571</v>
      </c>
      <c r="AT19" s="83" t="str">
        <f>HYPERLINK("https://www.youtube.com/channel/UCEiZM4t4CszDR4hv-Idy3ww")</f>
        <v>https://www.youtube.com/channel/UCEiZM4t4CszDR4hv-Idy3ww</v>
      </c>
      <c r="AU19" s="81">
        <v>3</v>
      </c>
      <c r="AV19" s="49">
        <v>4</v>
      </c>
      <c r="AW19" s="50">
        <v>12.903225806451612</v>
      </c>
      <c r="AX19" s="49">
        <v>0</v>
      </c>
      <c r="AY19" s="50">
        <v>0</v>
      </c>
      <c r="AZ19" s="49">
        <v>0</v>
      </c>
      <c r="BA19" s="50">
        <v>0</v>
      </c>
      <c r="BB19" s="49">
        <v>8</v>
      </c>
      <c r="BC19" s="50">
        <v>25.806451612903224</v>
      </c>
      <c r="BD19" s="49">
        <v>31</v>
      </c>
      <c r="BE19" s="49"/>
      <c r="BF19" s="49"/>
      <c r="BG19" s="49"/>
      <c r="BH19" s="49"/>
      <c r="BI19" s="49"/>
      <c r="BJ19" s="49"/>
      <c r="BK19" s="115" t="s">
        <v>2587</v>
      </c>
      <c r="BL19" s="115" t="s">
        <v>2587</v>
      </c>
      <c r="BM19" s="115" t="s">
        <v>3067</v>
      </c>
      <c r="BN19" s="115" t="s">
        <v>3067</v>
      </c>
      <c r="BO19" s="2"/>
      <c r="BP19" s="3"/>
      <c r="BQ19" s="3"/>
      <c r="BR19" s="3"/>
      <c r="BS19" s="3"/>
    </row>
    <row r="20" spans="1:71" ht="15">
      <c r="A20" s="66" t="s">
        <v>238</v>
      </c>
      <c r="B20" s="67"/>
      <c r="C20" s="67"/>
      <c r="D20" s="68">
        <v>150</v>
      </c>
      <c r="E20" s="70"/>
      <c r="F20" s="102" t="str">
        <f>HYPERLINK("https://yt3.ggpht.com/ytc/AOPolaSdcMnLLeVT_6rVEVuddDTLGrLEUwmsbp228Nhe3CsAIOxhA9Gcft6EO7urBpJi=s88-c-k-c0x00ffffff-no-rj")</f>
        <v>https://yt3.ggpht.com/ytc/AOPolaSdcMnLLeVT_6rVEVuddDTLGrLEUwmsbp228Nhe3CsAIOxhA9Gcft6EO7urBpJi=s88-c-k-c0x00ffffff-no-rj</v>
      </c>
      <c r="G20" s="67"/>
      <c r="H20" s="71" t="s">
        <v>1316</v>
      </c>
      <c r="I20" s="72"/>
      <c r="J20" s="72" t="s">
        <v>159</v>
      </c>
      <c r="K20" s="71" t="s">
        <v>1316</v>
      </c>
      <c r="L20" s="75">
        <v>1</v>
      </c>
      <c r="M20" s="76">
        <v>8606.451171875</v>
      </c>
      <c r="N20" s="76">
        <v>6877.45166015625</v>
      </c>
      <c r="O20" s="77"/>
      <c r="P20" s="78"/>
      <c r="Q20" s="78"/>
      <c r="R20" s="88"/>
      <c r="S20" s="49">
        <v>0</v>
      </c>
      <c r="T20" s="49">
        <v>1</v>
      </c>
      <c r="U20" s="50">
        <v>0</v>
      </c>
      <c r="V20" s="50">
        <v>0.059549</v>
      </c>
      <c r="W20" s="50">
        <v>0</v>
      </c>
      <c r="X20" s="50">
        <v>0.001581</v>
      </c>
      <c r="Y20" s="50">
        <v>0</v>
      </c>
      <c r="Z20" s="50">
        <v>0</v>
      </c>
      <c r="AA20" s="73">
        <v>20</v>
      </c>
      <c r="AB20" s="73"/>
      <c r="AC20" s="74"/>
      <c r="AD20" s="81" t="s">
        <v>1316</v>
      </c>
      <c r="AE20" s="81"/>
      <c r="AF20" s="81"/>
      <c r="AG20" s="81"/>
      <c r="AH20" s="81"/>
      <c r="AI20" s="81" t="s">
        <v>2036</v>
      </c>
      <c r="AJ20" s="85">
        <v>44519.10900462963</v>
      </c>
      <c r="AK20" s="83" t="str">
        <f>HYPERLINK("https://yt3.ggpht.com/ytc/AOPolaSdcMnLLeVT_6rVEVuddDTLGrLEUwmsbp228Nhe3CsAIOxhA9Gcft6EO7urBpJi=s88-c-k-c0x00ffffff-no-rj")</f>
        <v>https://yt3.ggpht.com/ytc/AOPolaSdcMnLLeVT_6rVEVuddDTLGrLEUwmsbp228Nhe3CsAIOxhA9Gcft6EO7urBpJi=s88-c-k-c0x00ffffff-no-rj</v>
      </c>
      <c r="AL20" s="81">
        <v>0</v>
      </c>
      <c r="AM20" s="81">
        <v>0</v>
      </c>
      <c r="AN20" s="81">
        <v>7</v>
      </c>
      <c r="AO20" s="81" t="b">
        <v>0</v>
      </c>
      <c r="AP20" s="81">
        <v>0</v>
      </c>
      <c r="AQ20" s="81"/>
      <c r="AR20" s="81"/>
      <c r="AS20" s="81" t="s">
        <v>2571</v>
      </c>
      <c r="AT20" s="83" t="str">
        <f>HYPERLINK("https://www.youtube.com/channel/UCnohTVtCuvNtolRm-tRiGZQ")</f>
        <v>https://www.youtube.com/channel/UCnohTVtCuvNtolRm-tRiGZQ</v>
      </c>
      <c r="AU20" s="81">
        <v>3</v>
      </c>
      <c r="AV20" s="49">
        <v>0</v>
      </c>
      <c r="AW20" s="50">
        <v>0</v>
      </c>
      <c r="AX20" s="49">
        <v>0</v>
      </c>
      <c r="AY20" s="50">
        <v>0</v>
      </c>
      <c r="AZ20" s="49">
        <v>0</v>
      </c>
      <c r="BA20" s="50">
        <v>0</v>
      </c>
      <c r="BB20" s="49">
        <v>5</v>
      </c>
      <c r="BC20" s="50">
        <v>38.46153846153846</v>
      </c>
      <c r="BD20" s="49">
        <v>13</v>
      </c>
      <c r="BE20" s="49"/>
      <c r="BF20" s="49"/>
      <c r="BG20" s="49"/>
      <c r="BH20" s="49"/>
      <c r="BI20" s="49"/>
      <c r="BJ20" s="49"/>
      <c r="BK20" s="115" t="s">
        <v>2588</v>
      </c>
      <c r="BL20" s="115" t="s">
        <v>2588</v>
      </c>
      <c r="BM20" s="115" t="s">
        <v>3068</v>
      </c>
      <c r="BN20" s="115" t="s">
        <v>3068</v>
      </c>
      <c r="BO20" s="2"/>
      <c r="BP20" s="3"/>
      <c r="BQ20" s="3"/>
      <c r="BR20" s="3"/>
      <c r="BS20" s="3"/>
    </row>
    <row r="21" spans="1:71" ht="15">
      <c r="A21" s="66" t="s">
        <v>239</v>
      </c>
      <c r="B21" s="67"/>
      <c r="C21" s="67"/>
      <c r="D21" s="68">
        <v>150</v>
      </c>
      <c r="E21" s="70"/>
      <c r="F21" s="102" t="str">
        <f>HYPERLINK("https://yt3.ggpht.com/wGnkHKJOeFKo-waef8nbj8onmWb1ZG8yFbY57oWOamI2QaY_0LHVgogaQamIr5T5RS_5AwAZxcg=s88-c-k-c0x00ffffff-no-rj")</f>
        <v>https://yt3.ggpht.com/wGnkHKJOeFKo-waef8nbj8onmWb1ZG8yFbY57oWOamI2QaY_0LHVgogaQamIr5T5RS_5AwAZxcg=s88-c-k-c0x00ffffff-no-rj</v>
      </c>
      <c r="G21" s="67"/>
      <c r="H21" s="71" t="s">
        <v>1317</v>
      </c>
      <c r="I21" s="72"/>
      <c r="J21" s="72" t="s">
        <v>159</v>
      </c>
      <c r="K21" s="71" t="s">
        <v>1317</v>
      </c>
      <c r="L21" s="75">
        <v>1</v>
      </c>
      <c r="M21" s="76">
        <v>6359.2509765625</v>
      </c>
      <c r="N21" s="76">
        <v>8174.63916015625</v>
      </c>
      <c r="O21" s="77"/>
      <c r="P21" s="78"/>
      <c r="Q21" s="78"/>
      <c r="R21" s="88"/>
      <c r="S21" s="49">
        <v>0</v>
      </c>
      <c r="T21" s="49">
        <v>1</v>
      </c>
      <c r="U21" s="50">
        <v>0</v>
      </c>
      <c r="V21" s="50">
        <v>0.059549</v>
      </c>
      <c r="W21" s="50">
        <v>0</v>
      </c>
      <c r="X21" s="50">
        <v>0.001581</v>
      </c>
      <c r="Y21" s="50">
        <v>0</v>
      </c>
      <c r="Z21" s="50">
        <v>0</v>
      </c>
      <c r="AA21" s="73">
        <v>21</v>
      </c>
      <c r="AB21" s="73"/>
      <c r="AC21" s="74"/>
      <c r="AD21" s="81" t="s">
        <v>1317</v>
      </c>
      <c r="AE21" s="81"/>
      <c r="AF21" s="81"/>
      <c r="AG21" s="81"/>
      <c r="AH21" s="81"/>
      <c r="AI21" s="81" t="s">
        <v>2037</v>
      </c>
      <c r="AJ21" s="85">
        <v>44672.52369212963</v>
      </c>
      <c r="AK21" s="83" t="str">
        <f>HYPERLINK("https://yt3.ggpht.com/wGnkHKJOeFKo-waef8nbj8onmWb1ZG8yFbY57oWOamI2QaY_0LHVgogaQamIr5T5RS_5AwAZxcg=s88-c-k-c0x00ffffff-no-rj")</f>
        <v>https://yt3.ggpht.com/wGnkHKJOeFKo-waef8nbj8onmWb1ZG8yFbY57oWOamI2QaY_0LHVgogaQamIr5T5RS_5AwAZxcg=s88-c-k-c0x00ffffff-no-rj</v>
      </c>
      <c r="AL21" s="81">
        <v>0</v>
      </c>
      <c r="AM21" s="81">
        <v>0</v>
      </c>
      <c r="AN21" s="81">
        <v>3</v>
      </c>
      <c r="AO21" s="81" t="b">
        <v>0</v>
      </c>
      <c r="AP21" s="81">
        <v>0</v>
      </c>
      <c r="AQ21" s="81"/>
      <c r="AR21" s="81"/>
      <c r="AS21" s="81" t="s">
        <v>2571</v>
      </c>
      <c r="AT21" s="83" t="str">
        <f>HYPERLINK("https://www.youtube.com/channel/UC34S06MNe11xkigcLLQ8s1Q")</f>
        <v>https://www.youtube.com/channel/UC34S06MNe11xkigcLLQ8s1Q</v>
      </c>
      <c r="AU21" s="81">
        <v>3</v>
      </c>
      <c r="AV21" s="49">
        <v>1</v>
      </c>
      <c r="AW21" s="50">
        <v>1.5625</v>
      </c>
      <c r="AX21" s="49">
        <v>3</v>
      </c>
      <c r="AY21" s="50">
        <v>4.6875</v>
      </c>
      <c r="AZ21" s="49">
        <v>0</v>
      </c>
      <c r="BA21" s="50">
        <v>0</v>
      </c>
      <c r="BB21" s="49">
        <v>16</v>
      </c>
      <c r="BC21" s="50">
        <v>25</v>
      </c>
      <c r="BD21" s="49">
        <v>64</v>
      </c>
      <c r="BE21" s="49"/>
      <c r="BF21" s="49"/>
      <c r="BG21" s="49"/>
      <c r="BH21" s="49"/>
      <c r="BI21" s="49"/>
      <c r="BJ21" s="49"/>
      <c r="BK21" s="115" t="s">
        <v>2589</v>
      </c>
      <c r="BL21" s="115" t="s">
        <v>2589</v>
      </c>
      <c r="BM21" s="115" t="s">
        <v>3069</v>
      </c>
      <c r="BN21" s="115" t="s">
        <v>3069</v>
      </c>
      <c r="BO21" s="2"/>
      <c r="BP21" s="3"/>
      <c r="BQ21" s="3"/>
      <c r="BR21" s="3"/>
      <c r="BS21" s="3"/>
    </row>
    <row r="22" spans="1:71" ht="15">
      <c r="A22" s="66" t="s">
        <v>240</v>
      </c>
      <c r="B22" s="67"/>
      <c r="C22" s="67"/>
      <c r="D22" s="68">
        <v>150</v>
      </c>
      <c r="E22" s="70"/>
      <c r="F22" s="102" t="str">
        <f>HYPERLINK("https://yt3.ggpht.com/oxFd7ces8rrFw38Vtm_MbxFAjnof5YWiHvF9Kd9zaIeITuzPazW11QDPvXbL6UcbML4vVwHxgQ=s88-c-k-c0x00ffffff-no-rj")</f>
        <v>https://yt3.ggpht.com/oxFd7ces8rrFw38Vtm_MbxFAjnof5YWiHvF9Kd9zaIeITuzPazW11QDPvXbL6UcbML4vVwHxgQ=s88-c-k-c0x00ffffff-no-rj</v>
      </c>
      <c r="G22" s="67"/>
      <c r="H22" s="71" t="s">
        <v>1318</v>
      </c>
      <c r="I22" s="72"/>
      <c r="J22" s="72" t="s">
        <v>159</v>
      </c>
      <c r="K22" s="71" t="s">
        <v>1318</v>
      </c>
      <c r="L22" s="75">
        <v>1</v>
      </c>
      <c r="M22" s="76">
        <v>7245.14990234375</v>
      </c>
      <c r="N22" s="76">
        <v>9622.1904296875</v>
      </c>
      <c r="O22" s="77"/>
      <c r="P22" s="78"/>
      <c r="Q22" s="78"/>
      <c r="R22" s="88"/>
      <c r="S22" s="49">
        <v>0</v>
      </c>
      <c r="T22" s="49">
        <v>1</v>
      </c>
      <c r="U22" s="50">
        <v>0</v>
      </c>
      <c r="V22" s="50">
        <v>0.059549</v>
      </c>
      <c r="W22" s="50">
        <v>0</v>
      </c>
      <c r="X22" s="50">
        <v>0.001581</v>
      </c>
      <c r="Y22" s="50">
        <v>0</v>
      </c>
      <c r="Z22" s="50">
        <v>0</v>
      </c>
      <c r="AA22" s="73">
        <v>22</v>
      </c>
      <c r="AB22" s="73"/>
      <c r="AC22" s="74"/>
      <c r="AD22" s="81" t="s">
        <v>1318</v>
      </c>
      <c r="AE22" s="81" t="s">
        <v>1917</v>
      </c>
      <c r="AF22" s="81"/>
      <c r="AG22" s="81"/>
      <c r="AH22" s="81"/>
      <c r="AI22" s="81" t="s">
        <v>2038</v>
      </c>
      <c r="AJ22" s="85">
        <v>43906.136666666665</v>
      </c>
      <c r="AK22" s="83" t="str">
        <f>HYPERLINK("https://yt3.ggpht.com/oxFd7ces8rrFw38Vtm_MbxFAjnof5YWiHvF9Kd9zaIeITuzPazW11QDPvXbL6UcbML4vVwHxgQ=s88-c-k-c0x00ffffff-no-rj")</f>
        <v>https://yt3.ggpht.com/oxFd7ces8rrFw38Vtm_MbxFAjnof5YWiHvF9Kd9zaIeITuzPazW11QDPvXbL6UcbML4vVwHxgQ=s88-c-k-c0x00ffffff-no-rj</v>
      </c>
      <c r="AL22" s="81">
        <v>1085</v>
      </c>
      <c r="AM22" s="81">
        <v>0</v>
      </c>
      <c r="AN22" s="81">
        <v>27</v>
      </c>
      <c r="AO22" s="81" t="b">
        <v>0</v>
      </c>
      <c r="AP22" s="81">
        <v>7</v>
      </c>
      <c r="AQ22" s="81"/>
      <c r="AR22" s="81"/>
      <c r="AS22" s="81" t="s">
        <v>2571</v>
      </c>
      <c r="AT22" s="83" t="str">
        <f>HYPERLINK("https://www.youtube.com/channel/UC8Ay5N1DiQwnfOJ2tpH1VEw")</f>
        <v>https://www.youtube.com/channel/UC8Ay5N1DiQwnfOJ2tpH1VEw</v>
      </c>
      <c r="AU22" s="81">
        <v>3</v>
      </c>
      <c r="AV22" s="49">
        <v>8</v>
      </c>
      <c r="AW22" s="50">
        <v>12.903225806451612</v>
      </c>
      <c r="AX22" s="49">
        <v>3</v>
      </c>
      <c r="AY22" s="50">
        <v>4.838709677419355</v>
      </c>
      <c r="AZ22" s="49">
        <v>0</v>
      </c>
      <c r="BA22" s="50">
        <v>0</v>
      </c>
      <c r="BB22" s="49">
        <v>12</v>
      </c>
      <c r="BC22" s="50">
        <v>19.35483870967742</v>
      </c>
      <c r="BD22" s="49">
        <v>62</v>
      </c>
      <c r="BE22" s="49"/>
      <c r="BF22" s="49"/>
      <c r="BG22" s="49"/>
      <c r="BH22" s="49"/>
      <c r="BI22" s="49"/>
      <c r="BJ22" s="49"/>
      <c r="BK22" s="115" t="s">
        <v>2590</v>
      </c>
      <c r="BL22" s="115" t="s">
        <v>2590</v>
      </c>
      <c r="BM22" s="115" t="s">
        <v>3070</v>
      </c>
      <c r="BN22" s="115" t="s">
        <v>3070</v>
      </c>
      <c r="BO22" s="2"/>
      <c r="BP22" s="3"/>
      <c r="BQ22" s="3"/>
      <c r="BR22" s="3"/>
      <c r="BS22" s="3"/>
    </row>
    <row r="23" spans="1:71" ht="15">
      <c r="A23" s="66" t="s">
        <v>241</v>
      </c>
      <c r="B23" s="67"/>
      <c r="C23" s="67"/>
      <c r="D23" s="68">
        <v>150</v>
      </c>
      <c r="E23" s="70"/>
      <c r="F23" s="102" t="str">
        <f>HYPERLINK("https://yt3.ggpht.com/ytc/AOPolaT_Z32MIIk7HEYjWUOTZtiVL_lN__C-1Zh2_w=s88-c-k-c0x00ffffff-no-rj")</f>
        <v>https://yt3.ggpht.com/ytc/AOPolaT_Z32MIIk7HEYjWUOTZtiVL_lN__C-1Zh2_w=s88-c-k-c0x00ffffff-no-rj</v>
      </c>
      <c r="G23" s="67"/>
      <c r="H23" s="71" t="s">
        <v>1319</v>
      </c>
      <c r="I23" s="72"/>
      <c r="J23" s="72" t="s">
        <v>159</v>
      </c>
      <c r="K23" s="71" t="s">
        <v>1319</v>
      </c>
      <c r="L23" s="75">
        <v>1</v>
      </c>
      <c r="M23" s="76">
        <v>7304.03369140625</v>
      </c>
      <c r="N23" s="76">
        <v>8713.396484375</v>
      </c>
      <c r="O23" s="77"/>
      <c r="P23" s="78"/>
      <c r="Q23" s="78"/>
      <c r="R23" s="88"/>
      <c r="S23" s="49">
        <v>0</v>
      </c>
      <c r="T23" s="49">
        <v>1</v>
      </c>
      <c r="U23" s="50">
        <v>0</v>
      </c>
      <c r="V23" s="50">
        <v>0.059549</v>
      </c>
      <c r="W23" s="50">
        <v>0</v>
      </c>
      <c r="X23" s="50">
        <v>0.001581</v>
      </c>
      <c r="Y23" s="50">
        <v>0</v>
      </c>
      <c r="Z23" s="50">
        <v>0</v>
      </c>
      <c r="AA23" s="73">
        <v>23</v>
      </c>
      <c r="AB23" s="73"/>
      <c r="AC23" s="74"/>
      <c r="AD23" s="81" t="s">
        <v>1319</v>
      </c>
      <c r="AE23" s="81"/>
      <c r="AF23" s="81"/>
      <c r="AG23" s="81"/>
      <c r="AH23" s="81"/>
      <c r="AI23" s="81" t="s">
        <v>2039</v>
      </c>
      <c r="AJ23" s="85">
        <v>43376.33552083333</v>
      </c>
      <c r="AK23" s="83" t="str">
        <f>HYPERLINK("https://yt3.ggpht.com/ytc/AOPolaT_Z32MIIk7HEYjWUOTZtiVL_lN__C-1Zh2_w=s88-c-k-c0x00ffffff-no-rj")</f>
        <v>https://yt3.ggpht.com/ytc/AOPolaT_Z32MIIk7HEYjWUOTZtiVL_lN__C-1Zh2_w=s88-c-k-c0x00ffffff-no-rj</v>
      </c>
      <c r="AL23" s="81">
        <v>0</v>
      </c>
      <c r="AM23" s="81">
        <v>0</v>
      </c>
      <c r="AN23" s="81">
        <v>3</v>
      </c>
      <c r="AO23" s="81" t="b">
        <v>0</v>
      </c>
      <c r="AP23" s="81">
        <v>0</v>
      </c>
      <c r="AQ23" s="81"/>
      <c r="AR23" s="81"/>
      <c r="AS23" s="81" t="s">
        <v>2571</v>
      </c>
      <c r="AT23" s="83" t="str">
        <f>HYPERLINK("https://www.youtube.com/channel/UClacwSl8Q-4gHqnADwqIV9A")</f>
        <v>https://www.youtube.com/channel/UClacwSl8Q-4gHqnADwqIV9A</v>
      </c>
      <c r="AU23" s="81">
        <v>3</v>
      </c>
      <c r="AV23" s="49">
        <v>0</v>
      </c>
      <c r="AW23" s="50">
        <v>0</v>
      </c>
      <c r="AX23" s="49">
        <v>1</v>
      </c>
      <c r="AY23" s="50">
        <v>3.0303030303030303</v>
      </c>
      <c r="AZ23" s="49">
        <v>0</v>
      </c>
      <c r="BA23" s="50">
        <v>0</v>
      </c>
      <c r="BB23" s="49">
        <v>10</v>
      </c>
      <c r="BC23" s="50">
        <v>30.303030303030305</v>
      </c>
      <c r="BD23" s="49">
        <v>33</v>
      </c>
      <c r="BE23" s="49"/>
      <c r="BF23" s="49"/>
      <c r="BG23" s="49"/>
      <c r="BH23" s="49"/>
      <c r="BI23" s="49"/>
      <c r="BJ23" s="49"/>
      <c r="BK23" s="115" t="s">
        <v>4549</v>
      </c>
      <c r="BL23" s="115" t="s">
        <v>4549</v>
      </c>
      <c r="BM23" s="115" t="s">
        <v>4574</v>
      </c>
      <c r="BN23" s="115" t="s">
        <v>4574</v>
      </c>
      <c r="BO23" s="2"/>
      <c r="BP23" s="3"/>
      <c r="BQ23" s="3"/>
      <c r="BR23" s="3"/>
      <c r="BS23" s="3"/>
    </row>
    <row r="24" spans="1:71" ht="15">
      <c r="A24" s="66" t="s">
        <v>242</v>
      </c>
      <c r="B24" s="67"/>
      <c r="C24" s="67"/>
      <c r="D24" s="68">
        <v>150</v>
      </c>
      <c r="E24" s="70"/>
      <c r="F24" s="102" t="str">
        <f>HYPERLINK("https://yt3.ggpht.com/ytc/AOPolaSgTPpzovy-3aqoYxPpo5RccHZKpxV2_SNrxUGD=s88-c-k-c0x00ffffff-no-rj")</f>
        <v>https://yt3.ggpht.com/ytc/AOPolaSgTPpzovy-3aqoYxPpo5RccHZKpxV2_SNrxUGD=s88-c-k-c0x00ffffff-no-rj</v>
      </c>
      <c r="G24" s="67"/>
      <c r="H24" s="71" t="s">
        <v>1320</v>
      </c>
      <c r="I24" s="72"/>
      <c r="J24" s="72" t="s">
        <v>159</v>
      </c>
      <c r="K24" s="71" t="s">
        <v>1320</v>
      </c>
      <c r="L24" s="75">
        <v>1</v>
      </c>
      <c r="M24" s="76">
        <v>9208.390625</v>
      </c>
      <c r="N24" s="76">
        <v>9037.1611328125</v>
      </c>
      <c r="O24" s="77"/>
      <c r="P24" s="78"/>
      <c r="Q24" s="78"/>
      <c r="R24" s="88"/>
      <c r="S24" s="49">
        <v>0</v>
      </c>
      <c r="T24" s="49">
        <v>1</v>
      </c>
      <c r="U24" s="50">
        <v>0</v>
      </c>
      <c r="V24" s="50">
        <v>0.059549</v>
      </c>
      <c r="W24" s="50">
        <v>0</v>
      </c>
      <c r="X24" s="50">
        <v>0.001581</v>
      </c>
      <c r="Y24" s="50">
        <v>0</v>
      </c>
      <c r="Z24" s="50">
        <v>0</v>
      </c>
      <c r="AA24" s="73">
        <v>24</v>
      </c>
      <c r="AB24" s="73"/>
      <c r="AC24" s="74"/>
      <c r="AD24" s="81" t="s">
        <v>1320</v>
      </c>
      <c r="AE24" s="81"/>
      <c r="AF24" s="81"/>
      <c r="AG24" s="81"/>
      <c r="AH24" s="81"/>
      <c r="AI24" s="81" t="s">
        <v>2040</v>
      </c>
      <c r="AJ24" s="85">
        <v>41788.21944444445</v>
      </c>
      <c r="AK24" s="83" t="str">
        <f>HYPERLINK("https://yt3.ggpht.com/ytc/AOPolaSgTPpzovy-3aqoYxPpo5RccHZKpxV2_SNrxUGD=s88-c-k-c0x00ffffff-no-rj")</f>
        <v>https://yt3.ggpht.com/ytc/AOPolaSgTPpzovy-3aqoYxPpo5RccHZKpxV2_SNrxUGD=s88-c-k-c0x00ffffff-no-rj</v>
      </c>
      <c r="AL24" s="81">
        <v>0</v>
      </c>
      <c r="AM24" s="81">
        <v>0</v>
      </c>
      <c r="AN24" s="81">
        <v>3</v>
      </c>
      <c r="AO24" s="81" t="b">
        <v>0</v>
      </c>
      <c r="AP24" s="81">
        <v>0</v>
      </c>
      <c r="AQ24" s="81"/>
      <c r="AR24" s="81"/>
      <c r="AS24" s="81" t="s">
        <v>2571</v>
      </c>
      <c r="AT24" s="83" t="str">
        <f>HYPERLINK("https://www.youtube.com/channel/UCutq5-FUVuOX9wMn6rNr_Nw")</f>
        <v>https://www.youtube.com/channel/UCutq5-FUVuOX9wMn6rNr_Nw</v>
      </c>
      <c r="AU24" s="81">
        <v>3</v>
      </c>
      <c r="AV24" s="49">
        <v>0</v>
      </c>
      <c r="AW24" s="50">
        <v>0</v>
      </c>
      <c r="AX24" s="49">
        <v>1</v>
      </c>
      <c r="AY24" s="50">
        <v>14.285714285714286</v>
      </c>
      <c r="AZ24" s="49">
        <v>0</v>
      </c>
      <c r="BA24" s="50">
        <v>0</v>
      </c>
      <c r="BB24" s="49">
        <v>3</v>
      </c>
      <c r="BC24" s="50">
        <v>42.857142857142854</v>
      </c>
      <c r="BD24" s="49">
        <v>7</v>
      </c>
      <c r="BE24" s="49"/>
      <c r="BF24" s="49"/>
      <c r="BG24" s="49"/>
      <c r="BH24" s="49"/>
      <c r="BI24" s="49"/>
      <c r="BJ24" s="49"/>
      <c r="BK24" s="115" t="s">
        <v>2591</v>
      </c>
      <c r="BL24" s="115" t="s">
        <v>2591</v>
      </c>
      <c r="BM24" s="115" t="s">
        <v>3071</v>
      </c>
      <c r="BN24" s="115" t="s">
        <v>3071</v>
      </c>
      <c r="BO24" s="2"/>
      <c r="BP24" s="3"/>
      <c r="BQ24" s="3"/>
      <c r="BR24" s="3"/>
      <c r="BS24" s="3"/>
    </row>
    <row r="25" spans="1:71" ht="15">
      <c r="A25" s="66" t="s">
        <v>243</v>
      </c>
      <c r="B25" s="67"/>
      <c r="C25" s="67"/>
      <c r="D25" s="68">
        <v>150</v>
      </c>
      <c r="E25" s="70"/>
      <c r="F25" s="102" t="str">
        <f>HYPERLINK("https://yt3.ggpht.com/ytc/AOPolaStwqyNniDrmtN3zZCNgLr7Z1slFfcCkM5Q5Q=s88-c-k-c0x00ffffff-no-rj")</f>
        <v>https://yt3.ggpht.com/ytc/AOPolaStwqyNniDrmtN3zZCNgLr7Z1slFfcCkM5Q5Q=s88-c-k-c0x00ffffff-no-rj</v>
      </c>
      <c r="G25" s="67"/>
      <c r="H25" s="71" t="s">
        <v>1321</v>
      </c>
      <c r="I25" s="72"/>
      <c r="J25" s="72" t="s">
        <v>159</v>
      </c>
      <c r="K25" s="71" t="s">
        <v>1321</v>
      </c>
      <c r="L25" s="75">
        <v>1</v>
      </c>
      <c r="M25" s="76">
        <v>7264.8076171875</v>
      </c>
      <c r="N25" s="76">
        <v>7645.0244140625</v>
      </c>
      <c r="O25" s="77"/>
      <c r="P25" s="78"/>
      <c r="Q25" s="78"/>
      <c r="R25" s="88"/>
      <c r="S25" s="49">
        <v>0</v>
      </c>
      <c r="T25" s="49">
        <v>1</v>
      </c>
      <c r="U25" s="50">
        <v>0</v>
      </c>
      <c r="V25" s="50">
        <v>0.059549</v>
      </c>
      <c r="W25" s="50">
        <v>0</v>
      </c>
      <c r="X25" s="50">
        <v>0.001581</v>
      </c>
      <c r="Y25" s="50">
        <v>0</v>
      </c>
      <c r="Z25" s="50">
        <v>0</v>
      </c>
      <c r="AA25" s="73">
        <v>25</v>
      </c>
      <c r="AB25" s="73"/>
      <c r="AC25" s="74"/>
      <c r="AD25" s="81" t="s">
        <v>1321</v>
      </c>
      <c r="AE25" s="81"/>
      <c r="AF25" s="81"/>
      <c r="AG25" s="81"/>
      <c r="AH25" s="81"/>
      <c r="AI25" s="81" t="s">
        <v>2041</v>
      </c>
      <c r="AJ25" s="85">
        <v>42878.16431712963</v>
      </c>
      <c r="AK25" s="83" t="str">
        <f>HYPERLINK("https://yt3.ggpht.com/ytc/AOPolaStwqyNniDrmtN3zZCNgLr7Z1slFfcCkM5Q5Q=s88-c-k-c0x00ffffff-no-rj")</f>
        <v>https://yt3.ggpht.com/ytc/AOPolaStwqyNniDrmtN3zZCNgLr7Z1slFfcCkM5Q5Q=s88-c-k-c0x00ffffff-no-rj</v>
      </c>
      <c r="AL25" s="81">
        <v>0</v>
      </c>
      <c r="AM25" s="81">
        <v>0</v>
      </c>
      <c r="AN25" s="81">
        <v>8</v>
      </c>
      <c r="AO25" s="81" t="b">
        <v>0</v>
      </c>
      <c r="AP25" s="81">
        <v>0</v>
      </c>
      <c r="AQ25" s="81"/>
      <c r="AR25" s="81"/>
      <c r="AS25" s="81" t="s">
        <v>2571</v>
      </c>
      <c r="AT25" s="83" t="str">
        <f>HYPERLINK("https://www.youtube.com/channel/UCqbuCOjnLEgaspaTyUz1l_w")</f>
        <v>https://www.youtube.com/channel/UCqbuCOjnLEgaspaTyUz1l_w</v>
      </c>
      <c r="AU25" s="81">
        <v>3</v>
      </c>
      <c r="AV25" s="49">
        <v>1</v>
      </c>
      <c r="AW25" s="50">
        <v>10</v>
      </c>
      <c r="AX25" s="49">
        <v>0</v>
      </c>
      <c r="AY25" s="50">
        <v>0</v>
      </c>
      <c r="AZ25" s="49">
        <v>0</v>
      </c>
      <c r="BA25" s="50">
        <v>0</v>
      </c>
      <c r="BB25" s="49">
        <v>2</v>
      </c>
      <c r="BC25" s="50">
        <v>20</v>
      </c>
      <c r="BD25" s="49">
        <v>10</v>
      </c>
      <c r="BE25" s="49"/>
      <c r="BF25" s="49"/>
      <c r="BG25" s="49"/>
      <c r="BH25" s="49"/>
      <c r="BI25" s="49"/>
      <c r="BJ25" s="49"/>
      <c r="BK25" s="115" t="s">
        <v>4550</v>
      </c>
      <c r="BL25" s="115" t="s">
        <v>4550</v>
      </c>
      <c r="BM25" s="115" t="s">
        <v>4575</v>
      </c>
      <c r="BN25" s="115" t="s">
        <v>4575</v>
      </c>
      <c r="BO25" s="2"/>
      <c r="BP25" s="3"/>
      <c r="BQ25" s="3"/>
      <c r="BR25" s="3"/>
      <c r="BS25" s="3"/>
    </row>
    <row r="26" spans="1:71" ht="15">
      <c r="A26" s="66" t="s">
        <v>244</v>
      </c>
      <c r="B26" s="67"/>
      <c r="C26" s="67"/>
      <c r="D26" s="68">
        <v>150</v>
      </c>
      <c r="E26" s="70"/>
      <c r="F26" s="102" t="str">
        <f>HYPERLINK("https://yt3.ggpht.com/ytc/AOPolaQrjXQJmTO7BByc6_grsURG4abT9eGw7A2V=s88-c-k-c0x00ffffff-no-rj")</f>
        <v>https://yt3.ggpht.com/ytc/AOPolaQrjXQJmTO7BByc6_grsURG4abT9eGw7A2V=s88-c-k-c0x00ffffff-no-rj</v>
      </c>
      <c r="G26" s="67"/>
      <c r="H26" s="71" t="s">
        <v>1322</v>
      </c>
      <c r="I26" s="72"/>
      <c r="J26" s="72" t="s">
        <v>159</v>
      </c>
      <c r="K26" s="71" t="s">
        <v>1322</v>
      </c>
      <c r="L26" s="75">
        <v>1</v>
      </c>
      <c r="M26" s="76">
        <v>7510.41748046875</v>
      </c>
      <c r="N26" s="76">
        <v>9771.6494140625</v>
      </c>
      <c r="O26" s="77"/>
      <c r="P26" s="78"/>
      <c r="Q26" s="78"/>
      <c r="R26" s="88"/>
      <c r="S26" s="49">
        <v>0</v>
      </c>
      <c r="T26" s="49">
        <v>1</v>
      </c>
      <c r="U26" s="50">
        <v>0</v>
      </c>
      <c r="V26" s="50">
        <v>0.059549</v>
      </c>
      <c r="W26" s="50">
        <v>0</v>
      </c>
      <c r="X26" s="50">
        <v>0.001581</v>
      </c>
      <c r="Y26" s="50">
        <v>0</v>
      </c>
      <c r="Z26" s="50">
        <v>0</v>
      </c>
      <c r="AA26" s="73">
        <v>26</v>
      </c>
      <c r="AB26" s="73"/>
      <c r="AC26" s="74"/>
      <c r="AD26" s="81" t="s">
        <v>1322</v>
      </c>
      <c r="AE26" s="81"/>
      <c r="AF26" s="81"/>
      <c r="AG26" s="81"/>
      <c r="AH26" s="81"/>
      <c r="AI26" s="81" t="s">
        <v>2042</v>
      </c>
      <c r="AJ26" s="85">
        <v>40970.17020833334</v>
      </c>
      <c r="AK26" s="83" t="str">
        <f>HYPERLINK("https://yt3.ggpht.com/ytc/AOPolaQrjXQJmTO7BByc6_grsURG4abT9eGw7A2V=s88-c-k-c0x00ffffff-no-rj")</f>
        <v>https://yt3.ggpht.com/ytc/AOPolaQrjXQJmTO7BByc6_grsURG4abT9eGw7A2V=s88-c-k-c0x00ffffff-no-rj</v>
      </c>
      <c r="AL26" s="81">
        <v>0</v>
      </c>
      <c r="AM26" s="81">
        <v>0</v>
      </c>
      <c r="AN26" s="81">
        <v>5</v>
      </c>
      <c r="AO26" s="81" t="b">
        <v>0</v>
      </c>
      <c r="AP26" s="81">
        <v>0</v>
      </c>
      <c r="AQ26" s="81"/>
      <c r="AR26" s="81"/>
      <c r="AS26" s="81" t="s">
        <v>2571</v>
      </c>
      <c r="AT26" s="83" t="str">
        <f>HYPERLINK("https://www.youtube.com/channel/UCSer173vKrwqw0TUSdEPE8g")</f>
        <v>https://www.youtube.com/channel/UCSer173vKrwqw0TUSdEPE8g</v>
      </c>
      <c r="AU26" s="81">
        <v>3</v>
      </c>
      <c r="AV26" s="49">
        <v>0</v>
      </c>
      <c r="AW26" s="50">
        <v>0</v>
      </c>
      <c r="AX26" s="49">
        <v>1</v>
      </c>
      <c r="AY26" s="50">
        <v>20</v>
      </c>
      <c r="AZ26" s="49">
        <v>0</v>
      </c>
      <c r="BA26" s="50">
        <v>0</v>
      </c>
      <c r="BB26" s="49">
        <v>2</v>
      </c>
      <c r="BC26" s="50">
        <v>40</v>
      </c>
      <c r="BD26" s="49">
        <v>5</v>
      </c>
      <c r="BE26" s="49"/>
      <c r="BF26" s="49"/>
      <c r="BG26" s="49"/>
      <c r="BH26" s="49"/>
      <c r="BI26" s="49"/>
      <c r="BJ26" s="49"/>
      <c r="BK26" s="115" t="s">
        <v>2592</v>
      </c>
      <c r="BL26" s="115" t="s">
        <v>2592</v>
      </c>
      <c r="BM26" s="115" t="s">
        <v>3072</v>
      </c>
      <c r="BN26" s="115" t="s">
        <v>3072</v>
      </c>
      <c r="BO26" s="2"/>
      <c r="BP26" s="3"/>
      <c r="BQ26" s="3"/>
      <c r="BR26" s="3"/>
      <c r="BS26" s="3"/>
    </row>
    <row r="27" spans="1:71" ht="15">
      <c r="A27" s="66" t="s">
        <v>245</v>
      </c>
      <c r="B27" s="67"/>
      <c r="C27" s="67"/>
      <c r="D27" s="68">
        <v>150</v>
      </c>
      <c r="E27" s="70"/>
      <c r="F27" s="102" t="str">
        <f>HYPERLINK("https://yt3.ggpht.com/ytc/AOPolaSX-TeE_rFzDW5yAT28zcEBQIfDH_hQWAoImjuzXA=s88-c-k-c0x00ffffff-no-rj")</f>
        <v>https://yt3.ggpht.com/ytc/AOPolaSX-TeE_rFzDW5yAT28zcEBQIfDH_hQWAoImjuzXA=s88-c-k-c0x00ffffff-no-rj</v>
      </c>
      <c r="G27" s="67"/>
      <c r="H27" s="71" t="s">
        <v>1323</v>
      </c>
      <c r="I27" s="72"/>
      <c r="J27" s="72" t="s">
        <v>159</v>
      </c>
      <c r="K27" s="71" t="s">
        <v>1323</v>
      </c>
      <c r="L27" s="75">
        <v>1</v>
      </c>
      <c r="M27" s="76">
        <v>8136.201171875</v>
      </c>
      <c r="N27" s="76">
        <v>7792.646484375</v>
      </c>
      <c r="O27" s="77"/>
      <c r="P27" s="78"/>
      <c r="Q27" s="78"/>
      <c r="R27" s="88"/>
      <c r="S27" s="49">
        <v>0</v>
      </c>
      <c r="T27" s="49">
        <v>1</v>
      </c>
      <c r="U27" s="50">
        <v>0</v>
      </c>
      <c r="V27" s="50">
        <v>0.059549</v>
      </c>
      <c r="W27" s="50">
        <v>0</v>
      </c>
      <c r="X27" s="50">
        <v>0.001581</v>
      </c>
      <c r="Y27" s="50">
        <v>0</v>
      </c>
      <c r="Z27" s="50">
        <v>0</v>
      </c>
      <c r="AA27" s="73">
        <v>27</v>
      </c>
      <c r="AB27" s="73"/>
      <c r="AC27" s="74"/>
      <c r="AD27" s="81" t="s">
        <v>1323</v>
      </c>
      <c r="AE27" s="81"/>
      <c r="AF27" s="81"/>
      <c r="AG27" s="81"/>
      <c r="AH27" s="81"/>
      <c r="AI27" s="81" t="s">
        <v>2043</v>
      </c>
      <c r="AJ27" s="85">
        <v>42500.25798611111</v>
      </c>
      <c r="AK27" s="83" t="str">
        <f>HYPERLINK("https://yt3.ggpht.com/ytc/AOPolaSX-TeE_rFzDW5yAT28zcEBQIfDH_hQWAoImjuzXA=s88-c-k-c0x00ffffff-no-rj")</f>
        <v>https://yt3.ggpht.com/ytc/AOPolaSX-TeE_rFzDW5yAT28zcEBQIfDH_hQWAoImjuzXA=s88-c-k-c0x00ffffff-no-rj</v>
      </c>
      <c r="AL27" s="81">
        <v>0</v>
      </c>
      <c r="AM27" s="81">
        <v>0</v>
      </c>
      <c r="AN27" s="81">
        <v>1</v>
      </c>
      <c r="AO27" s="81" t="b">
        <v>0</v>
      </c>
      <c r="AP27" s="81">
        <v>0</v>
      </c>
      <c r="AQ27" s="81"/>
      <c r="AR27" s="81"/>
      <c r="AS27" s="81" t="s">
        <v>2571</v>
      </c>
      <c r="AT27" s="83" t="str">
        <f>HYPERLINK("https://www.youtube.com/channel/UCtzLGcrO-wjBW9bgmvRImUA")</f>
        <v>https://www.youtube.com/channel/UCtzLGcrO-wjBW9bgmvRImUA</v>
      </c>
      <c r="AU27" s="81">
        <v>3</v>
      </c>
      <c r="AV27" s="49">
        <v>1</v>
      </c>
      <c r="AW27" s="50">
        <v>5.882352941176471</v>
      </c>
      <c r="AX27" s="49">
        <v>2</v>
      </c>
      <c r="AY27" s="50">
        <v>11.764705882352942</v>
      </c>
      <c r="AZ27" s="49">
        <v>0</v>
      </c>
      <c r="BA27" s="50">
        <v>0</v>
      </c>
      <c r="BB27" s="49">
        <v>5</v>
      </c>
      <c r="BC27" s="50">
        <v>29.41176470588235</v>
      </c>
      <c r="BD27" s="49">
        <v>17</v>
      </c>
      <c r="BE27" s="49"/>
      <c r="BF27" s="49"/>
      <c r="BG27" s="49"/>
      <c r="BH27" s="49"/>
      <c r="BI27" s="49"/>
      <c r="BJ27" s="49"/>
      <c r="BK27" s="115" t="s">
        <v>2593</v>
      </c>
      <c r="BL27" s="115" t="s">
        <v>2593</v>
      </c>
      <c r="BM27" s="115" t="s">
        <v>3073</v>
      </c>
      <c r="BN27" s="115" t="s">
        <v>3073</v>
      </c>
      <c r="BO27" s="2"/>
      <c r="BP27" s="3"/>
      <c r="BQ27" s="3"/>
      <c r="BR27" s="3"/>
      <c r="BS27" s="3"/>
    </row>
    <row r="28" spans="1:71" ht="15">
      <c r="A28" s="66" t="s">
        <v>246</v>
      </c>
      <c r="B28" s="67"/>
      <c r="C28" s="67"/>
      <c r="D28" s="68">
        <v>150</v>
      </c>
      <c r="E28" s="70"/>
      <c r="F28" s="102" t="str">
        <f>HYPERLINK("https://yt3.ggpht.com/ytc/AOPolaRmjlxo-BUezj6SKHa0ok2BZC3VjhbZVI83Bpu5l_2BBKdXuoCyrpM486106uTD=s88-c-k-c0x00ffffff-no-rj")</f>
        <v>https://yt3.ggpht.com/ytc/AOPolaRmjlxo-BUezj6SKHa0ok2BZC3VjhbZVI83Bpu5l_2BBKdXuoCyrpM486106uTD=s88-c-k-c0x00ffffff-no-rj</v>
      </c>
      <c r="G28" s="67"/>
      <c r="H28" s="71" t="s">
        <v>1324</v>
      </c>
      <c r="I28" s="72"/>
      <c r="J28" s="72" t="s">
        <v>159</v>
      </c>
      <c r="K28" s="71" t="s">
        <v>1324</v>
      </c>
      <c r="L28" s="75">
        <v>1</v>
      </c>
      <c r="M28" s="76">
        <v>9519.197265625</v>
      </c>
      <c r="N28" s="76">
        <v>7433.59130859375</v>
      </c>
      <c r="O28" s="77"/>
      <c r="P28" s="78"/>
      <c r="Q28" s="78"/>
      <c r="R28" s="88"/>
      <c r="S28" s="49">
        <v>0</v>
      </c>
      <c r="T28" s="49">
        <v>1</v>
      </c>
      <c r="U28" s="50">
        <v>0</v>
      </c>
      <c r="V28" s="50">
        <v>0.059549</v>
      </c>
      <c r="W28" s="50">
        <v>0</v>
      </c>
      <c r="X28" s="50">
        <v>0.001581</v>
      </c>
      <c r="Y28" s="50">
        <v>0</v>
      </c>
      <c r="Z28" s="50">
        <v>0</v>
      </c>
      <c r="AA28" s="73">
        <v>28</v>
      </c>
      <c r="AB28" s="73"/>
      <c r="AC28" s="74"/>
      <c r="AD28" s="81" t="s">
        <v>1324</v>
      </c>
      <c r="AE28" s="81"/>
      <c r="AF28" s="81"/>
      <c r="AG28" s="81"/>
      <c r="AH28" s="81"/>
      <c r="AI28" s="81" t="s">
        <v>2044</v>
      </c>
      <c r="AJ28" s="85">
        <v>44835.70216435185</v>
      </c>
      <c r="AK28" s="83" t="str">
        <f>HYPERLINK("https://yt3.ggpht.com/ytc/AOPolaRmjlxo-BUezj6SKHa0ok2BZC3VjhbZVI83Bpu5l_2BBKdXuoCyrpM486106uTD=s88-c-k-c0x00ffffff-no-rj")</f>
        <v>https://yt3.ggpht.com/ytc/AOPolaRmjlxo-BUezj6SKHa0ok2BZC3VjhbZVI83Bpu5l_2BBKdXuoCyrpM486106uTD=s88-c-k-c0x00ffffff-no-rj</v>
      </c>
      <c r="AL28" s="81">
        <v>0</v>
      </c>
      <c r="AM28" s="81">
        <v>0</v>
      </c>
      <c r="AN28" s="81">
        <v>0</v>
      </c>
      <c r="AO28" s="81" t="b">
        <v>0</v>
      </c>
      <c r="AP28" s="81">
        <v>0</v>
      </c>
      <c r="AQ28" s="81"/>
      <c r="AR28" s="81"/>
      <c r="AS28" s="81" t="s">
        <v>2571</v>
      </c>
      <c r="AT28" s="83" t="str">
        <f>HYPERLINK("https://www.youtube.com/channel/UCI4enAGic-cc5V8eW5JbDTw")</f>
        <v>https://www.youtube.com/channel/UCI4enAGic-cc5V8eW5JbDTw</v>
      </c>
      <c r="AU28" s="81">
        <v>3</v>
      </c>
      <c r="AV28" s="49">
        <v>0</v>
      </c>
      <c r="AW28" s="50">
        <v>0</v>
      </c>
      <c r="AX28" s="49">
        <v>3</v>
      </c>
      <c r="AY28" s="50">
        <v>8.823529411764707</v>
      </c>
      <c r="AZ28" s="49">
        <v>0</v>
      </c>
      <c r="BA28" s="50">
        <v>0</v>
      </c>
      <c r="BB28" s="49">
        <v>14</v>
      </c>
      <c r="BC28" s="50">
        <v>41.1764705882353</v>
      </c>
      <c r="BD28" s="49">
        <v>34</v>
      </c>
      <c r="BE28" s="49"/>
      <c r="BF28" s="49"/>
      <c r="BG28" s="49"/>
      <c r="BH28" s="49"/>
      <c r="BI28" s="49"/>
      <c r="BJ28" s="49"/>
      <c r="BK28" s="115" t="s">
        <v>2594</v>
      </c>
      <c r="BL28" s="115" t="s">
        <v>2594</v>
      </c>
      <c r="BM28" s="115" t="s">
        <v>3074</v>
      </c>
      <c r="BN28" s="115" t="s">
        <v>3074</v>
      </c>
      <c r="BO28" s="2"/>
      <c r="BP28" s="3"/>
      <c r="BQ28" s="3"/>
      <c r="BR28" s="3"/>
      <c r="BS28" s="3"/>
    </row>
    <row r="29" spans="1:71" ht="15">
      <c r="A29" s="66" t="s">
        <v>247</v>
      </c>
      <c r="B29" s="67"/>
      <c r="C29" s="67"/>
      <c r="D29" s="68">
        <v>150</v>
      </c>
      <c r="E29" s="70"/>
      <c r="F29" s="102" t="str">
        <f>HYPERLINK("https://yt3.ggpht.com/ytc/AOPolaRMA8pYjyPXSr00x-k_bwmZ9CroAk48RLRudg=s88-c-k-c0x00ffffff-no-rj")</f>
        <v>https://yt3.ggpht.com/ytc/AOPolaRMA8pYjyPXSr00x-k_bwmZ9CroAk48RLRudg=s88-c-k-c0x00ffffff-no-rj</v>
      </c>
      <c r="G29" s="67"/>
      <c r="H29" s="71" t="s">
        <v>1325</v>
      </c>
      <c r="I29" s="72"/>
      <c r="J29" s="72" t="s">
        <v>159</v>
      </c>
      <c r="K29" s="71" t="s">
        <v>1325</v>
      </c>
      <c r="L29" s="75">
        <v>1</v>
      </c>
      <c r="M29" s="76">
        <v>7803.771484375</v>
      </c>
      <c r="N29" s="76">
        <v>9725.763671875</v>
      </c>
      <c r="O29" s="77"/>
      <c r="P29" s="78"/>
      <c r="Q29" s="78"/>
      <c r="R29" s="88"/>
      <c r="S29" s="49">
        <v>0</v>
      </c>
      <c r="T29" s="49">
        <v>1</v>
      </c>
      <c r="U29" s="50">
        <v>0</v>
      </c>
      <c r="V29" s="50">
        <v>0.059549</v>
      </c>
      <c r="W29" s="50">
        <v>0</v>
      </c>
      <c r="X29" s="50">
        <v>0.001581</v>
      </c>
      <c r="Y29" s="50">
        <v>0</v>
      </c>
      <c r="Z29" s="50">
        <v>0</v>
      </c>
      <c r="AA29" s="73">
        <v>29</v>
      </c>
      <c r="AB29" s="73"/>
      <c r="AC29" s="74"/>
      <c r="AD29" s="81" t="s">
        <v>1325</v>
      </c>
      <c r="AE29" s="81"/>
      <c r="AF29" s="81"/>
      <c r="AG29" s="81"/>
      <c r="AH29" s="81"/>
      <c r="AI29" s="81" t="s">
        <v>2045</v>
      </c>
      <c r="AJ29" s="85">
        <v>41638.58608796296</v>
      </c>
      <c r="AK29" s="83" t="str">
        <f>HYPERLINK("https://yt3.ggpht.com/ytc/AOPolaRMA8pYjyPXSr00x-k_bwmZ9CroAk48RLRudg=s88-c-k-c0x00ffffff-no-rj")</f>
        <v>https://yt3.ggpht.com/ytc/AOPolaRMA8pYjyPXSr00x-k_bwmZ9CroAk48RLRudg=s88-c-k-c0x00ffffff-no-rj</v>
      </c>
      <c r="AL29" s="81">
        <v>0</v>
      </c>
      <c r="AM29" s="81">
        <v>0</v>
      </c>
      <c r="AN29" s="81">
        <v>2</v>
      </c>
      <c r="AO29" s="81" t="b">
        <v>0</v>
      </c>
      <c r="AP29" s="81">
        <v>0</v>
      </c>
      <c r="AQ29" s="81"/>
      <c r="AR29" s="81"/>
      <c r="AS29" s="81" t="s">
        <v>2571</v>
      </c>
      <c r="AT29" s="83" t="str">
        <f>HYPERLINK("https://www.youtube.com/channel/UCSYFDGlCp7PRo2Rus8GgB9A")</f>
        <v>https://www.youtube.com/channel/UCSYFDGlCp7PRo2Rus8GgB9A</v>
      </c>
      <c r="AU29" s="81">
        <v>3</v>
      </c>
      <c r="AV29" s="49">
        <v>1</v>
      </c>
      <c r="AW29" s="50">
        <v>7.6923076923076925</v>
      </c>
      <c r="AX29" s="49">
        <v>1</v>
      </c>
      <c r="AY29" s="50">
        <v>7.6923076923076925</v>
      </c>
      <c r="AZ29" s="49">
        <v>0</v>
      </c>
      <c r="BA29" s="50">
        <v>0</v>
      </c>
      <c r="BB29" s="49">
        <v>3</v>
      </c>
      <c r="BC29" s="50">
        <v>23.076923076923077</v>
      </c>
      <c r="BD29" s="49">
        <v>13</v>
      </c>
      <c r="BE29" s="49"/>
      <c r="BF29" s="49"/>
      <c r="BG29" s="49"/>
      <c r="BH29" s="49"/>
      <c r="BI29" s="49"/>
      <c r="BJ29" s="49"/>
      <c r="BK29" s="115" t="s">
        <v>2595</v>
      </c>
      <c r="BL29" s="115" t="s">
        <v>2595</v>
      </c>
      <c r="BM29" s="115" t="s">
        <v>3075</v>
      </c>
      <c r="BN29" s="115" t="s">
        <v>3075</v>
      </c>
      <c r="BO29" s="2"/>
      <c r="BP29" s="3"/>
      <c r="BQ29" s="3"/>
      <c r="BR29" s="3"/>
      <c r="BS29" s="3"/>
    </row>
    <row r="30" spans="1:71" ht="15">
      <c r="A30" s="66" t="s">
        <v>248</v>
      </c>
      <c r="B30" s="67"/>
      <c r="C30" s="67"/>
      <c r="D30" s="68">
        <v>150</v>
      </c>
      <c r="E30" s="70"/>
      <c r="F30" s="102" t="str">
        <f>HYPERLINK("https://yt3.ggpht.com/ytc/AOPolaSLWmMxGm3WXRAxZbWgWxe2HwklPzDlLRanuQ=s88-c-k-c0x00ffffff-no-rj")</f>
        <v>https://yt3.ggpht.com/ytc/AOPolaSLWmMxGm3WXRAxZbWgWxe2HwklPzDlLRanuQ=s88-c-k-c0x00ffffff-no-rj</v>
      </c>
      <c r="G30" s="67"/>
      <c r="H30" s="71" t="s">
        <v>1326</v>
      </c>
      <c r="I30" s="72"/>
      <c r="J30" s="72" t="s">
        <v>159</v>
      </c>
      <c r="K30" s="71" t="s">
        <v>1326</v>
      </c>
      <c r="L30" s="75">
        <v>1</v>
      </c>
      <c r="M30" s="76">
        <v>8285.26171875</v>
      </c>
      <c r="N30" s="76">
        <v>6840.17236328125</v>
      </c>
      <c r="O30" s="77"/>
      <c r="P30" s="78"/>
      <c r="Q30" s="78"/>
      <c r="R30" s="88"/>
      <c r="S30" s="49">
        <v>0</v>
      </c>
      <c r="T30" s="49">
        <v>1</v>
      </c>
      <c r="U30" s="50">
        <v>0</v>
      </c>
      <c r="V30" s="50">
        <v>0.059549</v>
      </c>
      <c r="W30" s="50">
        <v>0</v>
      </c>
      <c r="X30" s="50">
        <v>0.001581</v>
      </c>
      <c r="Y30" s="50">
        <v>0</v>
      </c>
      <c r="Z30" s="50">
        <v>0</v>
      </c>
      <c r="AA30" s="73">
        <v>30</v>
      </c>
      <c r="AB30" s="73"/>
      <c r="AC30" s="74"/>
      <c r="AD30" s="81" t="s">
        <v>1326</v>
      </c>
      <c r="AE30" s="81"/>
      <c r="AF30" s="81"/>
      <c r="AG30" s="81"/>
      <c r="AH30" s="81"/>
      <c r="AI30" s="81" t="s">
        <v>2046</v>
      </c>
      <c r="AJ30" s="85">
        <v>41221.42153935185</v>
      </c>
      <c r="AK30" s="83" t="str">
        <f>HYPERLINK("https://yt3.ggpht.com/ytc/AOPolaSLWmMxGm3WXRAxZbWgWxe2HwklPzDlLRanuQ=s88-c-k-c0x00ffffff-no-rj")</f>
        <v>https://yt3.ggpht.com/ytc/AOPolaSLWmMxGm3WXRAxZbWgWxe2HwklPzDlLRanuQ=s88-c-k-c0x00ffffff-no-rj</v>
      </c>
      <c r="AL30" s="81">
        <v>0</v>
      </c>
      <c r="AM30" s="81">
        <v>0</v>
      </c>
      <c r="AN30" s="81">
        <v>2</v>
      </c>
      <c r="AO30" s="81" t="b">
        <v>0</v>
      </c>
      <c r="AP30" s="81">
        <v>0</v>
      </c>
      <c r="AQ30" s="81"/>
      <c r="AR30" s="81"/>
      <c r="AS30" s="81" t="s">
        <v>2571</v>
      </c>
      <c r="AT30" s="83" t="str">
        <f>HYPERLINK("https://www.youtube.com/channel/UCcJoWrE7i5vtupMbTZ7KFSw")</f>
        <v>https://www.youtube.com/channel/UCcJoWrE7i5vtupMbTZ7KFSw</v>
      </c>
      <c r="AU30" s="81">
        <v>3</v>
      </c>
      <c r="AV30" s="49">
        <v>0</v>
      </c>
      <c r="AW30" s="50">
        <v>0</v>
      </c>
      <c r="AX30" s="49">
        <v>0</v>
      </c>
      <c r="AY30" s="50">
        <v>0</v>
      </c>
      <c r="AZ30" s="49">
        <v>0</v>
      </c>
      <c r="BA30" s="50">
        <v>0</v>
      </c>
      <c r="BB30" s="49">
        <v>1</v>
      </c>
      <c r="BC30" s="50">
        <v>33.333333333333336</v>
      </c>
      <c r="BD30" s="49">
        <v>3</v>
      </c>
      <c r="BE30" s="49"/>
      <c r="BF30" s="49"/>
      <c r="BG30" s="49"/>
      <c r="BH30" s="49"/>
      <c r="BI30" s="49"/>
      <c r="BJ30" s="49"/>
      <c r="BK30" s="115" t="s">
        <v>2596</v>
      </c>
      <c r="BL30" s="115" t="s">
        <v>2596</v>
      </c>
      <c r="BM30" s="115" t="s">
        <v>4477</v>
      </c>
      <c r="BN30" s="115" t="s">
        <v>4477</v>
      </c>
      <c r="BO30" s="2"/>
      <c r="BP30" s="3"/>
      <c r="BQ30" s="3"/>
      <c r="BR30" s="3"/>
      <c r="BS30" s="3"/>
    </row>
    <row r="31" spans="1:71" ht="15">
      <c r="A31" s="66" t="s">
        <v>249</v>
      </c>
      <c r="B31" s="67"/>
      <c r="C31" s="67"/>
      <c r="D31" s="68">
        <v>150</v>
      </c>
      <c r="E31" s="70"/>
      <c r="F31" s="102" t="str">
        <f>HYPERLINK("https://yt3.ggpht.com/ytc/AOPolaQUg_pUloyTZ_ACnMeoTWMqYocO6aj5NJp4oi_a=s88-c-k-c0x00ffffff-no-rj")</f>
        <v>https://yt3.ggpht.com/ytc/AOPolaQUg_pUloyTZ_ACnMeoTWMqYocO6aj5NJp4oi_a=s88-c-k-c0x00ffffff-no-rj</v>
      </c>
      <c r="G31" s="67"/>
      <c r="H31" s="71" t="s">
        <v>1327</v>
      </c>
      <c r="I31" s="72"/>
      <c r="J31" s="72" t="s">
        <v>159</v>
      </c>
      <c r="K31" s="71" t="s">
        <v>1327</v>
      </c>
      <c r="L31" s="75">
        <v>1</v>
      </c>
      <c r="M31" s="76">
        <v>7907.05322265625</v>
      </c>
      <c r="N31" s="76">
        <v>6824.0302734375</v>
      </c>
      <c r="O31" s="77"/>
      <c r="P31" s="78"/>
      <c r="Q31" s="78"/>
      <c r="R31" s="88"/>
      <c r="S31" s="49">
        <v>0</v>
      </c>
      <c r="T31" s="49">
        <v>1</v>
      </c>
      <c r="U31" s="50">
        <v>0</v>
      </c>
      <c r="V31" s="50">
        <v>0.059549</v>
      </c>
      <c r="W31" s="50">
        <v>0</v>
      </c>
      <c r="X31" s="50">
        <v>0.001581</v>
      </c>
      <c r="Y31" s="50">
        <v>0</v>
      </c>
      <c r="Z31" s="50">
        <v>0</v>
      </c>
      <c r="AA31" s="73">
        <v>31</v>
      </c>
      <c r="AB31" s="73"/>
      <c r="AC31" s="74"/>
      <c r="AD31" s="81" t="s">
        <v>1327</v>
      </c>
      <c r="AE31" s="81"/>
      <c r="AF31" s="81"/>
      <c r="AG31" s="81"/>
      <c r="AH31" s="81"/>
      <c r="AI31" s="81" t="s">
        <v>2047</v>
      </c>
      <c r="AJ31" s="85">
        <v>38997.922418981485</v>
      </c>
      <c r="AK31" s="83" t="str">
        <f>HYPERLINK("https://yt3.ggpht.com/ytc/AOPolaQUg_pUloyTZ_ACnMeoTWMqYocO6aj5NJp4oi_a=s88-c-k-c0x00ffffff-no-rj")</f>
        <v>https://yt3.ggpht.com/ytc/AOPolaQUg_pUloyTZ_ACnMeoTWMqYocO6aj5NJp4oi_a=s88-c-k-c0x00ffffff-no-rj</v>
      </c>
      <c r="AL31" s="81">
        <v>403</v>
      </c>
      <c r="AM31" s="81">
        <v>0</v>
      </c>
      <c r="AN31" s="81">
        <v>6</v>
      </c>
      <c r="AO31" s="81" t="b">
        <v>0</v>
      </c>
      <c r="AP31" s="81">
        <v>8</v>
      </c>
      <c r="AQ31" s="81"/>
      <c r="AR31" s="81"/>
      <c r="AS31" s="81" t="s">
        <v>2571</v>
      </c>
      <c r="AT31" s="83" t="str">
        <f>HYPERLINK("https://www.youtube.com/channel/UCueRQvl3kUXIQlDatz0bTlA")</f>
        <v>https://www.youtube.com/channel/UCueRQvl3kUXIQlDatz0bTlA</v>
      </c>
      <c r="AU31" s="81">
        <v>3</v>
      </c>
      <c r="AV31" s="49">
        <v>0</v>
      </c>
      <c r="AW31" s="50">
        <v>0</v>
      </c>
      <c r="AX31" s="49">
        <v>0</v>
      </c>
      <c r="AY31" s="50">
        <v>0</v>
      </c>
      <c r="AZ31" s="49">
        <v>0</v>
      </c>
      <c r="BA31" s="50">
        <v>0</v>
      </c>
      <c r="BB31" s="49">
        <v>1</v>
      </c>
      <c r="BC31" s="50">
        <v>50</v>
      </c>
      <c r="BD31" s="49">
        <v>2</v>
      </c>
      <c r="BE31" s="49"/>
      <c r="BF31" s="49"/>
      <c r="BG31" s="49"/>
      <c r="BH31" s="49"/>
      <c r="BI31" s="49"/>
      <c r="BJ31" s="49"/>
      <c r="BK31" s="115" t="s">
        <v>2596</v>
      </c>
      <c r="BL31" s="115" t="s">
        <v>2596</v>
      </c>
      <c r="BM31" s="115" t="s">
        <v>4477</v>
      </c>
      <c r="BN31" s="115" t="s">
        <v>4477</v>
      </c>
      <c r="BO31" s="2"/>
      <c r="BP31" s="3"/>
      <c r="BQ31" s="3"/>
      <c r="BR31" s="3"/>
      <c r="BS31" s="3"/>
    </row>
    <row r="32" spans="1:71" ht="15">
      <c r="A32" s="66" t="s">
        <v>250</v>
      </c>
      <c r="B32" s="67"/>
      <c r="C32" s="67"/>
      <c r="D32" s="68">
        <v>150</v>
      </c>
      <c r="E32" s="70"/>
      <c r="F32" s="102" t="str">
        <f>HYPERLINK("https://yt3.ggpht.com/ytc/AOPolaS959t51wW39EhugrNyD0H_iD9PmUgnx0lcmw=s88-c-k-c0x00ffffff-no-rj")</f>
        <v>https://yt3.ggpht.com/ytc/AOPolaS959t51wW39EhugrNyD0H_iD9PmUgnx0lcmw=s88-c-k-c0x00ffffff-no-rj</v>
      </c>
      <c r="G32" s="67"/>
      <c r="H32" s="71" t="s">
        <v>1328</v>
      </c>
      <c r="I32" s="72"/>
      <c r="J32" s="72" t="s">
        <v>159</v>
      </c>
      <c r="K32" s="71" t="s">
        <v>1328</v>
      </c>
      <c r="L32" s="75">
        <v>1</v>
      </c>
      <c r="M32" s="76">
        <v>7774.90478515625</v>
      </c>
      <c r="N32" s="76">
        <v>8728.611328125</v>
      </c>
      <c r="O32" s="77"/>
      <c r="P32" s="78"/>
      <c r="Q32" s="78"/>
      <c r="R32" s="88"/>
      <c r="S32" s="49">
        <v>0</v>
      </c>
      <c r="T32" s="49">
        <v>1</v>
      </c>
      <c r="U32" s="50">
        <v>0</v>
      </c>
      <c r="V32" s="50">
        <v>0.059549</v>
      </c>
      <c r="W32" s="50">
        <v>0</v>
      </c>
      <c r="X32" s="50">
        <v>0.001581</v>
      </c>
      <c r="Y32" s="50">
        <v>0</v>
      </c>
      <c r="Z32" s="50">
        <v>0</v>
      </c>
      <c r="AA32" s="73">
        <v>32</v>
      </c>
      <c r="AB32" s="73"/>
      <c r="AC32" s="74"/>
      <c r="AD32" s="81" t="s">
        <v>1328</v>
      </c>
      <c r="AE32" s="81"/>
      <c r="AF32" s="81"/>
      <c r="AG32" s="81"/>
      <c r="AH32" s="81"/>
      <c r="AI32" s="81" t="s">
        <v>2048</v>
      </c>
      <c r="AJ32" s="85">
        <v>42076.13952546296</v>
      </c>
      <c r="AK32" s="83" t="str">
        <f>HYPERLINK("https://yt3.ggpht.com/ytc/AOPolaS959t51wW39EhugrNyD0H_iD9PmUgnx0lcmw=s88-c-k-c0x00ffffff-no-rj")</f>
        <v>https://yt3.ggpht.com/ytc/AOPolaS959t51wW39EhugrNyD0H_iD9PmUgnx0lcmw=s88-c-k-c0x00ffffff-no-rj</v>
      </c>
      <c r="AL32" s="81">
        <v>0</v>
      </c>
      <c r="AM32" s="81">
        <v>0</v>
      </c>
      <c r="AN32" s="81">
        <v>0</v>
      </c>
      <c r="AO32" s="81" t="b">
        <v>0</v>
      </c>
      <c r="AP32" s="81">
        <v>0</v>
      </c>
      <c r="AQ32" s="81"/>
      <c r="AR32" s="81"/>
      <c r="AS32" s="81" t="s">
        <v>2571</v>
      </c>
      <c r="AT32" s="83" t="str">
        <f>HYPERLINK("https://www.youtube.com/channel/UCKSOfRPNVFNNnwZQ8yy26Ww")</f>
        <v>https://www.youtube.com/channel/UCKSOfRPNVFNNnwZQ8yy26Ww</v>
      </c>
      <c r="AU32" s="81">
        <v>3</v>
      </c>
      <c r="AV32" s="49">
        <v>1</v>
      </c>
      <c r="AW32" s="50">
        <v>0.704225352112676</v>
      </c>
      <c r="AX32" s="49">
        <v>2</v>
      </c>
      <c r="AY32" s="50">
        <v>1.408450704225352</v>
      </c>
      <c r="AZ32" s="49">
        <v>0</v>
      </c>
      <c r="BA32" s="50">
        <v>0</v>
      </c>
      <c r="BB32" s="49">
        <v>64</v>
      </c>
      <c r="BC32" s="50">
        <v>45.070422535211264</v>
      </c>
      <c r="BD32" s="49">
        <v>142</v>
      </c>
      <c r="BE32" s="49"/>
      <c r="BF32" s="49"/>
      <c r="BG32" s="49"/>
      <c r="BH32" s="49"/>
      <c r="BI32" s="49"/>
      <c r="BJ32" s="49"/>
      <c r="BK32" s="115" t="s">
        <v>2597</v>
      </c>
      <c r="BL32" s="115" t="s">
        <v>2597</v>
      </c>
      <c r="BM32" s="115" t="s">
        <v>3076</v>
      </c>
      <c r="BN32" s="115" t="s">
        <v>3076</v>
      </c>
      <c r="BO32" s="2"/>
      <c r="BP32" s="3"/>
      <c r="BQ32" s="3"/>
      <c r="BR32" s="3"/>
      <c r="BS32" s="3"/>
    </row>
    <row r="33" spans="1:71" ht="15">
      <c r="A33" s="66" t="s">
        <v>251</v>
      </c>
      <c r="B33" s="67"/>
      <c r="C33" s="67"/>
      <c r="D33" s="68">
        <v>150</v>
      </c>
      <c r="E33" s="70"/>
      <c r="F33" s="102" t="str">
        <f>HYPERLINK("https://yt3.ggpht.com/ytc/AOPolaSKyzEwOmha6Fwyr7rdYOhpQNrWF2VRnYzCFw=s88-c-k-c0x00ffffff-no-rj")</f>
        <v>https://yt3.ggpht.com/ytc/AOPolaSKyzEwOmha6Fwyr7rdYOhpQNrWF2VRnYzCFw=s88-c-k-c0x00ffffff-no-rj</v>
      </c>
      <c r="G33" s="67"/>
      <c r="H33" s="71" t="s">
        <v>1329</v>
      </c>
      <c r="I33" s="72"/>
      <c r="J33" s="72" t="s">
        <v>159</v>
      </c>
      <c r="K33" s="71" t="s">
        <v>1329</v>
      </c>
      <c r="L33" s="75">
        <v>1</v>
      </c>
      <c r="M33" s="76">
        <v>7573.55126953125</v>
      </c>
      <c r="N33" s="76">
        <v>7160.814453125</v>
      </c>
      <c r="O33" s="77"/>
      <c r="P33" s="78"/>
      <c r="Q33" s="78"/>
      <c r="R33" s="88"/>
      <c r="S33" s="49">
        <v>0</v>
      </c>
      <c r="T33" s="49">
        <v>1</v>
      </c>
      <c r="U33" s="50">
        <v>0</v>
      </c>
      <c r="V33" s="50">
        <v>0.059549</v>
      </c>
      <c r="W33" s="50">
        <v>0</v>
      </c>
      <c r="X33" s="50">
        <v>0.001581</v>
      </c>
      <c r="Y33" s="50">
        <v>0</v>
      </c>
      <c r="Z33" s="50">
        <v>0</v>
      </c>
      <c r="AA33" s="73">
        <v>33</v>
      </c>
      <c r="AB33" s="73"/>
      <c r="AC33" s="74"/>
      <c r="AD33" s="81" t="s">
        <v>1329</v>
      </c>
      <c r="AE33" s="81"/>
      <c r="AF33" s="81"/>
      <c r="AG33" s="81"/>
      <c r="AH33" s="81"/>
      <c r="AI33" s="81" t="s">
        <v>2049</v>
      </c>
      <c r="AJ33" s="85">
        <v>41981.35564814815</v>
      </c>
      <c r="AK33" s="83" t="str">
        <f>HYPERLINK("https://yt3.ggpht.com/ytc/AOPolaSKyzEwOmha6Fwyr7rdYOhpQNrWF2VRnYzCFw=s88-c-k-c0x00ffffff-no-rj")</f>
        <v>https://yt3.ggpht.com/ytc/AOPolaSKyzEwOmha6Fwyr7rdYOhpQNrWF2VRnYzCFw=s88-c-k-c0x00ffffff-no-rj</v>
      </c>
      <c r="AL33" s="81">
        <v>42</v>
      </c>
      <c r="AM33" s="81">
        <v>0</v>
      </c>
      <c r="AN33" s="81">
        <v>0</v>
      </c>
      <c r="AO33" s="81" t="b">
        <v>0</v>
      </c>
      <c r="AP33" s="81">
        <v>1</v>
      </c>
      <c r="AQ33" s="81"/>
      <c r="AR33" s="81"/>
      <c r="AS33" s="81" t="s">
        <v>2571</v>
      </c>
      <c r="AT33" s="83" t="str">
        <f>HYPERLINK("https://www.youtube.com/channel/UCM3K5dhNZVewZSMkOIM-Obw")</f>
        <v>https://www.youtube.com/channel/UCM3K5dhNZVewZSMkOIM-Obw</v>
      </c>
      <c r="AU33" s="81">
        <v>3</v>
      </c>
      <c r="AV33" s="49">
        <v>0</v>
      </c>
      <c r="AW33" s="50">
        <v>0</v>
      </c>
      <c r="AX33" s="49">
        <v>0</v>
      </c>
      <c r="AY33" s="50">
        <v>0</v>
      </c>
      <c r="AZ33" s="49">
        <v>0</v>
      </c>
      <c r="BA33" s="50">
        <v>0</v>
      </c>
      <c r="BB33" s="49">
        <v>2</v>
      </c>
      <c r="BC33" s="50">
        <v>28.571428571428573</v>
      </c>
      <c r="BD33" s="49">
        <v>7</v>
      </c>
      <c r="BE33" s="49"/>
      <c r="BF33" s="49"/>
      <c r="BG33" s="49"/>
      <c r="BH33" s="49"/>
      <c r="BI33" s="49"/>
      <c r="BJ33" s="49"/>
      <c r="BK33" s="115" t="s">
        <v>4551</v>
      </c>
      <c r="BL33" s="115" t="s">
        <v>4551</v>
      </c>
      <c r="BM33" s="115" t="s">
        <v>4513</v>
      </c>
      <c r="BN33" s="115" t="s">
        <v>4513</v>
      </c>
      <c r="BO33" s="2"/>
      <c r="BP33" s="3"/>
      <c r="BQ33" s="3"/>
      <c r="BR33" s="3"/>
      <c r="BS33" s="3"/>
    </row>
    <row r="34" spans="1:71" ht="15">
      <c r="A34" s="66" t="s">
        <v>252</v>
      </c>
      <c r="B34" s="67"/>
      <c r="C34" s="67"/>
      <c r="D34" s="68">
        <v>150</v>
      </c>
      <c r="E34" s="70"/>
      <c r="F34" s="102" t="str">
        <f>HYPERLINK("https://yt3.ggpht.com/xyvMaOILWV9t2OH2lssVyrMewXc3zSSxX6En-HXctEeX454-u76ertMBPr4xIYdbnpXQYmPSzQ=s88-c-k-c0x00ffffff-no-rj")</f>
        <v>https://yt3.ggpht.com/xyvMaOILWV9t2OH2lssVyrMewXc3zSSxX6En-HXctEeX454-u76ertMBPr4xIYdbnpXQYmPSzQ=s88-c-k-c0x00ffffff-no-rj</v>
      </c>
      <c r="G34" s="67"/>
      <c r="H34" s="71" t="s">
        <v>1330</v>
      </c>
      <c r="I34" s="72"/>
      <c r="J34" s="72" t="s">
        <v>159</v>
      </c>
      <c r="K34" s="71" t="s">
        <v>1330</v>
      </c>
      <c r="L34" s="75">
        <v>1</v>
      </c>
      <c r="M34" s="76">
        <v>8790.6484375</v>
      </c>
      <c r="N34" s="76">
        <v>7093.2119140625</v>
      </c>
      <c r="O34" s="77"/>
      <c r="P34" s="78"/>
      <c r="Q34" s="78"/>
      <c r="R34" s="88"/>
      <c r="S34" s="49">
        <v>0</v>
      </c>
      <c r="T34" s="49">
        <v>1</v>
      </c>
      <c r="U34" s="50">
        <v>0</v>
      </c>
      <c r="V34" s="50">
        <v>0.059549</v>
      </c>
      <c r="W34" s="50">
        <v>0</v>
      </c>
      <c r="X34" s="50">
        <v>0.001581</v>
      </c>
      <c r="Y34" s="50">
        <v>0</v>
      </c>
      <c r="Z34" s="50">
        <v>0</v>
      </c>
      <c r="AA34" s="73">
        <v>34</v>
      </c>
      <c r="AB34" s="73"/>
      <c r="AC34" s="74"/>
      <c r="AD34" s="81" t="s">
        <v>1330</v>
      </c>
      <c r="AE34" s="81" t="s">
        <v>1918</v>
      </c>
      <c r="AF34" s="81"/>
      <c r="AG34" s="81"/>
      <c r="AH34" s="81"/>
      <c r="AI34" s="81" t="s">
        <v>2050</v>
      </c>
      <c r="AJ34" s="85">
        <v>41566.13086805555</v>
      </c>
      <c r="AK34" s="83" t="str">
        <f>HYPERLINK("https://yt3.ggpht.com/xyvMaOILWV9t2OH2lssVyrMewXc3zSSxX6En-HXctEeX454-u76ertMBPr4xIYdbnpXQYmPSzQ=s88-c-k-c0x00ffffff-no-rj")</f>
        <v>https://yt3.ggpht.com/xyvMaOILWV9t2OH2lssVyrMewXc3zSSxX6En-HXctEeX454-u76ertMBPr4xIYdbnpXQYmPSzQ=s88-c-k-c0x00ffffff-no-rj</v>
      </c>
      <c r="AL34" s="81">
        <v>631</v>
      </c>
      <c r="AM34" s="81">
        <v>0</v>
      </c>
      <c r="AN34" s="81">
        <v>35</v>
      </c>
      <c r="AO34" s="81" t="b">
        <v>0</v>
      </c>
      <c r="AP34" s="81">
        <v>24</v>
      </c>
      <c r="AQ34" s="81"/>
      <c r="AR34" s="81"/>
      <c r="AS34" s="81" t="s">
        <v>2571</v>
      </c>
      <c r="AT34" s="83" t="str">
        <f>HYPERLINK("https://www.youtube.com/channel/UCDVI8Mu_DP44C1H7oNNGByQ")</f>
        <v>https://www.youtube.com/channel/UCDVI8Mu_DP44C1H7oNNGByQ</v>
      </c>
      <c r="AU34" s="81">
        <v>3</v>
      </c>
      <c r="AV34" s="49">
        <v>3</v>
      </c>
      <c r="AW34" s="50">
        <v>1.3274336283185841</v>
      </c>
      <c r="AX34" s="49">
        <v>7</v>
      </c>
      <c r="AY34" s="50">
        <v>3.0973451327433628</v>
      </c>
      <c r="AZ34" s="49">
        <v>0</v>
      </c>
      <c r="BA34" s="50">
        <v>0</v>
      </c>
      <c r="BB34" s="49">
        <v>68</v>
      </c>
      <c r="BC34" s="50">
        <v>30.088495575221238</v>
      </c>
      <c r="BD34" s="49">
        <v>226</v>
      </c>
      <c r="BE34" s="49"/>
      <c r="BF34" s="49"/>
      <c r="BG34" s="49"/>
      <c r="BH34" s="49"/>
      <c r="BI34" s="49"/>
      <c r="BJ34" s="49"/>
      <c r="BK34" s="115" t="s">
        <v>2598</v>
      </c>
      <c r="BL34" s="115" t="s">
        <v>2598</v>
      </c>
      <c r="BM34" s="115" t="s">
        <v>3077</v>
      </c>
      <c r="BN34" s="115" t="s">
        <v>3077</v>
      </c>
      <c r="BO34" s="2"/>
      <c r="BP34" s="3"/>
      <c r="BQ34" s="3"/>
      <c r="BR34" s="3"/>
      <c r="BS34" s="3"/>
    </row>
    <row r="35" spans="1:71" ht="15">
      <c r="A35" s="66" t="s">
        <v>253</v>
      </c>
      <c r="B35" s="67"/>
      <c r="C35" s="67"/>
      <c r="D35" s="68">
        <v>150</v>
      </c>
      <c r="E35" s="70"/>
      <c r="F35" s="102" t="str">
        <f>HYPERLINK("https://yt3.ggpht.com/aA1O3ijp-QvrEmkcfpvPL9gCVRjvhdOdlBtxek7W3ERa6gmcXp_MCQfiNMzL-dv2zLzZuU0R=s88-c-k-c0x00ffffff-no-rj")</f>
        <v>https://yt3.ggpht.com/aA1O3ijp-QvrEmkcfpvPL9gCVRjvhdOdlBtxek7W3ERa6gmcXp_MCQfiNMzL-dv2zLzZuU0R=s88-c-k-c0x00ffffff-no-rj</v>
      </c>
      <c r="G35" s="67"/>
      <c r="H35" s="71" t="s">
        <v>1331</v>
      </c>
      <c r="I35" s="72"/>
      <c r="J35" s="72" t="s">
        <v>159</v>
      </c>
      <c r="K35" s="71" t="s">
        <v>1331</v>
      </c>
      <c r="L35" s="75">
        <v>1</v>
      </c>
      <c r="M35" s="76">
        <v>8636.8359375</v>
      </c>
      <c r="N35" s="76">
        <v>9057.1181640625</v>
      </c>
      <c r="O35" s="77"/>
      <c r="P35" s="78"/>
      <c r="Q35" s="78"/>
      <c r="R35" s="88"/>
      <c r="S35" s="49">
        <v>0</v>
      </c>
      <c r="T35" s="49">
        <v>1</v>
      </c>
      <c r="U35" s="50">
        <v>0</v>
      </c>
      <c r="V35" s="50">
        <v>0.059549</v>
      </c>
      <c r="W35" s="50">
        <v>0</v>
      </c>
      <c r="X35" s="50">
        <v>0.001581</v>
      </c>
      <c r="Y35" s="50">
        <v>0</v>
      </c>
      <c r="Z35" s="50">
        <v>0</v>
      </c>
      <c r="AA35" s="73">
        <v>35</v>
      </c>
      <c r="AB35" s="73"/>
      <c r="AC35" s="74"/>
      <c r="AD35" s="81" t="s">
        <v>1331</v>
      </c>
      <c r="AE35" s="81" t="s">
        <v>1919</v>
      </c>
      <c r="AF35" s="81"/>
      <c r="AG35" s="81"/>
      <c r="AH35" s="81"/>
      <c r="AI35" s="81" t="s">
        <v>2051</v>
      </c>
      <c r="AJ35" s="85">
        <v>44861.41186342593</v>
      </c>
      <c r="AK35" s="83" t="str">
        <f>HYPERLINK("https://yt3.ggpht.com/aA1O3ijp-QvrEmkcfpvPL9gCVRjvhdOdlBtxek7W3ERa6gmcXp_MCQfiNMzL-dv2zLzZuU0R=s88-c-k-c0x00ffffff-no-rj")</f>
        <v>https://yt3.ggpht.com/aA1O3ijp-QvrEmkcfpvPL9gCVRjvhdOdlBtxek7W3ERa6gmcXp_MCQfiNMzL-dv2zLzZuU0R=s88-c-k-c0x00ffffff-no-rj</v>
      </c>
      <c r="AL35" s="81">
        <v>8425</v>
      </c>
      <c r="AM35" s="81">
        <v>0</v>
      </c>
      <c r="AN35" s="81">
        <v>27</v>
      </c>
      <c r="AO35" s="81" t="b">
        <v>0</v>
      </c>
      <c r="AP35" s="81">
        <v>38</v>
      </c>
      <c r="AQ35" s="81"/>
      <c r="AR35" s="81"/>
      <c r="AS35" s="81" t="s">
        <v>2571</v>
      </c>
      <c r="AT35" s="83" t="str">
        <f>HYPERLINK("https://www.youtube.com/channel/UCYQzjLqyfdbgl-f86cDs55A")</f>
        <v>https://www.youtube.com/channel/UCYQzjLqyfdbgl-f86cDs55A</v>
      </c>
      <c r="AU35" s="81">
        <v>3</v>
      </c>
      <c r="AV35" s="49">
        <v>1</v>
      </c>
      <c r="AW35" s="50">
        <v>1.7241379310344827</v>
      </c>
      <c r="AX35" s="49">
        <v>0</v>
      </c>
      <c r="AY35" s="50">
        <v>0</v>
      </c>
      <c r="AZ35" s="49">
        <v>0</v>
      </c>
      <c r="BA35" s="50">
        <v>0</v>
      </c>
      <c r="BB35" s="49">
        <v>16</v>
      </c>
      <c r="BC35" s="50">
        <v>27.586206896551722</v>
      </c>
      <c r="BD35" s="49">
        <v>58</v>
      </c>
      <c r="BE35" s="49"/>
      <c r="BF35" s="49"/>
      <c r="BG35" s="49"/>
      <c r="BH35" s="49"/>
      <c r="BI35" s="49"/>
      <c r="BJ35" s="49"/>
      <c r="BK35" s="115" t="s">
        <v>4552</v>
      </c>
      <c r="BL35" s="115" t="s">
        <v>4552</v>
      </c>
      <c r="BM35" s="115" t="s">
        <v>4576</v>
      </c>
      <c r="BN35" s="115" t="s">
        <v>4576</v>
      </c>
      <c r="BO35" s="2"/>
      <c r="BP35" s="3"/>
      <c r="BQ35" s="3"/>
      <c r="BR35" s="3"/>
      <c r="BS35" s="3"/>
    </row>
    <row r="36" spans="1:71" ht="15">
      <c r="A36" s="66" t="s">
        <v>254</v>
      </c>
      <c r="B36" s="67"/>
      <c r="C36" s="67"/>
      <c r="D36" s="68">
        <v>150</v>
      </c>
      <c r="E36" s="70"/>
      <c r="F36" s="102" t="str">
        <f>HYPERLINK("https://yt3.ggpht.com/ytc/AOPolaTR10ifpnMkncB9ggYG95FciXHEpWlvyqW1-op0=s88-c-k-c0x00ffffff-no-rj")</f>
        <v>https://yt3.ggpht.com/ytc/AOPolaTR10ifpnMkncB9ggYG95FciXHEpWlvyqW1-op0=s88-c-k-c0x00ffffff-no-rj</v>
      </c>
      <c r="G36" s="67"/>
      <c r="H36" s="71" t="s">
        <v>1332</v>
      </c>
      <c r="I36" s="72"/>
      <c r="J36" s="72" t="s">
        <v>159</v>
      </c>
      <c r="K36" s="71" t="s">
        <v>1332</v>
      </c>
      <c r="L36" s="75">
        <v>1</v>
      </c>
      <c r="M36" s="76">
        <v>6395.662109375</v>
      </c>
      <c r="N36" s="76">
        <v>7925.64404296875</v>
      </c>
      <c r="O36" s="77"/>
      <c r="P36" s="78"/>
      <c r="Q36" s="78"/>
      <c r="R36" s="88"/>
      <c r="S36" s="49">
        <v>0</v>
      </c>
      <c r="T36" s="49">
        <v>1</v>
      </c>
      <c r="U36" s="50">
        <v>0</v>
      </c>
      <c r="V36" s="50">
        <v>0.059549</v>
      </c>
      <c r="W36" s="50">
        <v>0</v>
      </c>
      <c r="X36" s="50">
        <v>0.001581</v>
      </c>
      <c r="Y36" s="50">
        <v>0</v>
      </c>
      <c r="Z36" s="50">
        <v>0</v>
      </c>
      <c r="AA36" s="73">
        <v>36</v>
      </c>
      <c r="AB36" s="73"/>
      <c r="AC36" s="74"/>
      <c r="AD36" s="81" t="s">
        <v>1332</v>
      </c>
      <c r="AE36" s="81"/>
      <c r="AF36" s="81"/>
      <c r="AG36" s="81"/>
      <c r="AH36" s="81"/>
      <c r="AI36" s="81" t="s">
        <v>2052</v>
      </c>
      <c r="AJ36" s="85">
        <v>41680.09489583333</v>
      </c>
      <c r="AK36" s="83" t="str">
        <f>HYPERLINK("https://yt3.ggpht.com/ytc/AOPolaTR10ifpnMkncB9ggYG95FciXHEpWlvyqW1-op0=s88-c-k-c0x00ffffff-no-rj")</f>
        <v>https://yt3.ggpht.com/ytc/AOPolaTR10ifpnMkncB9ggYG95FciXHEpWlvyqW1-op0=s88-c-k-c0x00ffffff-no-rj</v>
      </c>
      <c r="AL36" s="81">
        <v>0</v>
      </c>
      <c r="AM36" s="81">
        <v>0</v>
      </c>
      <c r="AN36" s="81">
        <v>11</v>
      </c>
      <c r="AO36" s="81" t="b">
        <v>0</v>
      </c>
      <c r="AP36" s="81">
        <v>0</v>
      </c>
      <c r="AQ36" s="81"/>
      <c r="AR36" s="81"/>
      <c r="AS36" s="81" t="s">
        <v>2571</v>
      </c>
      <c r="AT36" s="83" t="str">
        <f>HYPERLINK("https://www.youtube.com/channel/UCVYh_gqHZVfmKQajmZUBoEA")</f>
        <v>https://www.youtube.com/channel/UCVYh_gqHZVfmKQajmZUBoEA</v>
      </c>
      <c r="AU36" s="81">
        <v>3</v>
      </c>
      <c r="AV36" s="49">
        <v>3</v>
      </c>
      <c r="AW36" s="50">
        <v>3.3707865168539324</v>
      </c>
      <c r="AX36" s="49">
        <v>4</v>
      </c>
      <c r="AY36" s="50">
        <v>4.49438202247191</v>
      </c>
      <c r="AZ36" s="49">
        <v>0</v>
      </c>
      <c r="BA36" s="50">
        <v>0</v>
      </c>
      <c r="BB36" s="49">
        <v>24</v>
      </c>
      <c r="BC36" s="50">
        <v>26.96629213483146</v>
      </c>
      <c r="BD36" s="49">
        <v>89</v>
      </c>
      <c r="BE36" s="49"/>
      <c r="BF36" s="49"/>
      <c r="BG36" s="49"/>
      <c r="BH36" s="49"/>
      <c r="BI36" s="49"/>
      <c r="BJ36" s="49"/>
      <c r="BK36" s="115" t="s">
        <v>4553</v>
      </c>
      <c r="BL36" s="115" t="s">
        <v>4553</v>
      </c>
      <c r="BM36" s="115" t="s">
        <v>3078</v>
      </c>
      <c r="BN36" s="115" t="s">
        <v>3078</v>
      </c>
      <c r="BO36" s="2"/>
      <c r="BP36" s="3"/>
      <c r="BQ36" s="3"/>
      <c r="BR36" s="3"/>
      <c r="BS36" s="3"/>
    </row>
    <row r="37" spans="1:71" ht="15">
      <c r="A37" s="66" t="s">
        <v>255</v>
      </c>
      <c r="B37" s="67"/>
      <c r="C37" s="67"/>
      <c r="D37" s="68">
        <v>150</v>
      </c>
      <c r="E37" s="70"/>
      <c r="F37" s="102" t="str">
        <f>HYPERLINK("https://yt3.ggpht.com/ytc/AOPolaSYzLj4ApdPWaORdVjM0LfBXxlu_UfodpgJWg=s88-c-k-c0x00ffffff-no-rj")</f>
        <v>https://yt3.ggpht.com/ytc/AOPolaSYzLj4ApdPWaORdVjM0LfBXxlu_UfodpgJWg=s88-c-k-c0x00ffffff-no-rj</v>
      </c>
      <c r="G37" s="67"/>
      <c r="H37" s="71" t="s">
        <v>1333</v>
      </c>
      <c r="I37" s="72"/>
      <c r="J37" s="72" t="s">
        <v>159</v>
      </c>
      <c r="K37" s="71" t="s">
        <v>1333</v>
      </c>
      <c r="L37" s="75">
        <v>1</v>
      </c>
      <c r="M37" s="76">
        <v>8344.4716796875</v>
      </c>
      <c r="N37" s="76">
        <v>9782.22265625</v>
      </c>
      <c r="O37" s="77"/>
      <c r="P37" s="78"/>
      <c r="Q37" s="78"/>
      <c r="R37" s="88"/>
      <c r="S37" s="49">
        <v>0</v>
      </c>
      <c r="T37" s="49">
        <v>1</v>
      </c>
      <c r="U37" s="50">
        <v>0</v>
      </c>
      <c r="V37" s="50">
        <v>0.059549</v>
      </c>
      <c r="W37" s="50">
        <v>0</v>
      </c>
      <c r="X37" s="50">
        <v>0.001581</v>
      </c>
      <c r="Y37" s="50">
        <v>0</v>
      </c>
      <c r="Z37" s="50">
        <v>0</v>
      </c>
      <c r="AA37" s="73">
        <v>37</v>
      </c>
      <c r="AB37" s="73"/>
      <c r="AC37" s="74"/>
      <c r="AD37" s="81" t="s">
        <v>1333</v>
      </c>
      <c r="AE37" s="81"/>
      <c r="AF37" s="81"/>
      <c r="AG37" s="81"/>
      <c r="AH37" s="81"/>
      <c r="AI37" s="81" t="s">
        <v>2053</v>
      </c>
      <c r="AJ37" s="85">
        <v>41720.403333333335</v>
      </c>
      <c r="AK37" s="83" t="str">
        <f>HYPERLINK("https://yt3.ggpht.com/ytc/AOPolaSYzLj4ApdPWaORdVjM0LfBXxlu_UfodpgJWg=s88-c-k-c0x00ffffff-no-rj")</f>
        <v>https://yt3.ggpht.com/ytc/AOPolaSYzLj4ApdPWaORdVjM0LfBXxlu_UfodpgJWg=s88-c-k-c0x00ffffff-no-rj</v>
      </c>
      <c r="AL37" s="81">
        <v>116</v>
      </c>
      <c r="AM37" s="81">
        <v>0</v>
      </c>
      <c r="AN37" s="81">
        <v>5</v>
      </c>
      <c r="AO37" s="81" t="b">
        <v>0</v>
      </c>
      <c r="AP37" s="81">
        <v>1</v>
      </c>
      <c r="AQ37" s="81"/>
      <c r="AR37" s="81"/>
      <c r="AS37" s="81" t="s">
        <v>2571</v>
      </c>
      <c r="AT37" s="83" t="str">
        <f>HYPERLINK("https://www.youtube.com/channel/UCf5h3N-zwGa833s_n8W4p8Q")</f>
        <v>https://www.youtube.com/channel/UCf5h3N-zwGa833s_n8W4p8Q</v>
      </c>
      <c r="AU37" s="81">
        <v>3</v>
      </c>
      <c r="AV37" s="49">
        <v>3</v>
      </c>
      <c r="AW37" s="50">
        <v>2.6548672566371683</v>
      </c>
      <c r="AX37" s="49">
        <v>6</v>
      </c>
      <c r="AY37" s="50">
        <v>5.3097345132743365</v>
      </c>
      <c r="AZ37" s="49">
        <v>0</v>
      </c>
      <c r="BA37" s="50">
        <v>0</v>
      </c>
      <c r="BB37" s="49">
        <v>33</v>
      </c>
      <c r="BC37" s="50">
        <v>29.20353982300885</v>
      </c>
      <c r="BD37" s="49">
        <v>113</v>
      </c>
      <c r="BE37" s="49"/>
      <c r="BF37" s="49"/>
      <c r="BG37" s="49"/>
      <c r="BH37" s="49"/>
      <c r="BI37" s="49"/>
      <c r="BJ37" s="49"/>
      <c r="BK37" s="115" t="s">
        <v>4554</v>
      </c>
      <c r="BL37" s="115" t="s">
        <v>4554</v>
      </c>
      <c r="BM37" s="115" t="s">
        <v>4577</v>
      </c>
      <c r="BN37" s="115" t="s">
        <v>4577</v>
      </c>
      <c r="BO37" s="2"/>
      <c r="BP37" s="3"/>
      <c r="BQ37" s="3"/>
      <c r="BR37" s="3"/>
      <c r="BS37" s="3"/>
    </row>
    <row r="38" spans="1:71" ht="15">
      <c r="A38" s="66" t="s">
        <v>256</v>
      </c>
      <c r="B38" s="67"/>
      <c r="C38" s="67"/>
      <c r="D38" s="68">
        <v>150</v>
      </c>
      <c r="E38" s="70"/>
      <c r="F38" s="102" t="str">
        <f>HYPERLINK("https://yt3.ggpht.com/-MMTwALHSFrLAPCRwEPOZo2yJIbiN-AOgeWM5obiYlxiZ5XeEYVPJ7Wpyiid4FZqniQTsMA23g=s88-c-k-c0x00ffffff-no-rj")</f>
        <v>https://yt3.ggpht.com/-MMTwALHSFrLAPCRwEPOZo2yJIbiN-AOgeWM5obiYlxiZ5XeEYVPJ7Wpyiid4FZqniQTsMA23g=s88-c-k-c0x00ffffff-no-rj</v>
      </c>
      <c r="G38" s="67"/>
      <c r="H38" s="71" t="s">
        <v>1334</v>
      </c>
      <c r="I38" s="72"/>
      <c r="J38" s="72" t="s">
        <v>159</v>
      </c>
      <c r="K38" s="71" t="s">
        <v>1334</v>
      </c>
      <c r="L38" s="75">
        <v>1</v>
      </c>
      <c r="M38" s="76">
        <v>9510.4267578125</v>
      </c>
      <c r="N38" s="76">
        <v>8735.126953125</v>
      </c>
      <c r="O38" s="77"/>
      <c r="P38" s="78"/>
      <c r="Q38" s="78"/>
      <c r="R38" s="88"/>
      <c r="S38" s="49">
        <v>0</v>
      </c>
      <c r="T38" s="49">
        <v>1</v>
      </c>
      <c r="U38" s="50">
        <v>0</v>
      </c>
      <c r="V38" s="50">
        <v>0.059549</v>
      </c>
      <c r="W38" s="50">
        <v>0</v>
      </c>
      <c r="X38" s="50">
        <v>0.001581</v>
      </c>
      <c r="Y38" s="50">
        <v>0</v>
      </c>
      <c r="Z38" s="50">
        <v>0</v>
      </c>
      <c r="AA38" s="73">
        <v>38</v>
      </c>
      <c r="AB38" s="73"/>
      <c r="AC38" s="74"/>
      <c r="AD38" s="81" t="s">
        <v>1334</v>
      </c>
      <c r="AE38" s="81" t="s">
        <v>1334</v>
      </c>
      <c r="AF38" s="81"/>
      <c r="AG38" s="81"/>
      <c r="AH38" s="81"/>
      <c r="AI38" s="81" t="s">
        <v>2054</v>
      </c>
      <c r="AJ38" s="85">
        <v>43140.87045138889</v>
      </c>
      <c r="AK38" s="83" t="str">
        <f>HYPERLINK("https://yt3.ggpht.com/-MMTwALHSFrLAPCRwEPOZo2yJIbiN-AOgeWM5obiYlxiZ5XeEYVPJ7Wpyiid4FZqniQTsMA23g=s88-c-k-c0x00ffffff-no-rj")</f>
        <v>https://yt3.ggpht.com/-MMTwALHSFrLAPCRwEPOZo2yJIbiN-AOgeWM5obiYlxiZ5XeEYVPJ7Wpyiid4FZqniQTsMA23g=s88-c-k-c0x00ffffff-no-rj</v>
      </c>
      <c r="AL38" s="81">
        <v>0</v>
      </c>
      <c r="AM38" s="81">
        <v>0</v>
      </c>
      <c r="AN38" s="81">
        <v>5</v>
      </c>
      <c r="AO38" s="81" t="b">
        <v>0</v>
      </c>
      <c r="AP38" s="81">
        <v>0</v>
      </c>
      <c r="AQ38" s="81"/>
      <c r="AR38" s="81"/>
      <c r="AS38" s="81" t="s">
        <v>2571</v>
      </c>
      <c r="AT38" s="83" t="str">
        <f>HYPERLINK("https://www.youtube.com/channel/UCmyFx09lsrSah2z_EkyEZMw")</f>
        <v>https://www.youtube.com/channel/UCmyFx09lsrSah2z_EkyEZMw</v>
      </c>
      <c r="AU38" s="81">
        <v>3</v>
      </c>
      <c r="AV38" s="49">
        <v>0</v>
      </c>
      <c r="AW38" s="50">
        <v>0</v>
      </c>
      <c r="AX38" s="49">
        <v>1</v>
      </c>
      <c r="AY38" s="50">
        <v>25</v>
      </c>
      <c r="AZ38" s="49">
        <v>0</v>
      </c>
      <c r="BA38" s="50">
        <v>0</v>
      </c>
      <c r="BB38" s="49">
        <v>2</v>
      </c>
      <c r="BC38" s="50">
        <v>50</v>
      </c>
      <c r="BD38" s="49">
        <v>4</v>
      </c>
      <c r="BE38" s="49"/>
      <c r="BF38" s="49"/>
      <c r="BG38" s="49"/>
      <c r="BH38" s="49"/>
      <c r="BI38" s="49"/>
      <c r="BJ38" s="49"/>
      <c r="BK38" s="115" t="s">
        <v>2599</v>
      </c>
      <c r="BL38" s="115" t="s">
        <v>2599</v>
      </c>
      <c r="BM38" s="115" t="s">
        <v>3079</v>
      </c>
      <c r="BN38" s="115" t="s">
        <v>3079</v>
      </c>
      <c r="BO38" s="2"/>
      <c r="BP38" s="3"/>
      <c r="BQ38" s="3"/>
      <c r="BR38" s="3"/>
      <c r="BS38" s="3"/>
    </row>
    <row r="39" spans="1:71" ht="15">
      <c r="A39" s="66" t="s">
        <v>257</v>
      </c>
      <c r="B39" s="67"/>
      <c r="C39" s="67"/>
      <c r="D39" s="68">
        <v>150</v>
      </c>
      <c r="E39" s="70"/>
      <c r="F39" s="102" t="str">
        <f>HYPERLINK("https://yt3.ggpht.com/ytc/AOPolaSiudSn4ehMzW07pYSqMk_JeIB8m2-fUL0KlXuPY04=s88-c-k-c0x00ffffff-no-rj")</f>
        <v>https://yt3.ggpht.com/ytc/AOPolaSiudSn4ehMzW07pYSqMk_JeIB8m2-fUL0KlXuPY04=s88-c-k-c0x00ffffff-no-rj</v>
      </c>
      <c r="G39" s="67"/>
      <c r="H39" s="71" t="s">
        <v>1335</v>
      </c>
      <c r="I39" s="72"/>
      <c r="J39" s="72" t="s">
        <v>159</v>
      </c>
      <c r="K39" s="71" t="s">
        <v>1335</v>
      </c>
      <c r="L39" s="75">
        <v>1</v>
      </c>
      <c r="M39" s="76">
        <v>9777.21484375</v>
      </c>
      <c r="N39" s="76">
        <v>8878.7099609375</v>
      </c>
      <c r="O39" s="77"/>
      <c r="P39" s="78"/>
      <c r="Q39" s="78"/>
      <c r="R39" s="88"/>
      <c r="S39" s="49">
        <v>0</v>
      </c>
      <c r="T39" s="49">
        <v>1</v>
      </c>
      <c r="U39" s="50">
        <v>0</v>
      </c>
      <c r="V39" s="50">
        <v>0.059549</v>
      </c>
      <c r="W39" s="50">
        <v>0</v>
      </c>
      <c r="X39" s="50">
        <v>0.001581</v>
      </c>
      <c r="Y39" s="50">
        <v>0</v>
      </c>
      <c r="Z39" s="50">
        <v>0</v>
      </c>
      <c r="AA39" s="73">
        <v>39</v>
      </c>
      <c r="AB39" s="73"/>
      <c r="AC39" s="74"/>
      <c r="AD39" s="81" t="s">
        <v>1335</v>
      </c>
      <c r="AE39" s="81"/>
      <c r="AF39" s="81"/>
      <c r="AG39" s="81"/>
      <c r="AH39" s="81"/>
      <c r="AI39" s="81" t="s">
        <v>2055</v>
      </c>
      <c r="AJ39" s="85">
        <v>41498.05315972222</v>
      </c>
      <c r="AK39" s="83" t="str">
        <f>HYPERLINK("https://yt3.ggpht.com/ytc/AOPolaSiudSn4ehMzW07pYSqMk_JeIB8m2-fUL0KlXuPY04=s88-c-k-c0x00ffffff-no-rj")</f>
        <v>https://yt3.ggpht.com/ytc/AOPolaSiudSn4ehMzW07pYSqMk_JeIB8m2-fUL0KlXuPY04=s88-c-k-c0x00ffffff-no-rj</v>
      </c>
      <c r="AL39" s="81">
        <v>0</v>
      </c>
      <c r="AM39" s="81">
        <v>0</v>
      </c>
      <c r="AN39" s="81">
        <v>0</v>
      </c>
      <c r="AO39" s="81" t="b">
        <v>0</v>
      </c>
      <c r="AP39" s="81">
        <v>0</v>
      </c>
      <c r="AQ39" s="81"/>
      <c r="AR39" s="81"/>
      <c r="AS39" s="81" t="s">
        <v>2571</v>
      </c>
      <c r="AT39" s="83" t="str">
        <f>HYPERLINK("https://www.youtube.com/channel/UCZdbdQpslVEy0Uzibu-pNDQ")</f>
        <v>https://www.youtube.com/channel/UCZdbdQpslVEy0Uzibu-pNDQ</v>
      </c>
      <c r="AU39" s="81">
        <v>3</v>
      </c>
      <c r="AV39" s="49">
        <v>1</v>
      </c>
      <c r="AW39" s="50">
        <v>2.5</v>
      </c>
      <c r="AX39" s="49">
        <v>3</v>
      </c>
      <c r="AY39" s="50">
        <v>7.5</v>
      </c>
      <c r="AZ39" s="49">
        <v>0</v>
      </c>
      <c r="BA39" s="50">
        <v>0</v>
      </c>
      <c r="BB39" s="49">
        <v>8</v>
      </c>
      <c r="BC39" s="50">
        <v>20</v>
      </c>
      <c r="BD39" s="49">
        <v>40</v>
      </c>
      <c r="BE39" s="49"/>
      <c r="BF39" s="49"/>
      <c r="BG39" s="49"/>
      <c r="BH39" s="49"/>
      <c r="BI39" s="49"/>
      <c r="BJ39" s="49"/>
      <c r="BK39" s="115" t="s">
        <v>2600</v>
      </c>
      <c r="BL39" s="115" t="s">
        <v>2600</v>
      </c>
      <c r="BM39" s="115" t="s">
        <v>3080</v>
      </c>
      <c r="BN39" s="115" t="s">
        <v>3080</v>
      </c>
      <c r="BO39" s="2"/>
      <c r="BP39" s="3"/>
      <c r="BQ39" s="3"/>
      <c r="BR39" s="3"/>
      <c r="BS39" s="3"/>
    </row>
    <row r="40" spans="1:71" ht="15">
      <c r="A40" s="66" t="s">
        <v>258</v>
      </c>
      <c r="B40" s="67"/>
      <c r="C40" s="67"/>
      <c r="D40" s="68">
        <v>150</v>
      </c>
      <c r="E40" s="70"/>
      <c r="F40" s="102" t="str">
        <f>HYPERLINK("https://yt3.ggpht.com/5HtNCGb_lksqCWYyQeZUSbST5cBtGQIGj2klh1Iz5FdAdZWmeTPs25CxtIeGtRG1RpegOrh-y7U=s88-c-k-c0x00ffffff-no-rj")</f>
        <v>https://yt3.ggpht.com/5HtNCGb_lksqCWYyQeZUSbST5cBtGQIGj2klh1Iz5FdAdZWmeTPs25CxtIeGtRG1RpegOrh-y7U=s88-c-k-c0x00ffffff-no-rj</v>
      </c>
      <c r="G40" s="67"/>
      <c r="H40" s="71" t="s">
        <v>1336</v>
      </c>
      <c r="I40" s="72"/>
      <c r="J40" s="72" t="s">
        <v>159</v>
      </c>
      <c r="K40" s="71" t="s">
        <v>1336</v>
      </c>
      <c r="L40" s="75">
        <v>1</v>
      </c>
      <c r="M40" s="76">
        <v>8818.6005859375</v>
      </c>
      <c r="N40" s="76">
        <v>8037.8681640625</v>
      </c>
      <c r="O40" s="77"/>
      <c r="P40" s="78"/>
      <c r="Q40" s="78"/>
      <c r="R40" s="88"/>
      <c r="S40" s="49">
        <v>0</v>
      </c>
      <c r="T40" s="49">
        <v>1</v>
      </c>
      <c r="U40" s="50">
        <v>0</v>
      </c>
      <c r="V40" s="50">
        <v>0.059549</v>
      </c>
      <c r="W40" s="50">
        <v>0</v>
      </c>
      <c r="X40" s="50">
        <v>0.001581</v>
      </c>
      <c r="Y40" s="50">
        <v>0</v>
      </c>
      <c r="Z40" s="50">
        <v>0</v>
      </c>
      <c r="AA40" s="73">
        <v>40</v>
      </c>
      <c r="AB40" s="73"/>
      <c r="AC40" s="74"/>
      <c r="AD40" s="81" t="s">
        <v>1336</v>
      </c>
      <c r="AE40" s="81"/>
      <c r="AF40" s="81"/>
      <c r="AG40" s="81"/>
      <c r="AH40" s="81"/>
      <c r="AI40" s="81" t="s">
        <v>2056</v>
      </c>
      <c r="AJ40" s="85">
        <v>44321.23096064815</v>
      </c>
      <c r="AK40" s="83" t="str">
        <f>HYPERLINK("https://yt3.ggpht.com/5HtNCGb_lksqCWYyQeZUSbST5cBtGQIGj2klh1Iz5FdAdZWmeTPs25CxtIeGtRG1RpegOrh-y7U=s88-c-k-c0x00ffffff-no-rj")</f>
        <v>https://yt3.ggpht.com/5HtNCGb_lksqCWYyQeZUSbST5cBtGQIGj2klh1Iz5FdAdZWmeTPs25CxtIeGtRG1RpegOrh-y7U=s88-c-k-c0x00ffffff-no-rj</v>
      </c>
      <c r="AL40" s="81">
        <v>0</v>
      </c>
      <c r="AM40" s="81">
        <v>0</v>
      </c>
      <c r="AN40" s="81">
        <v>0</v>
      </c>
      <c r="AO40" s="81" t="b">
        <v>0</v>
      </c>
      <c r="AP40" s="81">
        <v>0</v>
      </c>
      <c r="AQ40" s="81"/>
      <c r="AR40" s="81"/>
      <c r="AS40" s="81" t="s">
        <v>2571</v>
      </c>
      <c r="AT40" s="83" t="str">
        <f>HYPERLINK("https://www.youtube.com/channel/UC1bikyZsfnqh-YJGhxelxfg")</f>
        <v>https://www.youtube.com/channel/UC1bikyZsfnqh-YJGhxelxfg</v>
      </c>
      <c r="AU40" s="81">
        <v>3</v>
      </c>
      <c r="AV40" s="49">
        <v>3</v>
      </c>
      <c r="AW40" s="50">
        <v>3.7037037037037037</v>
      </c>
      <c r="AX40" s="49">
        <v>5</v>
      </c>
      <c r="AY40" s="50">
        <v>6.172839506172839</v>
      </c>
      <c r="AZ40" s="49">
        <v>0</v>
      </c>
      <c r="BA40" s="50">
        <v>0</v>
      </c>
      <c r="BB40" s="49">
        <v>27</v>
      </c>
      <c r="BC40" s="50">
        <v>33.333333333333336</v>
      </c>
      <c r="BD40" s="49">
        <v>81</v>
      </c>
      <c r="BE40" s="49"/>
      <c r="BF40" s="49"/>
      <c r="BG40" s="49"/>
      <c r="BH40" s="49"/>
      <c r="BI40" s="49"/>
      <c r="BJ40" s="49"/>
      <c r="BK40" s="115" t="s">
        <v>2601</v>
      </c>
      <c r="BL40" s="115" t="s">
        <v>2601</v>
      </c>
      <c r="BM40" s="115" t="s">
        <v>3081</v>
      </c>
      <c r="BN40" s="115" t="s">
        <v>3081</v>
      </c>
      <c r="BO40" s="2"/>
      <c r="BP40" s="3"/>
      <c r="BQ40" s="3"/>
      <c r="BR40" s="3"/>
      <c r="BS40" s="3"/>
    </row>
    <row r="41" spans="1:71" ht="15">
      <c r="A41" s="66" t="s">
        <v>259</v>
      </c>
      <c r="B41" s="67"/>
      <c r="C41" s="67"/>
      <c r="D41" s="68">
        <v>150</v>
      </c>
      <c r="E41" s="70"/>
      <c r="F41" s="102" t="str">
        <f>HYPERLINK("https://yt3.ggpht.com/ytc/AOPolaQgjli4jr9EVFT3ZPBm4N57Ereym_rRuvFH0NBf4rqaO3B5gRAbZWMtjYr2hGgv=s88-c-k-c0x00ffffff-no-rj")</f>
        <v>https://yt3.ggpht.com/ytc/AOPolaQgjli4jr9EVFT3ZPBm4N57Ereym_rRuvFH0NBf4rqaO3B5gRAbZWMtjYr2hGgv=s88-c-k-c0x00ffffff-no-rj</v>
      </c>
      <c r="G41" s="67"/>
      <c r="H41" s="71" t="s">
        <v>1337</v>
      </c>
      <c r="I41" s="72"/>
      <c r="J41" s="72" t="s">
        <v>159</v>
      </c>
      <c r="K41" s="71" t="s">
        <v>1337</v>
      </c>
      <c r="L41" s="75">
        <v>1</v>
      </c>
      <c r="M41" s="76">
        <v>9060.70703125</v>
      </c>
      <c r="N41" s="76">
        <v>7063.6015625</v>
      </c>
      <c r="O41" s="77"/>
      <c r="P41" s="78"/>
      <c r="Q41" s="78"/>
      <c r="R41" s="88"/>
      <c r="S41" s="49">
        <v>0</v>
      </c>
      <c r="T41" s="49">
        <v>1</v>
      </c>
      <c r="U41" s="50">
        <v>0</v>
      </c>
      <c r="V41" s="50">
        <v>0.059549</v>
      </c>
      <c r="W41" s="50">
        <v>0</v>
      </c>
      <c r="X41" s="50">
        <v>0.001581</v>
      </c>
      <c r="Y41" s="50">
        <v>0</v>
      </c>
      <c r="Z41" s="50">
        <v>0</v>
      </c>
      <c r="AA41" s="73">
        <v>41</v>
      </c>
      <c r="AB41" s="73"/>
      <c r="AC41" s="74"/>
      <c r="AD41" s="81" t="s">
        <v>1337</v>
      </c>
      <c r="AE41" s="81"/>
      <c r="AF41" s="81"/>
      <c r="AG41" s="81"/>
      <c r="AH41" s="81"/>
      <c r="AI41" s="81" t="s">
        <v>2057</v>
      </c>
      <c r="AJ41" s="85">
        <v>44904.85707175926</v>
      </c>
      <c r="AK41" s="83" t="str">
        <f>HYPERLINK("https://yt3.ggpht.com/ytc/AOPolaQgjli4jr9EVFT3ZPBm4N57Ereym_rRuvFH0NBf4rqaO3B5gRAbZWMtjYr2hGgv=s88-c-k-c0x00ffffff-no-rj")</f>
        <v>https://yt3.ggpht.com/ytc/AOPolaQgjli4jr9EVFT3ZPBm4N57Ereym_rRuvFH0NBf4rqaO3B5gRAbZWMtjYr2hGgv=s88-c-k-c0x00ffffff-no-rj</v>
      </c>
      <c r="AL41" s="81">
        <v>0</v>
      </c>
      <c r="AM41" s="81">
        <v>0</v>
      </c>
      <c r="AN41" s="81">
        <v>0</v>
      </c>
      <c r="AO41" s="81" t="b">
        <v>0</v>
      </c>
      <c r="AP41" s="81">
        <v>0</v>
      </c>
      <c r="AQ41" s="81"/>
      <c r="AR41" s="81"/>
      <c r="AS41" s="81" t="s">
        <v>2571</v>
      </c>
      <c r="AT41" s="83" t="str">
        <f>HYPERLINK("https://www.youtube.com/channel/UCbjPfNmN2iP2cFaj2cnL3MQ")</f>
        <v>https://www.youtube.com/channel/UCbjPfNmN2iP2cFaj2cnL3MQ</v>
      </c>
      <c r="AU41" s="81">
        <v>3</v>
      </c>
      <c r="AV41" s="49">
        <v>0</v>
      </c>
      <c r="AW41" s="50">
        <v>0</v>
      </c>
      <c r="AX41" s="49">
        <v>1</v>
      </c>
      <c r="AY41" s="50">
        <v>25</v>
      </c>
      <c r="AZ41" s="49">
        <v>0</v>
      </c>
      <c r="BA41" s="50">
        <v>0</v>
      </c>
      <c r="BB41" s="49">
        <v>1</v>
      </c>
      <c r="BC41" s="50">
        <v>25</v>
      </c>
      <c r="BD41" s="49">
        <v>4</v>
      </c>
      <c r="BE41" s="49"/>
      <c r="BF41" s="49"/>
      <c r="BG41" s="49"/>
      <c r="BH41" s="49"/>
      <c r="BI41" s="49"/>
      <c r="BJ41" s="49"/>
      <c r="BK41" s="115" t="s">
        <v>2602</v>
      </c>
      <c r="BL41" s="115" t="s">
        <v>2602</v>
      </c>
      <c r="BM41" s="115" t="s">
        <v>3082</v>
      </c>
      <c r="BN41" s="115" t="s">
        <v>3082</v>
      </c>
      <c r="BO41" s="2"/>
      <c r="BP41" s="3"/>
      <c r="BQ41" s="3"/>
      <c r="BR41" s="3"/>
      <c r="BS41" s="3"/>
    </row>
    <row r="42" spans="1:71" ht="15">
      <c r="A42" s="66" t="s">
        <v>260</v>
      </c>
      <c r="B42" s="67"/>
      <c r="C42" s="67"/>
      <c r="D42" s="68">
        <v>150</v>
      </c>
      <c r="E42" s="70"/>
      <c r="F42" s="102" t="str">
        <f>HYPERLINK("https://yt3.ggpht.com/ytc/AOPolaTRmHBx4q0zZeq-rR8MCCHENmhhjE5w9TlLASDvOg=s88-c-k-c0x00ffffff-no-rj")</f>
        <v>https://yt3.ggpht.com/ytc/AOPolaTRmHBx4q0zZeq-rR8MCCHENmhhjE5w9TlLASDvOg=s88-c-k-c0x00ffffff-no-rj</v>
      </c>
      <c r="G42" s="67"/>
      <c r="H42" s="71" t="s">
        <v>1338</v>
      </c>
      <c r="I42" s="72"/>
      <c r="J42" s="72" t="s">
        <v>159</v>
      </c>
      <c r="K42" s="71" t="s">
        <v>1338</v>
      </c>
      <c r="L42" s="75">
        <v>1</v>
      </c>
      <c r="M42" s="76">
        <v>6995.68408203125</v>
      </c>
      <c r="N42" s="76">
        <v>9497.5986328125</v>
      </c>
      <c r="O42" s="77"/>
      <c r="P42" s="78"/>
      <c r="Q42" s="78"/>
      <c r="R42" s="88"/>
      <c r="S42" s="49">
        <v>0</v>
      </c>
      <c r="T42" s="49">
        <v>1</v>
      </c>
      <c r="U42" s="50">
        <v>0</v>
      </c>
      <c r="V42" s="50">
        <v>0.059549</v>
      </c>
      <c r="W42" s="50">
        <v>0</v>
      </c>
      <c r="X42" s="50">
        <v>0.001581</v>
      </c>
      <c r="Y42" s="50">
        <v>0</v>
      </c>
      <c r="Z42" s="50">
        <v>0</v>
      </c>
      <c r="AA42" s="73">
        <v>42</v>
      </c>
      <c r="AB42" s="73"/>
      <c r="AC42" s="74"/>
      <c r="AD42" s="81" t="s">
        <v>1338</v>
      </c>
      <c r="AE42" s="81" t="s">
        <v>1920</v>
      </c>
      <c r="AF42" s="81"/>
      <c r="AG42" s="81"/>
      <c r="AH42" s="81"/>
      <c r="AI42" s="81" t="s">
        <v>2058</v>
      </c>
      <c r="AJ42" s="85">
        <v>39778.62532407408</v>
      </c>
      <c r="AK42" s="83" t="str">
        <f>HYPERLINK("https://yt3.ggpht.com/ytc/AOPolaTRmHBx4q0zZeq-rR8MCCHENmhhjE5w9TlLASDvOg=s88-c-k-c0x00ffffff-no-rj")</f>
        <v>https://yt3.ggpht.com/ytc/AOPolaTRmHBx4q0zZeq-rR8MCCHENmhhjE5w9TlLASDvOg=s88-c-k-c0x00ffffff-no-rj</v>
      </c>
      <c r="AL42" s="81">
        <v>178</v>
      </c>
      <c r="AM42" s="81">
        <v>0</v>
      </c>
      <c r="AN42" s="81">
        <v>11</v>
      </c>
      <c r="AO42" s="81" t="b">
        <v>0</v>
      </c>
      <c r="AP42" s="81">
        <v>2</v>
      </c>
      <c r="AQ42" s="81"/>
      <c r="AR42" s="81"/>
      <c r="AS42" s="81" t="s">
        <v>2571</v>
      </c>
      <c r="AT42" s="83" t="str">
        <f>HYPERLINK("https://www.youtube.com/channel/UCKQy6753tWI7LAigt5xt4HA")</f>
        <v>https://www.youtube.com/channel/UCKQy6753tWI7LAigt5xt4HA</v>
      </c>
      <c r="AU42" s="81">
        <v>3</v>
      </c>
      <c r="AV42" s="49">
        <v>0</v>
      </c>
      <c r="AW42" s="50">
        <v>0</v>
      </c>
      <c r="AX42" s="49">
        <v>0</v>
      </c>
      <c r="AY42" s="50">
        <v>0</v>
      </c>
      <c r="AZ42" s="49">
        <v>0</v>
      </c>
      <c r="BA42" s="50">
        <v>0</v>
      </c>
      <c r="BB42" s="49">
        <v>21</v>
      </c>
      <c r="BC42" s="50">
        <v>55.26315789473684</v>
      </c>
      <c r="BD42" s="49">
        <v>38</v>
      </c>
      <c r="BE42" s="49"/>
      <c r="BF42" s="49"/>
      <c r="BG42" s="49"/>
      <c r="BH42" s="49"/>
      <c r="BI42" s="49"/>
      <c r="BJ42" s="49"/>
      <c r="BK42" s="115" t="s">
        <v>4555</v>
      </c>
      <c r="BL42" s="115" t="s">
        <v>4555</v>
      </c>
      <c r="BM42" s="115" t="s">
        <v>4578</v>
      </c>
      <c r="BN42" s="115" t="s">
        <v>4578</v>
      </c>
      <c r="BO42" s="2"/>
      <c r="BP42" s="3"/>
      <c r="BQ42" s="3"/>
      <c r="BR42" s="3"/>
      <c r="BS42" s="3"/>
    </row>
    <row r="43" spans="1:71" ht="15">
      <c r="A43" s="66" t="s">
        <v>261</v>
      </c>
      <c r="B43" s="67"/>
      <c r="C43" s="67"/>
      <c r="D43" s="68">
        <v>150</v>
      </c>
      <c r="E43" s="70"/>
      <c r="F43" s="102" t="str">
        <f>HYPERLINK("https://yt3.ggpht.com/1dgiLIs8Ulp8ebD3EabpEldn8HvV-X4XYE2Ut2sjFq_OJ0u_L9ewmrgGxdPozOeqVqHNGUMFeCg=s88-c-k-c0x00ffffff-no-rj")</f>
        <v>https://yt3.ggpht.com/1dgiLIs8Ulp8ebD3EabpEldn8HvV-X4XYE2Ut2sjFq_OJ0u_L9ewmrgGxdPozOeqVqHNGUMFeCg=s88-c-k-c0x00ffffff-no-rj</v>
      </c>
      <c r="G43" s="67"/>
      <c r="H43" s="71" t="s">
        <v>1339</v>
      </c>
      <c r="I43" s="72"/>
      <c r="J43" s="72" t="s">
        <v>159</v>
      </c>
      <c r="K43" s="71" t="s">
        <v>1339</v>
      </c>
      <c r="L43" s="75">
        <v>1</v>
      </c>
      <c r="M43" s="76">
        <v>6813.46142578125</v>
      </c>
      <c r="N43" s="76">
        <v>7263.19384765625</v>
      </c>
      <c r="O43" s="77"/>
      <c r="P43" s="78"/>
      <c r="Q43" s="78"/>
      <c r="R43" s="88"/>
      <c r="S43" s="49">
        <v>0</v>
      </c>
      <c r="T43" s="49">
        <v>1</v>
      </c>
      <c r="U43" s="50">
        <v>0</v>
      </c>
      <c r="V43" s="50">
        <v>0.059549</v>
      </c>
      <c r="W43" s="50">
        <v>0</v>
      </c>
      <c r="X43" s="50">
        <v>0.001581</v>
      </c>
      <c r="Y43" s="50">
        <v>0</v>
      </c>
      <c r="Z43" s="50">
        <v>0</v>
      </c>
      <c r="AA43" s="73">
        <v>43</v>
      </c>
      <c r="AB43" s="73"/>
      <c r="AC43" s="74"/>
      <c r="AD43" s="81" t="s">
        <v>1339</v>
      </c>
      <c r="AE43" s="81" t="s">
        <v>1921</v>
      </c>
      <c r="AF43" s="81"/>
      <c r="AG43" s="81"/>
      <c r="AH43" s="81"/>
      <c r="AI43" s="81" t="s">
        <v>2059</v>
      </c>
      <c r="AJ43" s="85">
        <v>44357.312789351854</v>
      </c>
      <c r="AK43" s="83" t="str">
        <f>HYPERLINK("https://yt3.ggpht.com/1dgiLIs8Ulp8ebD3EabpEldn8HvV-X4XYE2Ut2sjFq_OJ0u_L9ewmrgGxdPozOeqVqHNGUMFeCg=s88-c-k-c0x00ffffff-no-rj")</f>
        <v>https://yt3.ggpht.com/1dgiLIs8Ulp8ebD3EabpEldn8HvV-X4XYE2Ut2sjFq_OJ0u_L9ewmrgGxdPozOeqVqHNGUMFeCg=s88-c-k-c0x00ffffff-no-rj</v>
      </c>
      <c r="AL43" s="81">
        <v>0</v>
      </c>
      <c r="AM43" s="81">
        <v>0</v>
      </c>
      <c r="AN43" s="81">
        <v>0</v>
      </c>
      <c r="AO43" s="81" t="b">
        <v>0</v>
      </c>
      <c r="AP43" s="81">
        <v>0</v>
      </c>
      <c r="AQ43" s="81"/>
      <c r="AR43" s="81"/>
      <c r="AS43" s="81" t="s">
        <v>2571</v>
      </c>
      <c r="AT43" s="83" t="str">
        <f>HYPERLINK("https://www.youtube.com/channel/UCpioEt1X_ZKOfTGhcexjZTA")</f>
        <v>https://www.youtube.com/channel/UCpioEt1X_ZKOfTGhcexjZTA</v>
      </c>
      <c r="AU43" s="81">
        <v>3</v>
      </c>
      <c r="AV43" s="49">
        <v>0</v>
      </c>
      <c r="AW43" s="50">
        <v>0</v>
      </c>
      <c r="AX43" s="49">
        <v>0</v>
      </c>
      <c r="AY43" s="50">
        <v>0</v>
      </c>
      <c r="AZ43" s="49">
        <v>0</v>
      </c>
      <c r="BA43" s="50">
        <v>0</v>
      </c>
      <c r="BB43" s="49">
        <v>12</v>
      </c>
      <c r="BC43" s="50">
        <v>38.70967741935484</v>
      </c>
      <c r="BD43" s="49">
        <v>31</v>
      </c>
      <c r="BE43" s="49"/>
      <c r="BF43" s="49"/>
      <c r="BG43" s="49"/>
      <c r="BH43" s="49"/>
      <c r="BI43" s="49"/>
      <c r="BJ43" s="49"/>
      <c r="BK43" s="115" t="s">
        <v>2603</v>
      </c>
      <c r="BL43" s="115" t="s">
        <v>2603</v>
      </c>
      <c r="BM43" s="115" t="s">
        <v>3083</v>
      </c>
      <c r="BN43" s="115" t="s">
        <v>3083</v>
      </c>
      <c r="BO43" s="2"/>
      <c r="BP43" s="3"/>
      <c r="BQ43" s="3"/>
      <c r="BR43" s="3"/>
      <c r="BS43" s="3"/>
    </row>
    <row r="44" spans="1:71" ht="15">
      <c r="A44" s="66" t="s">
        <v>262</v>
      </c>
      <c r="B44" s="67"/>
      <c r="C44" s="67"/>
      <c r="D44" s="68">
        <v>150</v>
      </c>
      <c r="E44" s="70"/>
      <c r="F44" s="102" t="str">
        <f>HYPERLINK("https://yt3.ggpht.com/ytc/AOPolaT5e1mrMJzqSJfD4D-kL7olikN-nm3dirYjJg=s88-c-k-c0x00ffffff-no-rj")</f>
        <v>https://yt3.ggpht.com/ytc/AOPolaT5e1mrMJzqSJfD4D-kL7olikN-nm3dirYjJg=s88-c-k-c0x00ffffff-no-rj</v>
      </c>
      <c r="G44" s="67"/>
      <c r="H44" s="71" t="s">
        <v>1340</v>
      </c>
      <c r="I44" s="72"/>
      <c r="J44" s="72" t="s">
        <v>159</v>
      </c>
      <c r="K44" s="71" t="s">
        <v>1340</v>
      </c>
      <c r="L44" s="75">
        <v>1</v>
      </c>
      <c r="M44" s="76">
        <v>6670.814453125</v>
      </c>
      <c r="N44" s="76">
        <v>7494.8203125</v>
      </c>
      <c r="O44" s="77"/>
      <c r="P44" s="78"/>
      <c r="Q44" s="78"/>
      <c r="R44" s="88"/>
      <c r="S44" s="49">
        <v>0</v>
      </c>
      <c r="T44" s="49">
        <v>1</v>
      </c>
      <c r="U44" s="50">
        <v>0</v>
      </c>
      <c r="V44" s="50">
        <v>0.059549</v>
      </c>
      <c r="W44" s="50">
        <v>0</v>
      </c>
      <c r="X44" s="50">
        <v>0.001581</v>
      </c>
      <c r="Y44" s="50">
        <v>0</v>
      </c>
      <c r="Z44" s="50">
        <v>0</v>
      </c>
      <c r="AA44" s="73">
        <v>44</v>
      </c>
      <c r="AB44" s="73"/>
      <c r="AC44" s="74"/>
      <c r="AD44" s="81" t="s">
        <v>1340</v>
      </c>
      <c r="AE44" s="81"/>
      <c r="AF44" s="81"/>
      <c r="AG44" s="81"/>
      <c r="AH44" s="81"/>
      <c r="AI44" s="81" t="s">
        <v>2060</v>
      </c>
      <c r="AJ44" s="85">
        <v>43251.083715277775</v>
      </c>
      <c r="AK44" s="83" t="str">
        <f>HYPERLINK("https://yt3.ggpht.com/ytc/AOPolaT5e1mrMJzqSJfD4D-kL7olikN-nm3dirYjJg=s88-c-k-c0x00ffffff-no-rj")</f>
        <v>https://yt3.ggpht.com/ytc/AOPolaT5e1mrMJzqSJfD4D-kL7olikN-nm3dirYjJg=s88-c-k-c0x00ffffff-no-rj</v>
      </c>
      <c r="AL44" s="81">
        <v>0</v>
      </c>
      <c r="AM44" s="81">
        <v>0</v>
      </c>
      <c r="AN44" s="81">
        <v>1</v>
      </c>
      <c r="AO44" s="81" t="b">
        <v>0</v>
      </c>
      <c r="AP44" s="81">
        <v>0</v>
      </c>
      <c r="AQ44" s="81"/>
      <c r="AR44" s="81"/>
      <c r="AS44" s="81" t="s">
        <v>2571</v>
      </c>
      <c r="AT44" s="83" t="str">
        <f>HYPERLINK("https://www.youtube.com/channel/UCTMmj0ljprXNyUDcm4D2IKA")</f>
        <v>https://www.youtube.com/channel/UCTMmj0ljprXNyUDcm4D2IKA</v>
      </c>
      <c r="AU44" s="81">
        <v>3</v>
      </c>
      <c r="AV44" s="49">
        <v>8</v>
      </c>
      <c r="AW44" s="50">
        <v>4.060913705583756</v>
      </c>
      <c r="AX44" s="49">
        <v>5</v>
      </c>
      <c r="AY44" s="50">
        <v>2.5380710659898478</v>
      </c>
      <c r="AZ44" s="49">
        <v>0</v>
      </c>
      <c r="BA44" s="50">
        <v>0</v>
      </c>
      <c r="BB44" s="49">
        <v>68</v>
      </c>
      <c r="BC44" s="50">
        <v>34.51776649746193</v>
      </c>
      <c r="BD44" s="49">
        <v>197</v>
      </c>
      <c r="BE44" s="49"/>
      <c r="BF44" s="49"/>
      <c r="BG44" s="49"/>
      <c r="BH44" s="49"/>
      <c r="BI44" s="49"/>
      <c r="BJ44" s="49"/>
      <c r="BK44" s="115" t="s">
        <v>2604</v>
      </c>
      <c r="BL44" s="115" t="s">
        <v>2604</v>
      </c>
      <c r="BM44" s="115" t="s">
        <v>3084</v>
      </c>
      <c r="BN44" s="115" t="s">
        <v>3084</v>
      </c>
      <c r="BO44" s="2"/>
      <c r="BP44" s="3"/>
      <c r="BQ44" s="3"/>
      <c r="BR44" s="3"/>
      <c r="BS44" s="3"/>
    </row>
    <row r="45" spans="1:71" ht="15">
      <c r="A45" s="66" t="s">
        <v>263</v>
      </c>
      <c r="B45" s="67"/>
      <c r="C45" s="67"/>
      <c r="D45" s="68">
        <v>150</v>
      </c>
      <c r="E45" s="70"/>
      <c r="F45" s="102" t="str">
        <f>HYPERLINK("https://yt3.ggpht.com/E5j8zE89ZUF3y-6YgG0C0pRASsihYpvCL069vGo3Cr_a8kmNILYyTrQM3jPLZqZFiaQ5S_WJ7Q=s88-c-k-c0x00ffffff-no-rj")</f>
        <v>https://yt3.ggpht.com/E5j8zE89ZUF3y-6YgG0C0pRASsihYpvCL069vGo3Cr_a8kmNILYyTrQM3jPLZqZFiaQ5S_WJ7Q=s88-c-k-c0x00ffffff-no-rj</v>
      </c>
      <c r="G45" s="67"/>
      <c r="H45" s="71" t="s">
        <v>1341</v>
      </c>
      <c r="I45" s="72"/>
      <c r="J45" s="72" t="s">
        <v>159</v>
      </c>
      <c r="K45" s="71" t="s">
        <v>1341</v>
      </c>
      <c r="L45" s="75">
        <v>1</v>
      </c>
      <c r="M45" s="76">
        <v>9315.4541015625</v>
      </c>
      <c r="N45" s="76">
        <v>7955.576171875</v>
      </c>
      <c r="O45" s="77"/>
      <c r="P45" s="78"/>
      <c r="Q45" s="78"/>
      <c r="R45" s="88"/>
      <c r="S45" s="49">
        <v>0</v>
      </c>
      <c r="T45" s="49">
        <v>1</v>
      </c>
      <c r="U45" s="50">
        <v>0</v>
      </c>
      <c r="V45" s="50">
        <v>0.059549</v>
      </c>
      <c r="W45" s="50">
        <v>0</v>
      </c>
      <c r="X45" s="50">
        <v>0.001581</v>
      </c>
      <c r="Y45" s="50">
        <v>0</v>
      </c>
      <c r="Z45" s="50">
        <v>0</v>
      </c>
      <c r="AA45" s="73">
        <v>45</v>
      </c>
      <c r="AB45" s="73"/>
      <c r="AC45" s="74"/>
      <c r="AD45" s="81" t="s">
        <v>1341</v>
      </c>
      <c r="AE45" s="81"/>
      <c r="AF45" s="81"/>
      <c r="AG45" s="81"/>
      <c r="AH45" s="81"/>
      <c r="AI45" s="81" t="s">
        <v>2061</v>
      </c>
      <c r="AJ45" s="85">
        <v>44735.931608796294</v>
      </c>
      <c r="AK45" s="83" t="str">
        <f>HYPERLINK("https://yt3.ggpht.com/E5j8zE89ZUF3y-6YgG0C0pRASsihYpvCL069vGo3Cr_a8kmNILYyTrQM3jPLZqZFiaQ5S_WJ7Q=s88-c-k-c0x00ffffff-no-rj")</f>
        <v>https://yt3.ggpht.com/E5j8zE89ZUF3y-6YgG0C0pRASsihYpvCL069vGo3Cr_a8kmNILYyTrQM3jPLZqZFiaQ5S_WJ7Q=s88-c-k-c0x00ffffff-no-rj</v>
      </c>
      <c r="AL45" s="81">
        <v>0</v>
      </c>
      <c r="AM45" s="81">
        <v>0</v>
      </c>
      <c r="AN45" s="81">
        <v>0</v>
      </c>
      <c r="AO45" s="81" t="b">
        <v>0</v>
      </c>
      <c r="AP45" s="81">
        <v>0</v>
      </c>
      <c r="AQ45" s="81"/>
      <c r="AR45" s="81"/>
      <c r="AS45" s="81" t="s">
        <v>2571</v>
      </c>
      <c r="AT45" s="83" t="str">
        <f>HYPERLINK("https://www.youtube.com/channel/UCZ7HPa_lqEDxBrc4-Mgtq8w")</f>
        <v>https://www.youtube.com/channel/UCZ7HPa_lqEDxBrc4-Mgtq8w</v>
      </c>
      <c r="AU45" s="81">
        <v>3</v>
      </c>
      <c r="AV45" s="49">
        <v>2</v>
      </c>
      <c r="AW45" s="50">
        <v>1.8018018018018018</v>
      </c>
      <c r="AX45" s="49">
        <v>2</v>
      </c>
      <c r="AY45" s="50">
        <v>1.8018018018018018</v>
      </c>
      <c r="AZ45" s="49">
        <v>0</v>
      </c>
      <c r="BA45" s="50">
        <v>0</v>
      </c>
      <c r="BB45" s="49">
        <v>29</v>
      </c>
      <c r="BC45" s="50">
        <v>26.126126126126128</v>
      </c>
      <c r="BD45" s="49">
        <v>111</v>
      </c>
      <c r="BE45" s="49"/>
      <c r="BF45" s="49"/>
      <c r="BG45" s="49"/>
      <c r="BH45" s="49"/>
      <c r="BI45" s="49"/>
      <c r="BJ45" s="49"/>
      <c r="BK45" s="115" t="s">
        <v>4556</v>
      </c>
      <c r="BL45" s="115" t="s">
        <v>4556</v>
      </c>
      <c r="BM45" s="115" t="s">
        <v>4579</v>
      </c>
      <c r="BN45" s="115" t="s">
        <v>4579</v>
      </c>
      <c r="BO45" s="2"/>
      <c r="BP45" s="3"/>
      <c r="BQ45" s="3"/>
      <c r="BR45" s="3"/>
      <c r="BS45" s="3"/>
    </row>
    <row r="46" spans="1:71" ht="15">
      <c r="A46" s="66" t="s">
        <v>264</v>
      </c>
      <c r="B46" s="67"/>
      <c r="C46" s="67"/>
      <c r="D46" s="68">
        <v>150</v>
      </c>
      <c r="E46" s="70"/>
      <c r="F46" s="102" t="str">
        <f>HYPERLINK("https://yt3.ggpht.com/ytc/AOPolaTTz0G4AylAXSlnP5HPqkojZdAI71UnAcOVJA=s88-c-k-c0x00ffffff-no-rj")</f>
        <v>https://yt3.ggpht.com/ytc/AOPolaTTz0G4AylAXSlnP5HPqkojZdAI71UnAcOVJA=s88-c-k-c0x00ffffff-no-rj</v>
      </c>
      <c r="G46" s="67"/>
      <c r="H46" s="71" t="s">
        <v>1342</v>
      </c>
      <c r="I46" s="72"/>
      <c r="J46" s="72" t="s">
        <v>159</v>
      </c>
      <c r="K46" s="71" t="s">
        <v>1342</v>
      </c>
      <c r="L46" s="75">
        <v>1</v>
      </c>
      <c r="M46" s="76">
        <v>7203.27001953125</v>
      </c>
      <c r="N46" s="76">
        <v>7017.1416015625</v>
      </c>
      <c r="O46" s="77"/>
      <c r="P46" s="78"/>
      <c r="Q46" s="78"/>
      <c r="R46" s="88"/>
      <c r="S46" s="49">
        <v>0</v>
      </c>
      <c r="T46" s="49">
        <v>1</v>
      </c>
      <c r="U46" s="50">
        <v>0</v>
      </c>
      <c r="V46" s="50">
        <v>0.059549</v>
      </c>
      <c r="W46" s="50">
        <v>0</v>
      </c>
      <c r="X46" s="50">
        <v>0.001581</v>
      </c>
      <c r="Y46" s="50">
        <v>0</v>
      </c>
      <c r="Z46" s="50">
        <v>0</v>
      </c>
      <c r="AA46" s="73">
        <v>46</v>
      </c>
      <c r="AB46" s="73"/>
      <c r="AC46" s="74"/>
      <c r="AD46" s="81" t="s">
        <v>1342</v>
      </c>
      <c r="AE46" s="81"/>
      <c r="AF46" s="81"/>
      <c r="AG46" s="81"/>
      <c r="AH46" s="81"/>
      <c r="AI46" s="81" t="s">
        <v>2062</v>
      </c>
      <c r="AJ46" s="85">
        <v>40861.45652777778</v>
      </c>
      <c r="AK46" s="83" t="str">
        <f>HYPERLINK("https://yt3.ggpht.com/ytc/AOPolaTTz0G4AylAXSlnP5HPqkojZdAI71UnAcOVJA=s88-c-k-c0x00ffffff-no-rj")</f>
        <v>https://yt3.ggpht.com/ytc/AOPolaTTz0G4AylAXSlnP5HPqkojZdAI71UnAcOVJA=s88-c-k-c0x00ffffff-no-rj</v>
      </c>
      <c r="AL46" s="81">
        <v>0</v>
      </c>
      <c r="AM46" s="81">
        <v>0</v>
      </c>
      <c r="AN46" s="81">
        <v>1</v>
      </c>
      <c r="AO46" s="81" t="b">
        <v>0</v>
      </c>
      <c r="AP46" s="81">
        <v>0</v>
      </c>
      <c r="AQ46" s="81"/>
      <c r="AR46" s="81"/>
      <c r="AS46" s="81" t="s">
        <v>2571</v>
      </c>
      <c r="AT46" s="83" t="str">
        <f>HYPERLINK("https://www.youtube.com/channel/UCGEt10_xOuvn17EXdYzD3VA")</f>
        <v>https://www.youtube.com/channel/UCGEt10_xOuvn17EXdYzD3VA</v>
      </c>
      <c r="AU46" s="81">
        <v>3</v>
      </c>
      <c r="AV46" s="49">
        <v>0</v>
      </c>
      <c r="AW46" s="50">
        <v>0</v>
      </c>
      <c r="AX46" s="49">
        <v>1</v>
      </c>
      <c r="AY46" s="50">
        <v>8.333333333333334</v>
      </c>
      <c r="AZ46" s="49">
        <v>0</v>
      </c>
      <c r="BA46" s="50">
        <v>0</v>
      </c>
      <c r="BB46" s="49">
        <v>7</v>
      </c>
      <c r="BC46" s="50">
        <v>58.333333333333336</v>
      </c>
      <c r="BD46" s="49">
        <v>12</v>
      </c>
      <c r="BE46" s="49"/>
      <c r="BF46" s="49"/>
      <c r="BG46" s="49"/>
      <c r="BH46" s="49"/>
      <c r="BI46" s="49"/>
      <c r="BJ46" s="49"/>
      <c r="BK46" s="115" t="s">
        <v>4557</v>
      </c>
      <c r="BL46" s="115" t="s">
        <v>4557</v>
      </c>
      <c r="BM46" s="115" t="s">
        <v>4580</v>
      </c>
      <c r="BN46" s="115" t="s">
        <v>4580</v>
      </c>
      <c r="BO46" s="2"/>
      <c r="BP46" s="3"/>
      <c r="BQ46" s="3"/>
      <c r="BR46" s="3"/>
      <c r="BS46" s="3"/>
    </row>
    <row r="47" spans="1:71" ht="15">
      <c r="A47" s="66" t="s">
        <v>265</v>
      </c>
      <c r="B47" s="67"/>
      <c r="C47" s="67"/>
      <c r="D47" s="68">
        <v>150</v>
      </c>
      <c r="E47" s="70"/>
      <c r="F47" s="102" t="str">
        <f>HYPERLINK("https://yt3.ggpht.com/ytc/AOPolaR1eUGbcFsioRnNQn40qLw97CE8TrLjdl_2bA=s88-c-k-c0x00ffffff-no-rj")</f>
        <v>https://yt3.ggpht.com/ytc/AOPolaR1eUGbcFsioRnNQn40qLw97CE8TrLjdl_2bA=s88-c-k-c0x00ffffff-no-rj</v>
      </c>
      <c r="G47" s="67"/>
      <c r="H47" s="71" t="s">
        <v>1343</v>
      </c>
      <c r="I47" s="72"/>
      <c r="J47" s="72" t="s">
        <v>159</v>
      </c>
      <c r="K47" s="71" t="s">
        <v>1343</v>
      </c>
      <c r="L47" s="75">
        <v>1</v>
      </c>
      <c r="M47" s="76">
        <v>8090.51611328125</v>
      </c>
      <c r="N47" s="76">
        <v>9409.7685546875</v>
      </c>
      <c r="O47" s="77"/>
      <c r="P47" s="78"/>
      <c r="Q47" s="78"/>
      <c r="R47" s="88"/>
      <c r="S47" s="49">
        <v>0</v>
      </c>
      <c r="T47" s="49">
        <v>1</v>
      </c>
      <c r="U47" s="50">
        <v>0</v>
      </c>
      <c r="V47" s="50">
        <v>0.059549</v>
      </c>
      <c r="W47" s="50">
        <v>0</v>
      </c>
      <c r="X47" s="50">
        <v>0.001581</v>
      </c>
      <c r="Y47" s="50">
        <v>0</v>
      </c>
      <c r="Z47" s="50">
        <v>0</v>
      </c>
      <c r="AA47" s="73">
        <v>47</v>
      </c>
      <c r="AB47" s="73"/>
      <c r="AC47" s="74"/>
      <c r="AD47" s="81" t="s">
        <v>1343</v>
      </c>
      <c r="AE47" s="81"/>
      <c r="AF47" s="81"/>
      <c r="AG47" s="81"/>
      <c r="AH47" s="81"/>
      <c r="AI47" s="81" t="s">
        <v>2063</v>
      </c>
      <c r="AJ47" s="85">
        <v>42661.933541666665</v>
      </c>
      <c r="AK47" s="83" t="str">
        <f>HYPERLINK("https://yt3.ggpht.com/ytc/AOPolaR1eUGbcFsioRnNQn40qLw97CE8TrLjdl_2bA=s88-c-k-c0x00ffffff-no-rj")</f>
        <v>https://yt3.ggpht.com/ytc/AOPolaR1eUGbcFsioRnNQn40qLw97CE8TrLjdl_2bA=s88-c-k-c0x00ffffff-no-rj</v>
      </c>
      <c r="AL47" s="81">
        <v>0</v>
      </c>
      <c r="AM47" s="81">
        <v>0</v>
      </c>
      <c r="AN47" s="81">
        <v>0</v>
      </c>
      <c r="AO47" s="81" t="b">
        <v>0</v>
      </c>
      <c r="AP47" s="81">
        <v>0</v>
      </c>
      <c r="AQ47" s="81"/>
      <c r="AR47" s="81"/>
      <c r="AS47" s="81" t="s">
        <v>2571</v>
      </c>
      <c r="AT47" s="83" t="str">
        <f>HYPERLINK("https://www.youtube.com/channel/UCOYrsFO8yTAYzqTx8kjwMLg")</f>
        <v>https://www.youtube.com/channel/UCOYrsFO8yTAYzqTx8kjwMLg</v>
      </c>
      <c r="AU47" s="81">
        <v>3</v>
      </c>
      <c r="AV47" s="49">
        <v>2</v>
      </c>
      <c r="AW47" s="50">
        <v>4</v>
      </c>
      <c r="AX47" s="49">
        <v>1</v>
      </c>
      <c r="AY47" s="50">
        <v>2</v>
      </c>
      <c r="AZ47" s="49">
        <v>0</v>
      </c>
      <c r="BA47" s="50">
        <v>0</v>
      </c>
      <c r="BB47" s="49">
        <v>21</v>
      </c>
      <c r="BC47" s="50">
        <v>42</v>
      </c>
      <c r="BD47" s="49">
        <v>50</v>
      </c>
      <c r="BE47" s="49"/>
      <c r="BF47" s="49"/>
      <c r="BG47" s="49"/>
      <c r="BH47" s="49"/>
      <c r="BI47" s="49"/>
      <c r="BJ47" s="49"/>
      <c r="BK47" s="115" t="s">
        <v>2605</v>
      </c>
      <c r="BL47" s="115" t="s">
        <v>2605</v>
      </c>
      <c r="BM47" s="115" t="s">
        <v>3085</v>
      </c>
      <c r="BN47" s="115" t="s">
        <v>3085</v>
      </c>
      <c r="BO47" s="2"/>
      <c r="BP47" s="3"/>
      <c r="BQ47" s="3"/>
      <c r="BR47" s="3"/>
      <c r="BS47" s="3"/>
    </row>
    <row r="48" spans="1:71" ht="15">
      <c r="A48" s="66" t="s">
        <v>266</v>
      </c>
      <c r="B48" s="67"/>
      <c r="C48" s="67"/>
      <c r="D48" s="68">
        <v>150</v>
      </c>
      <c r="E48" s="70"/>
      <c r="F48" s="102" t="str">
        <f>HYPERLINK("https://yt3.ggpht.com/ytc/AOPolaRYFznHNg66YvbTQDd6qW-CwgWWz3IQcaPalsEq=s88-c-k-c0x00ffffff-no-rj")</f>
        <v>https://yt3.ggpht.com/ytc/AOPolaRYFznHNg66YvbTQDd6qW-CwgWWz3IQcaPalsEq=s88-c-k-c0x00ffffff-no-rj</v>
      </c>
      <c r="G48" s="67"/>
      <c r="H48" s="71" t="s">
        <v>1344</v>
      </c>
      <c r="I48" s="72"/>
      <c r="J48" s="72" t="s">
        <v>159</v>
      </c>
      <c r="K48" s="71" t="s">
        <v>1344</v>
      </c>
      <c r="L48" s="75">
        <v>1</v>
      </c>
      <c r="M48" s="76">
        <v>9257.0751953125</v>
      </c>
      <c r="N48" s="76">
        <v>8367.5</v>
      </c>
      <c r="O48" s="77"/>
      <c r="P48" s="78"/>
      <c r="Q48" s="78"/>
      <c r="R48" s="88"/>
      <c r="S48" s="49">
        <v>0</v>
      </c>
      <c r="T48" s="49">
        <v>1</v>
      </c>
      <c r="U48" s="50">
        <v>0</v>
      </c>
      <c r="V48" s="50">
        <v>0.059549</v>
      </c>
      <c r="W48" s="50">
        <v>0</v>
      </c>
      <c r="X48" s="50">
        <v>0.001581</v>
      </c>
      <c r="Y48" s="50">
        <v>0</v>
      </c>
      <c r="Z48" s="50">
        <v>0</v>
      </c>
      <c r="AA48" s="73">
        <v>48</v>
      </c>
      <c r="AB48" s="73"/>
      <c r="AC48" s="74"/>
      <c r="AD48" s="81" t="s">
        <v>1344</v>
      </c>
      <c r="AE48" s="81"/>
      <c r="AF48" s="81"/>
      <c r="AG48" s="81"/>
      <c r="AH48" s="81"/>
      <c r="AI48" s="81" t="s">
        <v>2064</v>
      </c>
      <c r="AJ48" s="85">
        <v>44023.24521990741</v>
      </c>
      <c r="AK48" s="83" t="str">
        <f>HYPERLINK("https://yt3.ggpht.com/ytc/AOPolaRYFznHNg66YvbTQDd6qW-CwgWWz3IQcaPalsEq=s88-c-k-c0x00ffffff-no-rj")</f>
        <v>https://yt3.ggpht.com/ytc/AOPolaRYFznHNg66YvbTQDd6qW-CwgWWz3IQcaPalsEq=s88-c-k-c0x00ffffff-no-rj</v>
      </c>
      <c r="AL48" s="81">
        <v>0</v>
      </c>
      <c r="AM48" s="81">
        <v>0</v>
      </c>
      <c r="AN48" s="81">
        <v>7</v>
      </c>
      <c r="AO48" s="81" t="b">
        <v>0</v>
      </c>
      <c r="AP48" s="81">
        <v>0</v>
      </c>
      <c r="AQ48" s="81"/>
      <c r="AR48" s="81"/>
      <c r="AS48" s="81" t="s">
        <v>2571</v>
      </c>
      <c r="AT48" s="83" t="str">
        <f>HYPERLINK("https://www.youtube.com/channel/UCR5cSOytpbVX77dps5opAVQ")</f>
        <v>https://www.youtube.com/channel/UCR5cSOytpbVX77dps5opAVQ</v>
      </c>
      <c r="AU48" s="81">
        <v>3</v>
      </c>
      <c r="AV48" s="49">
        <v>0</v>
      </c>
      <c r="AW48" s="50">
        <v>0</v>
      </c>
      <c r="AX48" s="49">
        <v>0</v>
      </c>
      <c r="AY48" s="50">
        <v>0</v>
      </c>
      <c r="AZ48" s="49">
        <v>0</v>
      </c>
      <c r="BA48" s="50">
        <v>0</v>
      </c>
      <c r="BB48" s="49">
        <v>2</v>
      </c>
      <c r="BC48" s="50">
        <v>66.66666666666667</v>
      </c>
      <c r="BD48" s="49">
        <v>3</v>
      </c>
      <c r="BE48" s="49"/>
      <c r="BF48" s="49"/>
      <c r="BG48" s="49"/>
      <c r="BH48" s="49"/>
      <c r="BI48" s="49"/>
      <c r="BJ48" s="49"/>
      <c r="BK48" s="115" t="s">
        <v>2606</v>
      </c>
      <c r="BL48" s="115" t="s">
        <v>2606</v>
      </c>
      <c r="BM48" s="115" t="s">
        <v>3086</v>
      </c>
      <c r="BN48" s="115" t="s">
        <v>3086</v>
      </c>
      <c r="BO48" s="2"/>
      <c r="BP48" s="3"/>
      <c r="BQ48" s="3"/>
      <c r="BR48" s="3"/>
      <c r="BS48" s="3"/>
    </row>
    <row r="49" spans="1:71" ht="15">
      <c r="A49" s="66" t="s">
        <v>267</v>
      </c>
      <c r="B49" s="67"/>
      <c r="C49" s="67"/>
      <c r="D49" s="68">
        <v>150</v>
      </c>
      <c r="E49" s="70"/>
      <c r="F49" s="102" t="str">
        <f>HYPERLINK("https://yt3.ggpht.com/ytc/AOPolaTGvtzKJ9E2JmYYCyT29ZLoBasnt5wwpaHhk5ZTnQ8R92FAUZQsSc3ar3dlxOKR=s88-c-k-c0x00ffffff-no-rj")</f>
        <v>https://yt3.ggpht.com/ytc/AOPolaTGvtzKJ9E2JmYYCyT29ZLoBasnt5wwpaHhk5ZTnQ8R92FAUZQsSc3ar3dlxOKR=s88-c-k-c0x00ffffff-no-rj</v>
      </c>
      <c r="G49" s="67"/>
      <c r="H49" s="71" t="s">
        <v>1345</v>
      </c>
      <c r="I49" s="72"/>
      <c r="J49" s="72" t="s">
        <v>159</v>
      </c>
      <c r="K49" s="71" t="s">
        <v>1345</v>
      </c>
      <c r="L49" s="75">
        <v>1</v>
      </c>
      <c r="M49" s="76">
        <v>9610.021484375</v>
      </c>
      <c r="N49" s="76">
        <v>7661.6240234375</v>
      </c>
      <c r="O49" s="77"/>
      <c r="P49" s="78"/>
      <c r="Q49" s="78"/>
      <c r="R49" s="88"/>
      <c r="S49" s="49">
        <v>0</v>
      </c>
      <c r="T49" s="49">
        <v>1</v>
      </c>
      <c r="U49" s="50">
        <v>0</v>
      </c>
      <c r="V49" s="50">
        <v>0.059549</v>
      </c>
      <c r="W49" s="50">
        <v>0</v>
      </c>
      <c r="X49" s="50">
        <v>0.001581</v>
      </c>
      <c r="Y49" s="50">
        <v>0</v>
      </c>
      <c r="Z49" s="50">
        <v>0</v>
      </c>
      <c r="AA49" s="73">
        <v>49</v>
      </c>
      <c r="AB49" s="73"/>
      <c r="AC49" s="74"/>
      <c r="AD49" s="81" t="s">
        <v>1345</v>
      </c>
      <c r="AE49" s="81"/>
      <c r="AF49" s="81"/>
      <c r="AG49" s="81"/>
      <c r="AH49" s="81"/>
      <c r="AI49" s="81" t="s">
        <v>2065</v>
      </c>
      <c r="AJ49" s="85">
        <v>44578.535844907405</v>
      </c>
      <c r="AK49" s="83" t="str">
        <f>HYPERLINK("https://yt3.ggpht.com/ytc/AOPolaTGvtzKJ9E2JmYYCyT29ZLoBasnt5wwpaHhk5ZTnQ8R92FAUZQsSc3ar3dlxOKR=s88-c-k-c0x00ffffff-no-rj")</f>
        <v>https://yt3.ggpht.com/ytc/AOPolaTGvtzKJ9E2JmYYCyT29ZLoBasnt5wwpaHhk5ZTnQ8R92FAUZQsSc3ar3dlxOKR=s88-c-k-c0x00ffffff-no-rj</v>
      </c>
      <c r="AL49" s="81">
        <v>0</v>
      </c>
      <c r="AM49" s="81">
        <v>0</v>
      </c>
      <c r="AN49" s="81">
        <v>2</v>
      </c>
      <c r="AO49" s="81" t="b">
        <v>0</v>
      </c>
      <c r="AP49" s="81">
        <v>0</v>
      </c>
      <c r="AQ49" s="81"/>
      <c r="AR49" s="81"/>
      <c r="AS49" s="81" t="s">
        <v>2571</v>
      </c>
      <c r="AT49" s="83" t="str">
        <f>HYPERLINK("https://www.youtube.com/channel/UCj0xj7vufSC4d2qdDPt8RFQ")</f>
        <v>https://www.youtube.com/channel/UCj0xj7vufSC4d2qdDPt8RFQ</v>
      </c>
      <c r="AU49" s="81">
        <v>3</v>
      </c>
      <c r="AV49" s="49">
        <v>0</v>
      </c>
      <c r="AW49" s="50">
        <v>0</v>
      </c>
      <c r="AX49" s="49">
        <v>0</v>
      </c>
      <c r="AY49" s="50">
        <v>0</v>
      </c>
      <c r="AZ49" s="49">
        <v>0</v>
      </c>
      <c r="BA49" s="50">
        <v>0</v>
      </c>
      <c r="BB49" s="49">
        <v>4</v>
      </c>
      <c r="BC49" s="50">
        <v>44.44444444444444</v>
      </c>
      <c r="BD49" s="49">
        <v>9</v>
      </c>
      <c r="BE49" s="49"/>
      <c r="BF49" s="49"/>
      <c r="BG49" s="49"/>
      <c r="BH49" s="49"/>
      <c r="BI49" s="49"/>
      <c r="BJ49" s="49"/>
      <c r="BK49" s="115" t="s">
        <v>2607</v>
      </c>
      <c r="BL49" s="115" t="s">
        <v>2607</v>
      </c>
      <c r="BM49" s="115" t="s">
        <v>3087</v>
      </c>
      <c r="BN49" s="115" t="s">
        <v>3087</v>
      </c>
      <c r="BO49" s="2"/>
      <c r="BP49" s="3"/>
      <c r="BQ49" s="3"/>
      <c r="BR49" s="3"/>
      <c r="BS49" s="3"/>
    </row>
    <row r="50" spans="1:71" ht="15">
      <c r="A50" s="66" t="s">
        <v>268</v>
      </c>
      <c r="B50" s="67"/>
      <c r="C50" s="67"/>
      <c r="D50" s="68">
        <v>150</v>
      </c>
      <c r="E50" s="70"/>
      <c r="F50" s="102" t="str">
        <f>HYPERLINK("https://yt3.ggpht.com/ytc/AOPolaRh2UsltoSFWsXqDgv14PgF_I3u_JifXKZLOo-9=s88-c-k-c0x00ffffff-no-rj")</f>
        <v>https://yt3.ggpht.com/ytc/AOPolaRh2UsltoSFWsXqDgv14PgF_I3u_JifXKZLOo-9=s88-c-k-c0x00ffffff-no-rj</v>
      </c>
      <c r="G50" s="67"/>
      <c r="H50" s="71" t="s">
        <v>1346</v>
      </c>
      <c r="I50" s="72"/>
      <c r="J50" s="72" t="s">
        <v>159</v>
      </c>
      <c r="K50" s="71" t="s">
        <v>1346</v>
      </c>
      <c r="L50" s="75">
        <v>1</v>
      </c>
      <c r="M50" s="76">
        <v>7607.623046875</v>
      </c>
      <c r="N50" s="76">
        <v>9344.9345703125</v>
      </c>
      <c r="O50" s="77"/>
      <c r="P50" s="78"/>
      <c r="Q50" s="78"/>
      <c r="R50" s="88"/>
      <c r="S50" s="49">
        <v>0</v>
      </c>
      <c r="T50" s="49">
        <v>1</v>
      </c>
      <c r="U50" s="50">
        <v>0</v>
      </c>
      <c r="V50" s="50">
        <v>0.059549</v>
      </c>
      <c r="W50" s="50">
        <v>0</v>
      </c>
      <c r="X50" s="50">
        <v>0.001581</v>
      </c>
      <c r="Y50" s="50">
        <v>0</v>
      </c>
      <c r="Z50" s="50">
        <v>0</v>
      </c>
      <c r="AA50" s="73">
        <v>50</v>
      </c>
      <c r="AB50" s="73"/>
      <c r="AC50" s="74"/>
      <c r="AD50" s="81" t="s">
        <v>1346</v>
      </c>
      <c r="AE50" s="81"/>
      <c r="AF50" s="81"/>
      <c r="AG50" s="81"/>
      <c r="AH50" s="81"/>
      <c r="AI50" s="81" t="s">
        <v>2066</v>
      </c>
      <c r="AJ50" s="85">
        <v>42286.21994212963</v>
      </c>
      <c r="AK50" s="83" t="str">
        <f>HYPERLINK("https://yt3.ggpht.com/ytc/AOPolaRh2UsltoSFWsXqDgv14PgF_I3u_JifXKZLOo-9=s88-c-k-c0x00ffffff-no-rj")</f>
        <v>https://yt3.ggpht.com/ytc/AOPolaRh2UsltoSFWsXqDgv14PgF_I3u_JifXKZLOo-9=s88-c-k-c0x00ffffff-no-rj</v>
      </c>
      <c r="AL50" s="81">
        <v>95</v>
      </c>
      <c r="AM50" s="81">
        <v>0</v>
      </c>
      <c r="AN50" s="81">
        <v>5</v>
      </c>
      <c r="AO50" s="81" t="b">
        <v>0</v>
      </c>
      <c r="AP50" s="81">
        <v>1</v>
      </c>
      <c r="AQ50" s="81"/>
      <c r="AR50" s="81"/>
      <c r="AS50" s="81" t="s">
        <v>2571</v>
      </c>
      <c r="AT50" s="83" t="str">
        <f>HYPERLINK("https://www.youtube.com/channel/UCfFhBUE44pALXjKfTee7hLQ")</f>
        <v>https://www.youtube.com/channel/UCfFhBUE44pALXjKfTee7hLQ</v>
      </c>
      <c r="AU50" s="81">
        <v>3</v>
      </c>
      <c r="AV50" s="49">
        <v>1</v>
      </c>
      <c r="AW50" s="50">
        <v>2.3255813953488373</v>
      </c>
      <c r="AX50" s="49">
        <v>1</v>
      </c>
      <c r="AY50" s="50">
        <v>2.3255813953488373</v>
      </c>
      <c r="AZ50" s="49">
        <v>0</v>
      </c>
      <c r="BA50" s="50">
        <v>0</v>
      </c>
      <c r="BB50" s="49">
        <v>13</v>
      </c>
      <c r="BC50" s="50">
        <v>30.232558139534884</v>
      </c>
      <c r="BD50" s="49">
        <v>43</v>
      </c>
      <c r="BE50" s="49"/>
      <c r="BF50" s="49"/>
      <c r="BG50" s="49"/>
      <c r="BH50" s="49"/>
      <c r="BI50" s="49"/>
      <c r="BJ50" s="49"/>
      <c r="BK50" s="115" t="s">
        <v>2608</v>
      </c>
      <c r="BL50" s="115" t="s">
        <v>2608</v>
      </c>
      <c r="BM50" s="115" t="s">
        <v>3088</v>
      </c>
      <c r="BN50" s="115" t="s">
        <v>3088</v>
      </c>
      <c r="BO50" s="2"/>
      <c r="BP50" s="3"/>
      <c r="BQ50" s="3"/>
      <c r="BR50" s="3"/>
      <c r="BS50" s="3"/>
    </row>
    <row r="51" spans="1:71" ht="15">
      <c r="A51" s="66" t="s">
        <v>269</v>
      </c>
      <c r="B51" s="67"/>
      <c r="C51" s="67"/>
      <c r="D51" s="68">
        <v>150</v>
      </c>
      <c r="E51" s="70"/>
      <c r="F51" s="102" t="str">
        <f>HYPERLINK("https://yt3.ggpht.com/ytc/AOPolaQV3BCmcpGAZuoOJmV7RWIIcjfTWBxPSlfb3uz1Hg=s88-c-k-c0x00ffffff-no-rj")</f>
        <v>https://yt3.ggpht.com/ytc/AOPolaQV3BCmcpGAZuoOJmV7RWIIcjfTWBxPSlfb3uz1Hg=s88-c-k-c0x00ffffff-no-rj</v>
      </c>
      <c r="G51" s="67"/>
      <c r="H51" s="71" t="s">
        <v>1347</v>
      </c>
      <c r="I51" s="72"/>
      <c r="J51" s="72" t="s">
        <v>159</v>
      </c>
      <c r="K51" s="71" t="s">
        <v>1347</v>
      </c>
      <c r="L51" s="75">
        <v>1</v>
      </c>
      <c r="M51" s="76">
        <v>8054.359375</v>
      </c>
      <c r="N51" s="76">
        <v>9855.3359375</v>
      </c>
      <c r="O51" s="77"/>
      <c r="P51" s="78"/>
      <c r="Q51" s="78"/>
      <c r="R51" s="88"/>
      <c r="S51" s="49">
        <v>0</v>
      </c>
      <c r="T51" s="49">
        <v>1</v>
      </c>
      <c r="U51" s="50">
        <v>0</v>
      </c>
      <c r="V51" s="50">
        <v>0.059549</v>
      </c>
      <c r="W51" s="50">
        <v>0</v>
      </c>
      <c r="X51" s="50">
        <v>0.001581</v>
      </c>
      <c r="Y51" s="50">
        <v>0</v>
      </c>
      <c r="Z51" s="50">
        <v>0</v>
      </c>
      <c r="AA51" s="73">
        <v>51</v>
      </c>
      <c r="AB51" s="73"/>
      <c r="AC51" s="74"/>
      <c r="AD51" s="81" t="s">
        <v>1347</v>
      </c>
      <c r="AE51" s="81" t="s">
        <v>1922</v>
      </c>
      <c r="AF51" s="81"/>
      <c r="AG51" s="81"/>
      <c r="AH51" s="81"/>
      <c r="AI51" s="81" t="s">
        <v>2067</v>
      </c>
      <c r="AJ51" s="85">
        <v>40018.45086805556</v>
      </c>
      <c r="AK51" s="83" t="str">
        <f>HYPERLINK("https://yt3.ggpht.com/ytc/AOPolaQV3BCmcpGAZuoOJmV7RWIIcjfTWBxPSlfb3uz1Hg=s88-c-k-c0x00ffffff-no-rj")</f>
        <v>https://yt3.ggpht.com/ytc/AOPolaQV3BCmcpGAZuoOJmV7RWIIcjfTWBxPSlfb3uz1Hg=s88-c-k-c0x00ffffff-no-rj</v>
      </c>
      <c r="AL51" s="81">
        <v>91</v>
      </c>
      <c r="AM51" s="81">
        <v>0</v>
      </c>
      <c r="AN51" s="81">
        <v>4</v>
      </c>
      <c r="AO51" s="81" t="b">
        <v>0</v>
      </c>
      <c r="AP51" s="81">
        <v>3</v>
      </c>
      <c r="AQ51" s="81"/>
      <c r="AR51" s="81"/>
      <c r="AS51" s="81" t="s">
        <v>2571</v>
      </c>
      <c r="AT51" s="83" t="str">
        <f>HYPERLINK("https://www.youtube.com/channel/UCUoMJrpGe38iR6lAtceq0uw")</f>
        <v>https://www.youtube.com/channel/UCUoMJrpGe38iR6lAtceq0uw</v>
      </c>
      <c r="AU51" s="81">
        <v>3</v>
      </c>
      <c r="AV51" s="49">
        <v>2</v>
      </c>
      <c r="AW51" s="50">
        <v>6.25</v>
      </c>
      <c r="AX51" s="49">
        <v>2</v>
      </c>
      <c r="AY51" s="50">
        <v>6.25</v>
      </c>
      <c r="AZ51" s="49">
        <v>0</v>
      </c>
      <c r="BA51" s="50">
        <v>0</v>
      </c>
      <c r="BB51" s="49">
        <v>8</v>
      </c>
      <c r="BC51" s="50">
        <v>25</v>
      </c>
      <c r="BD51" s="49">
        <v>32</v>
      </c>
      <c r="BE51" s="49"/>
      <c r="BF51" s="49"/>
      <c r="BG51" s="49"/>
      <c r="BH51" s="49"/>
      <c r="BI51" s="49"/>
      <c r="BJ51" s="49"/>
      <c r="BK51" s="115" t="s">
        <v>2609</v>
      </c>
      <c r="BL51" s="115" t="s">
        <v>2609</v>
      </c>
      <c r="BM51" s="115" t="s">
        <v>3089</v>
      </c>
      <c r="BN51" s="115" t="s">
        <v>3089</v>
      </c>
      <c r="BO51" s="2"/>
      <c r="BP51" s="3"/>
      <c r="BQ51" s="3"/>
      <c r="BR51" s="3"/>
      <c r="BS51" s="3"/>
    </row>
    <row r="52" spans="1:71" ht="15">
      <c r="A52" s="66" t="s">
        <v>270</v>
      </c>
      <c r="B52" s="67"/>
      <c r="C52" s="67"/>
      <c r="D52" s="68">
        <v>150</v>
      </c>
      <c r="E52" s="70"/>
      <c r="F52" s="102" t="str">
        <f>HYPERLINK("https://yt3.ggpht.com/MclXaOFOxFe8D_GrkHNaABocLsfUt1T53o3dF1VPP7feVCZCYfKqQUra4fin_aiLHyBfPba9=s88-c-k-c0x00ffffff-no-rj")</f>
        <v>https://yt3.ggpht.com/MclXaOFOxFe8D_GrkHNaABocLsfUt1T53o3dF1VPP7feVCZCYfKqQUra4fin_aiLHyBfPba9=s88-c-k-c0x00ffffff-no-rj</v>
      </c>
      <c r="G52" s="67"/>
      <c r="H52" s="71" t="s">
        <v>1348</v>
      </c>
      <c r="I52" s="72"/>
      <c r="J52" s="72" t="s">
        <v>159</v>
      </c>
      <c r="K52" s="71" t="s">
        <v>1348</v>
      </c>
      <c r="L52" s="75">
        <v>1</v>
      </c>
      <c r="M52" s="76">
        <v>6727.7763671875</v>
      </c>
      <c r="N52" s="76">
        <v>9328.0361328125</v>
      </c>
      <c r="O52" s="77"/>
      <c r="P52" s="78"/>
      <c r="Q52" s="78"/>
      <c r="R52" s="88"/>
      <c r="S52" s="49">
        <v>0</v>
      </c>
      <c r="T52" s="49">
        <v>1</v>
      </c>
      <c r="U52" s="50">
        <v>0</v>
      </c>
      <c r="V52" s="50">
        <v>0.059549</v>
      </c>
      <c r="W52" s="50">
        <v>0</v>
      </c>
      <c r="X52" s="50">
        <v>0.001581</v>
      </c>
      <c r="Y52" s="50">
        <v>0</v>
      </c>
      <c r="Z52" s="50">
        <v>0</v>
      </c>
      <c r="AA52" s="73">
        <v>52</v>
      </c>
      <c r="AB52" s="73"/>
      <c r="AC52" s="74"/>
      <c r="AD52" s="81" t="s">
        <v>1348</v>
      </c>
      <c r="AE52" s="81" t="s">
        <v>1923</v>
      </c>
      <c r="AF52" s="81"/>
      <c r="AG52" s="81"/>
      <c r="AH52" s="81"/>
      <c r="AI52" s="81" t="s">
        <v>2068</v>
      </c>
      <c r="AJ52" s="85">
        <v>43283.49888888889</v>
      </c>
      <c r="AK52" s="83" t="str">
        <f>HYPERLINK("https://yt3.ggpht.com/MclXaOFOxFe8D_GrkHNaABocLsfUt1T53o3dF1VPP7feVCZCYfKqQUra4fin_aiLHyBfPba9=s88-c-k-c0x00ffffff-no-rj")</f>
        <v>https://yt3.ggpht.com/MclXaOFOxFe8D_GrkHNaABocLsfUt1T53o3dF1VPP7feVCZCYfKqQUra4fin_aiLHyBfPba9=s88-c-k-c0x00ffffff-no-rj</v>
      </c>
      <c r="AL52" s="81">
        <v>433</v>
      </c>
      <c r="AM52" s="81">
        <v>0</v>
      </c>
      <c r="AN52" s="81">
        <v>15</v>
      </c>
      <c r="AO52" s="81" t="b">
        <v>0</v>
      </c>
      <c r="AP52" s="81">
        <v>15</v>
      </c>
      <c r="AQ52" s="81"/>
      <c r="AR52" s="81"/>
      <c r="AS52" s="81" t="s">
        <v>2571</v>
      </c>
      <c r="AT52" s="83" t="str">
        <f>HYPERLINK("https://www.youtube.com/channel/UCf2Sg6ACXrN4uMekL4QtubA")</f>
        <v>https://www.youtube.com/channel/UCf2Sg6ACXrN4uMekL4QtubA</v>
      </c>
      <c r="AU52" s="81">
        <v>3</v>
      </c>
      <c r="AV52" s="49">
        <v>1</v>
      </c>
      <c r="AW52" s="50">
        <v>11.11111111111111</v>
      </c>
      <c r="AX52" s="49">
        <v>0</v>
      </c>
      <c r="AY52" s="50">
        <v>0</v>
      </c>
      <c r="AZ52" s="49">
        <v>0</v>
      </c>
      <c r="BA52" s="50">
        <v>0</v>
      </c>
      <c r="BB52" s="49">
        <v>5</v>
      </c>
      <c r="BC52" s="50">
        <v>55.55555555555556</v>
      </c>
      <c r="BD52" s="49">
        <v>9</v>
      </c>
      <c r="BE52" s="49"/>
      <c r="BF52" s="49"/>
      <c r="BG52" s="49"/>
      <c r="BH52" s="49"/>
      <c r="BI52" s="49"/>
      <c r="BJ52" s="49"/>
      <c r="BK52" s="115" t="s">
        <v>4558</v>
      </c>
      <c r="BL52" s="115" t="s">
        <v>4558</v>
      </c>
      <c r="BM52" s="115" t="s">
        <v>4581</v>
      </c>
      <c r="BN52" s="115" t="s">
        <v>4581</v>
      </c>
      <c r="BO52" s="2"/>
      <c r="BP52" s="3"/>
      <c r="BQ52" s="3"/>
      <c r="BR52" s="3"/>
      <c r="BS52" s="3"/>
    </row>
    <row r="53" spans="1:71" ht="15">
      <c r="A53" s="66" t="s">
        <v>271</v>
      </c>
      <c r="B53" s="67"/>
      <c r="C53" s="67"/>
      <c r="D53" s="68">
        <v>150</v>
      </c>
      <c r="E53" s="70"/>
      <c r="F53" s="102" t="str">
        <f>HYPERLINK("https://yt3.ggpht.com/ytc/AOPolaQPRwx_SshWaMzEwfo957dQ35MLEZ8uTeLTKA=s88-c-k-c0x00ffffff-no-rj")</f>
        <v>https://yt3.ggpht.com/ytc/AOPolaQPRwx_SshWaMzEwfo957dQ35MLEZ8uTeLTKA=s88-c-k-c0x00ffffff-no-rj</v>
      </c>
      <c r="G53" s="67"/>
      <c r="H53" s="71" t="s">
        <v>1349</v>
      </c>
      <c r="I53" s="72"/>
      <c r="J53" s="72" t="s">
        <v>159</v>
      </c>
      <c r="K53" s="71" t="s">
        <v>1349</v>
      </c>
      <c r="L53" s="75">
        <v>1</v>
      </c>
      <c r="M53" s="76">
        <v>6799.68603515625</v>
      </c>
      <c r="N53" s="76">
        <v>8715.4140625</v>
      </c>
      <c r="O53" s="77"/>
      <c r="P53" s="78"/>
      <c r="Q53" s="78"/>
      <c r="R53" s="88"/>
      <c r="S53" s="49">
        <v>0</v>
      </c>
      <c r="T53" s="49">
        <v>1</v>
      </c>
      <c r="U53" s="50">
        <v>0</v>
      </c>
      <c r="V53" s="50">
        <v>0.059549</v>
      </c>
      <c r="W53" s="50">
        <v>0</v>
      </c>
      <c r="X53" s="50">
        <v>0.001581</v>
      </c>
      <c r="Y53" s="50">
        <v>0</v>
      </c>
      <c r="Z53" s="50">
        <v>0</v>
      </c>
      <c r="AA53" s="73">
        <v>53</v>
      </c>
      <c r="AB53" s="73"/>
      <c r="AC53" s="74"/>
      <c r="AD53" s="81" t="s">
        <v>1349</v>
      </c>
      <c r="AE53" s="81"/>
      <c r="AF53" s="81"/>
      <c r="AG53" s="81"/>
      <c r="AH53" s="81"/>
      <c r="AI53" s="81" t="s">
        <v>2069</v>
      </c>
      <c r="AJ53" s="85">
        <v>44015.23033564815</v>
      </c>
      <c r="AK53" s="83" t="str">
        <f>HYPERLINK("https://yt3.ggpht.com/ytc/AOPolaQPRwx_SshWaMzEwfo957dQ35MLEZ8uTeLTKA=s88-c-k-c0x00ffffff-no-rj")</f>
        <v>https://yt3.ggpht.com/ytc/AOPolaQPRwx_SshWaMzEwfo957dQ35MLEZ8uTeLTKA=s88-c-k-c0x00ffffff-no-rj</v>
      </c>
      <c r="AL53" s="81">
        <v>0</v>
      </c>
      <c r="AM53" s="81">
        <v>0</v>
      </c>
      <c r="AN53" s="81">
        <v>11</v>
      </c>
      <c r="AO53" s="81" t="b">
        <v>0</v>
      </c>
      <c r="AP53" s="81">
        <v>0</v>
      </c>
      <c r="AQ53" s="81"/>
      <c r="AR53" s="81"/>
      <c r="AS53" s="81" t="s">
        <v>2571</v>
      </c>
      <c r="AT53" s="83" t="str">
        <f>HYPERLINK("https://www.youtube.com/channel/UCPgZ9MTye-9cBs1V0zlCMIQ")</f>
        <v>https://www.youtube.com/channel/UCPgZ9MTye-9cBs1V0zlCMIQ</v>
      </c>
      <c r="AU53" s="81">
        <v>3</v>
      </c>
      <c r="AV53" s="49">
        <v>0</v>
      </c>
      <c r="AW53" s="50">
        <v>0</v>
      </c>
      <c r="AX53" s="49">
        <v>0</v>
      </c>
      <c r="AY53" s="50">
        <v>0</v>
      </c>
      <c r="AZ53" s="49">
        <v>0</v>
      </c>
      <c r="BA53" s="50">
        <v>0</v>
      </c>
      <c r="BB53" s="49">
        <v>7</v>
      </c>
      <c r="BC53" s="50">
        <v>25</v>
      </c>
      <c r="BD53" s="49">
        <v>28</v>
      </c>
      <c r="BE53" s="49"/>
      <c r="BF53" s="49"/>
      <c r="BG53" s="49"/>
      <c r="BH53" s="49"/>
      <c r="BI53" s="49"/>
      <c r="BJ53" s="49"/>
      <c r="BK53" s="115" t="s">
        <v>4559</v>
      </c>
      <c r="BL53" s="115" t="s">
        <v>4559</v>
      </c>
      <c r="BM53" s="115" t="s">
        <v>4582</v>
      </c>
      <c r="BN53" s="115" t="s">
        <v>4582</v>
      </c>
      <c r="BO53" s="2"/>
      <c r="BP53" s="3"/>
      <c r="BQ53" s="3"/>
      <c r="BR53" s="3"/>
      <c r="BS53" s="3"/>
    </row>
    <row r="54" spans="1:71" ht="15">
      <c r="A54" s="66" t="s">
        <v>272</v>
      </c>
      <c r="B54" s="67"/>
      <c r="C54" s="67"/>
      <c r="D54" s="68">
        <v>150</v>
      </c>
      <c r="E54" s="70"/>
      <c r="F54" s="102" t="str">
        <f>HYPERLINK("https://yt3.ggpht.com/ytc/AOPolaR3Mh-ovoC5Y3W9OJxsVf7GCREYJjFRduAx3eJa8Q=s88-c-k-c0x00ffffff-no-rj")</f>
        <v>https://yt3.ggpht.com/ytc/AOPolaR3Mh-ovoC5Y3W9OJxsVf7GCREYJjFRduAx3eJa8Q=s88-c-k-c0x00ffffff-no-rj</v>
      </c>
      <c r="G54" s="67"/>
      <c r="H54" s="71" t="s">
        <v>1350</v>
      </c>
      <c r="I54" s="72"/>
      <c r="J54" s="72" t="s">
        <v>159</v>
      </c>
      <c r="K54" s="71" t="s">
        <v>1350</v>
      </c>
      <c r="L54" s="75">
        <v>1</v>
      </c>
      <c r="M54" s="76">
        <v>6796.00634765625</v>
      </c>
      <c r="N54" s="76">
        <v>9089.34375</v>
      </c>
      <c r="O54" s="77"/>
      <c r="P54" s="78"/>
      <c r="Q54" s="78"/>
      <c r="R54" s="88"/>
      <c r="S54" s="49">
        <v>0</v>
      </c>
      <c r="T54" s="49">
        <v>1</v>
      </c>
      <c r="U54" s="50">
        <v>0</v>
      </c>
      <c r="V54" s="50">
        <v>0.059549</v>
      </c>
      <c r="W54" s="50">
        <v>0</v>
      </c>
      <c r="X54" s="50">
        <v>0.001581</v>
      </c>
      <c r="Y54" s="50">
        <v>0</v>
      </c>
      <c r="Z54" s="50">
        <v>0</v>
      </c>
      <c r="AA54" s="73">
        <v>54</v>
      </c>
      <c r="AB54" s="73"/>
      <c r="AC54" s="74"/>
      <c r="AD54" s="81" t="s">
        <v>1350</v>
      </c>
      <c r="AE54" s="81"/>
      <c r="AF54" s="81"/>
      <c r="AG54" s="81"/>
      <c r="AH54" s="81"/>
      <c r="AI54" s="81" t="s">
        <v>2070</v>
      </c>
      <c r="AJ54" s="85">
        <v>40769.0571412037</v>
      </c>
      <c r="AK54" s="83" t="str">
        <f>HYPERLINK("https://yt3.ggpht.com/ytc/AOPolaR3Mh-ovoC5Y3W9OJxsVf7GCREYJjFRduAx3eJa8Q=s88-c-k-c0x00ffffff-no-rj")</f>
        <v>https://yt3.ggpht.com/ytc/AOPolaR3Mh-ovoC5Y3W9OJxsVf7GCREYJjFRduAx3eJa8Q=s88-c-k-c0x00ffffff-no-rj</v>
      </c>
      <c r="AL54" s="81">
        <v>0</v>
      </c>
      <c r="AM54" s="81">
        <v>0</v>
      </c>
      <c r="AN54" s="81">
        <v>1</v>
      </c>
      <c r="AO54" s="81" t="b">
        <v>0</v>
      </c>
      <c r="AP54" s="81">
        <v>0</v>
      </c>
      <c r="AQ54" s="81"/>
      <c r="AR54" s="81"/>
      <c r="AS54" s="81" t="s">
        <v>2571</v>
      </c>
      <c r="AT54" s="83" t="str">
        <f>HYPERLINK("https://www.youtube.com/channel/UCmoEwJy-a4hat88aVrWKpXQ")</f>
        <v>https://www.youtube.com/channel/UCmoEwJy-a4hat88aVrWKpXQ</v>
      </c>
      <c r="AU54" s="81">
        <v>3</v>
      </c>
      <c r="AV54" s="49">
        <v>2</v>
      </c>
      <c r="AW54" s="50">
        <v>7.407407407407407</v>
      </c>
      <c r="AX54" s="49">
        <v>2</v>
      </c>
      <c r="AY54" s="50">
        <v>7.407407407407407</v>
      </c>
      <c r="AZ54" s="49">
        <v>0</v>
      </c>
      <c r="BA54" s="50">
        <v>0</v>
      </c>
      <c r="BB54" s="49">
        <v>4</v>
      </c>
      <c r="BC54" s="50">
        <v>14.814814814814815</v>
      </c>
      <c r="BD54" s="49">
        <v>27</v>
      </c>
      <c r="BE54" s="49"/>
      <c r="BF54" s="49"/>
      <c r="BG54" s="49"/>
      <c r="BH54" s="49"/>
      <c r="BI54" s="49"/>
      <c r="BJ54" s="49"/>
      <c r="BK54" s="115" t="s">
        <v>2610</v>
      </c>
      <c r="BL54" s="115" t="s">
        <v>2610</v>
      </c>
      <c r="BM54" s="115" t="s">
        <v>3090</v>
      </c>
      <c r="BN54" s="115" t="s">
        <v>3090</v>
      </c>
      <c r="BO54" s="2"/>
      <c r="BP54" s="3"/>
      <c r="BQ54" s="3"/>
      <c r="BR54" s="3"/>
      <c r="BS54" s="3"/>
    </row>
    <row r="55" spans="1:71" ht="15">
      <c r="A55" s="66" t="s">
        <v>273</v>
      </c>
      <c r="B55" s="67"/>
      <c r="C55" s="67"/>
      <c r="D55" s="68">
        <v>150</v>
      </c>
      <c r="E55" s="70"/>
      <c r="F55" s="102" t="str">
        <f>HYPERLINK("https://yt3.ggpht.com/ytc/AOPolaQn08x2IYm40E8wAaubFe8zd4bTjRsXN5gJHg=s88-c-k-c0x00ffffff-no-rj")</f>
        <v>https://yt3.ggpht.com/ytc/AOPolaQn08x2IYm40E8wAaubFe8zd4bTjRsXN5gJHg=s88-c-k-c0x00ffffff-no-rj</v>
      </c>
      <c r="G55" s="67"/>
      <c r="H55" s="71" t="s">
        <v>1351</v>
      </c>
      <c r="I55" s="72"/>
      <c r="J55" s="72" t="s">
        <v>159</v>
      </c>
      <c r="K55" s="71" t="s">
        <v>1351</v>
      </c>
      <c r="L55" s="75">
        <v>1</v>
      </c>
      <c r="M55" s="76">
        <v>6328.8095703125</v>
      </c>
      <c r="N55" s="76">
        <v>8441.3759765625</v>
      </c>
      <c r="O55" s="77"/>
      <c r="P55" s="78"/>
      <c r="Q55" s="78"/>
      <c r="R55" s="88"/>
      <c r="S55" s="49">
        <v>0</v>
      </c>
      <c r="T55" s="49">
        <v>1</v>
      </c>
      <c r="U55" s="50">
        <v>0</v>
      </c>
      <c r="V55" s="50">
        <v>0.059549</v>
      </c>
      <c r="W55" s="50">
        <v>0</v>
      </c>
      <c r="X55" s="50">
        <v>0.001581</v>
      </c>
      <c r="Y55" s="50">
        <v>0</v>
      </c>
      <c r="Z55" s="50">
        <v>0</v>
      </c>
      <c r="AA55" s="73">
        <v>55</v>
      </c>
      <c r="AB55" s="73"/>
      <c r="AC55" s="74"/>
      <c r="AD55" s="81" t="s">
        <v>1351</v>
      </c>
      <c r="AE55" s="81"/>
      <c r="AF55" s="81"/>
      <c r="AG55" s="81"/>
      <c r="AH55" s="81"/>
      <c r="AI55" s="81" t="s">
        <v>2071</v>
      </c>
      <c r="AJ55" s="85">
        <v>38782.68866898148</v>
      </c>
      <c r="AK55" s="83" t="str">
        <f>HYPERLINK("https://yt3.ggpht.com/ytc/AOPolaQn08x2IYm40E8wAaubFe8zd4bTjRsXN5gJHg=s88-c-k-c0x00ffffff-no-rj")</f>
        <v>https://yt3.ggpht.com/ytc/AOPolaQn08x2IYm40E8wAaubFe8zd4bTjRsXN5gJHg=s88-c-k-c0x00ffffff-no-rj</v>
      </c>
      <c r="AL55" s="81">
        <v>0</v>
      </c>
      <c r="AM55" s="81">
        <v>0</v>
      </c>
      <c r="AN55" s="81">
        <v>3</v>
      </c>
      <c r="AO55" s="81" t="b">
        <v>0</v>
      </c>
      <c r="AP55" s="81">
        <v>0</v>
      </c>
      <c r="AQ55" s="81"/>
      <c r="AR55" s="81"/>
      <c r="AS55" s="81" t="s">
        <v>2571</v>
      </c>
      <c r="AT55" s="83" t="str">
        <f>HYPERLINK("https://www.youtube.com/channel/UCD0wnC9-8SapHHvHjbsawLQ")</f>
        <v>https://www.youtube.com/channel/UCD0wnC9-8SapHHvHjbsawLQ</v>
      </c>
      <c r="AU55" s="81">
        <v>3</v>
      </c>
      <c r="AV55" s="49">
        <v>0</v>
      </c>
      <c r="AW55" s="50">
        <v>0</v>
      </c>
      <c r="AX55" s="49">
        <v>0</v>
      </c>
      <c r="AY55" s="50">
        <v>0</v>
      </c>
      <c r="AZ55" s="49">
        <v>0</v>
      </c>
      <c r="BA55" s="50">
        <v>0</v>
      </c>
      <c r="BB55" s="49">
        <v>3</v>
      </c>
      <c r="BC55" s="50">
        <v>100</v>
      </c>
      <c r="BD55" s="49">
        <v>3</v>
      </c>
      <c r="BE55" s="49"/>
      <c r="BF55" s="49"/>
      <c r="BG55" s="49"/>
      <c r="BH55" s="49"/>
      <c r="BI55" s="49"/>
      <c r="BJ55" s="49"/>
      <c r="BK55" s="115" t="s">
        <v>2611</v>
      </c>
      <c r="BL55" s="115" t="s">
        <v>2611</v>
      </c>
      <c r="BM55" s="115" t="s">
        <v>3091</v>
      </c>
      <c r="BN55" s="115" t="s">
        <v>3091</v>
      </c>
      <c r="BO55" s="2"/>
      <c r="BP55" s="3"/>
      <c r="BQ55" s="3"/>
      <c r="BR55" s="3"/>
      <c r="BS55" s="3"/>
    </row>
    <row r="56" spans="1:71" ht="15">
      <c r="A56" s="66" t="s">
        <v>274</v>
      </c>
      <c r="B56" s="67"/>
      <c r="C56" s="67"/>
      <c r="D56" s="68">
        <v>150</v>
      </c>
      <c r="E56" s="70"/>
      <c r="F56" s="102" t="str">
        <f>HYPERLINK("https://yt3.ggpht.com/0Y4v6w1IxMbbv63JBGKgJZKWq-ZRMy41f05tP41O8mAAeUSPnIiyjWWpTUYmDcmtNxlCJHk1ScM=s88-c-k-c0x00ffffff-no-rj")</f>
        <v>https://yt3.ggpht.com/0Y4v6w1IxMbbv63JBGKgJZKWq-ZRMy41f05tP41O8mAAeUSPnIiyjWWpTUYmDcmtNxlCJHk1ScM=s88-c-k-c0x00ffffff-no-rj</v>
      </c>
      <c r="G56" s="67"/>
      <c r="H56" s="71" t="s">
        <v>1352</v>
      </c>
      <c r="I56" s="72"/>
      <c r="J56" s="72" t="s">
        <v>159</v>
      </c>
      <c r="K56" s="71" t="s">
        <v>1352</v>
      </c>
      <c r="L56" s="75">
        <v>1</v>
      </c>
      <c r="M56" s="76">
        <v>9081.1787109375</v>
      </c>
      <c r="N56" s="76">
        <v>9407.6669921875</v>
      </c>
      <c r="O56" s="77"/>
      <c r="P56" s="78"/>
      <c r="Q56" s="78"/>
      <c r="R56" s="88"/>
      <c r="S56" s="49">
        <v>0</v>
      </c>
      <c r="T56" s="49">
        <v>1</v>
      </c>
      <c r="U56" s="50">
        <v>0</v>
      </c>
      <c r="V56" s="50">
        <v>0.059549</v>
      </c>
      <c r="W56" s="50">
        <v>0</v>
      </c>
      <c r="X56" s="50">
        <v>0.001581</v>
      </c>
      <c r="Y56" s="50">
        <v>0</v>
      </c>
      <c r="Z56" s="50">
        <v>0</v>
      </c>
      <c r="AA56" s="73">
        <v>56</v>
      </c>
      <c r="AB56" s="73"/>
      <c r="AC56" s="74"/>
      <c r="AD56" s="81" t="s">
        <v>1352</v>
      </c>
      <c r="AE56" s="81" t="s">
        <v>1924</v>
      </c>
      <c r="AF56" s="81"/>
      <c r="AG56" s="81"/>
      <c r="AH56" s="81"/>
      <c r="AI56" s="81" t="s">
        <v>2072</v>
      </c>
      <c r="AJ56" s="85">
        <v>44683.13900462963</v>
      </c>
      <c r="AK56" s="83" t="str">
        <f>HYPERLINK("https://yt3.ggpht.com/0Y4v6w1IxMbbv63JBGKgJZKWq-ZRMy41f05tP41O8mAAeUSPnIiyjWWpTUYmDcmtNxlCJHk1ScM=s88-c-k-c0x00ffffff-no-rj")</f>
        <v>https://yt3.ggpht.com/0Y4v6w1IxMbbv63JBGKgJZKWq-ZRMy41f05tP41O8mAAeUSPnIiyjWWpTUYmDcmtNxlCJHk1ScM=s88-c-k-c0x00ffffff-no-rj</v>
      </c>
      <c r="AL56" s="81">
        <v>55092</v>
      </c>
      <c r="AM56" s="81">
        <v>0</v>
      </c>
      <c r="AN56" s="81">
        <v>843</v>
      </c>
      <c r="AO56" s="81" t="b">
        <v>0</v>
      </c>
      <c r="AP56" s="81">
        <v>119</v>
      </c>
      <c r="AQ56" s="81"/>
      <c r="AR56" s="81"/>
      <c r="AS56" s="81" t="s">
        <v>2571</v>
      </c>
      <c r="AT56" s="83" t="str">
        <f>HYPERLINK("https://www.youtube.com/channel/UCMdduxoECEaz_vhD-d84rAQ")</f>
        <v>https://www.youtube.com/channel/UCMdduxoECEaz_vhD-d84rAQ</v>
      </c>
      <c r="AU56" s="81">
        <v>3</v>
      </c>
      <c r="AV56" s="49">
        <v>0</v>
      </c>
      <c r="AW56" s="50">
        <v>0</v>
      </c>
      <c r="AX56" s="49">
        <v>0</v>
      </c>
      <c r="AY56" s="50">
        <v>0</v>
      </c>
      <c r="AZ56" s="49">
        <v>0</v>
      </c>
      <c r="BA56" s="50">
        <v>0</v>
      </c>
      <c r="BB56" s="49">
        <v>2</v>
      </c>
      <c r="BC56" s="50">
        <v>33.333333333333336</v>
      </c>
      <c r="BD56" s="49">
        <v>6</v>
      </c>
      <c r="BE56" s="49"/>
      <c r="BF56" s="49"/>
      <c r="BG56" s="49"/>
      <c r="BH56" s="49"/>
      <c r="BI56" s="49"/>
      <c r="BJ56" s="49"/>
      <c r="BK56" s="115" t="s">
        <v>2612</v>
      </c>
      <c r="BL56" s="115" t="s">
        <v>2612</v>
      </c>
      <c r="BM56" s="115" t="s">
        <v>3092</v>
      </c>
      <c r="BN56" s="115" t="s">
        <v>3092</v>
      </c>
      <c r="BO56" s="2"/>
      <c r="BP56" s="3"/>
      <c r="BQ56" s="3"/>
      <c r="BR56" s="3"/>
      <c r="BS56" s="3"/>
    </row>
    <row r="57" spans="1:71" ht="15">
      <c r="A57" s="66" t="s">
        <v>275</v>
      </c>
      <c r="B57" s="67"/>
      <c r="C57" s="67"/>
      <c r="D57" s="68">
        <v>150</v>
      </c>
      <c r="E57" s="70"/>
      <c r="F57" s="102" t="str">
        <f>HYPERLINK("https://yt3.ggpht.com/ytc/AOPolaRT6x4fDejdRFGitjm05UgrDrZYJhD_ePB9yIWukbPDdISRvZnN1lTS7AsVvbH5=s88-c-k-c0x00ffffff-no-rj")</f>
        <v>https://yt3.ggpht.com/ytc/AOPolaRT6x4fDejdRFGitjm05UgrDrZYJhD_ePB9yIWukbPDdISRvZnN1lTS7AsVvbH5=s88-c-k-c0x00ffffff-no-rj</v>
      </c>
      <c r="G57" s="67"/>
      <c r="H57" s="71" t="s">
        <v>1353</v>
      </c>
      <c r="I57" s="72"/>
      <c r="J57" s="72" t="s">
        <v>159</v>
      </c>
      <c r="K57" s="71" t="s">
        <v>1353</v>
      </c>
      <c r="L57" s="75">
        <v>1</v>
      </c>
      <c r="M57" s="76">
        <v>6390.736328125</v>
      </c>
      <c r="N57" s="76">
        <v>8701.88671875</v>
      </c>
      <c r="O57" s="77"/>
      <c r="P57" s="78"/>
      <c r="Q57" s="78"/>
      <c r="R57" s="88"/>
      <c r="S57" s="49">
        <v>0</v>
      </c>
      <c r="T57" s="49">
        <v>1</v>
      </c>
      <c r="U57" s="50">
        <v>0</v>
      </c>
      <c r="V57" s="50">
        <v>0.059549</v>
      </c>
      <c r="W57" s="50">
        <v>0</v>
      </c>
      <c r="X57" s="50">
        <v>0.001581</v>
      </c>
      <c r="Y57" s="50">
        <v>0</v>
      </c>
      <c r="Z57" s="50">
        <v>0</v>
      </c>
      <c r="AA57" s="73">
        <v>57</v>
      </c>
      <c r="AB57" s="73"/>
      <c r="AC57" s="74"/>
      <c r="AD57" s="81" t="s">
        <v>1353</v>
      </c>
      <c r="AE57" s="81"/>
      <c r="AF57" s="81"/>
      <c r="AG57" s="81"/>
      <c r="AH57" s="81"/>
      <c r="AI57" s="81" t="s">
        <v>2073</v>
      </c>
      <c r="AJ57" s="85">
        <v>44822.11111111111</v>
      </c>
      <c r="AK57" s="83" t="str">
        <f>HYPERLINK("https://yt3.ggpht.com/ytc/AOPolaRT6x4fDejdRFGitjm05UgrDrZYJhD_ePB9yIWukbPDdISRvZnN1lTS7AsVvbH5=s88-c-k-c0x00ffffff-no-rj")</f>
        <v>https://yt3.ggpht.com/ytc/AOPolaRT6x4fDejdRFGitjm05UgrDrZYJhD_ePB9yIWukbPDdISRvZnN1lTS7AsVvbH5=s88-c-k-c0x00ffffff-no-rj</v>
      </c>
      <c r="AL57" s="81">
        <v>0</v>
      </c>
      <c r="AM57" s="81">
        <v>0</v>
      </c>
      <c r="AN57" s="81">
        <v>0</v>
      </c>
      <c r="AO57" s="81" t="b">
        <v>0</v>
      </c>
      <c r="AP57" s="81">
        <v>0</v>
      </c>
      <c r="AQ57" s="81"/>
      <c r="AR57" s="81"/>
      <c r="AS57" s="81" t="s">
        <v>2571</v>
      </c>
      <c r="AT57" s="83" t="str">
        <f>HYPERLINK("https://www.youtube.com/channel/UCAzyUwF_Op3JSfltgVnap3g")</f>
        <v>https://www.youtube.com/channel/UCAzyUwF_Op3JSfltgVnap3g</v>
      </c>
      <c r="AU57" s="81">
        <v>3</v>
      </c>
      <c r="AV57" s="49">
        <v>1</v>
      </c>
      <c r="AW57" s="50">
        <v>16.666666666666668</v>
      </c>
      <c r="AX57" s="49">
        <v>0</v>
      </c>
      <c r="AY57" s="50">
        <v>0</v>
      </c>
      <c r="AZ57" s="49">
        <v>0</v>
      </c>
      <c r="BA57" s="50">
        <v>0</v>
      </c>
      <c r="BB57" s="49">
        <v>2</v>
      </c>
      <c r="BC57" s="50">
        <v>33.333333333333336</v>
      </c>
      <c r="BD57" s="49">
        <v>6</v>
      </c>
      <c r="BE57" s="49"/>
      <c r="BF57" s="49"/>
      <c r="BG57" s="49"/>
      <c r="BH57" s="49"/>
      <c r="BI57" s="49"/>
      <c r="BJ57" s="49"/>
      <c r="BK57" s="115" t="s">
        <v>4560</v>
      </c>
      <c r="BL57" s="115" t="s">
        <v>4560</v>
      </c>
      <c r="BM57" s="115" t="s">
        <v>4583</v>
      </c>
      <c r="BN57" s="115" t="s">
        <v>4583</v>
      </c>
      <c r="BO57" s="2"/>
      <c r="BP57" s="3"/>
      <c r="BQ57" s="3"/>
      <c r="BR57" s="3"/>
      <c r="BS57" s="3"/>
    </row>
    <row r="58" spans="1:71" ht="15">
      <c r="A58" s="66" t="s">
        <v>276</v>
      </c>
      <c r="B58" s="67"/>
      <c r="C58" s="67"/>
      <c r="D58" s="68">
        <v>150</v>
      </c>
      <c r="E58" s="70"/>
      <c r="F58" s="102" t="str">
        <f>HYPERLINK("https://yt3.ggpht.com/ytc/AOPolaQtS5NGkHQsbh47vLzZWFQF8ax-9ItwQ-4PeOybWQ=s88-c-k-c0x00ffffff-no-rj")</f>
        <v>https://yt3.ggpht.com/ytc/AOPolaQtS5NGkHQsbh47vLzZWFQF8ax-9ItwQ-4PeOybWQ=s88-c-k-c0x00ffffff-no-rj</v>
      </c>
      <c r="G58" s="67"/>
      <c r="H58" s="71" t="s">
        <v>1354</v>
      </c>
      <c r="I58" s="72"/>
      <c r="J58" s="72" t="s">
        <v>159</v>
      </c>
      <c r="K58" s="71" t="s">
        <v>1354</v>
      </c>
      <c r="L58" s="75">
        <v>1</v>
      </c>
      <c r="M58" s="76">
        <v>9385.05859375</v>
      </c>
      <c r="N58" s="76">
        <v>9388.7861328125</v>
      </c>
      <c r="O58" s="77"/>
      <c r="P58" s="78"/>
      <c r="Q58" s="78"/>
      <c r="R58" s="88"/>
      <c r="S58" s="49">
        <v>0</v>
      </c>
      <c r="T58" s="49">
        <v>1</v>
      </c>
      <c r="U58" s="50">
        <v>0</v>
      </c>
      <c r="V58" s="50">
        <v>0.059549</v>
      </c>
      <c r="W58" s="50">
        <v>0</v>
      </c>
      <c r="X58" s="50">
        <v>0.001581</v>
      </c>
      <c r="Y58" s="50">
        <v>0</v>
      </c>
      <c r="Z58" s="50">
        <v>0</v>
      </c>
      <c r="AA58" s="73">
        <v>58</v>
      </c>
      <c r="AB58" s="73"/>
      <c r="AC58" s="74"/>
      <c r="AD58" s="81" t="s">
        <v>1354</v>
      </c>
      <c r="AE58" s="81"/>
      <c r="AF58" s="81"/>
      <c r="AG58" s="81"/>
      <c r="AH58" s="81"/>
      <c r="AI58" s="81" t="s">
        <v>2074</v>
      </c>
      <c r="AJ58" s="85">
        <v>43464.51025462963</v>
      </c>
      <c r="AK58" s="83" t="str">
        <f>HYPERLINK("https://yt3.ggpht.com/ytc/AOPolaQtS5NGkHQsbh47vLzZWFQF8ax-9ItwQ-4PeOybWQ=s88-c-k-c0x00ffffff-no-rj")</f>
        <v>https://yt3.ggpht.com/ytc/AOPolaQtS5NGkHQsbh47vLzZWFQF8ax-9ItwQ-4PeOybWQ=s88-c-k-c0x00ffffff-no-rj</v>
      </c>
      <c r="AL58" s="81">
        <v>0</v>
      </c>
      <c r="AM58" s="81">
        <v>0</v>
      </c>
      <c r="AN58" s="81">
        <v>0</v>
      </c>
      <c r="AO58" s="81" t="b">
        <v>0</v>
      </c>
      <c r="AP58" s="81">
        <v>0</v>
      </c>
      <c r="AQ58" s="81"/>
      <c r="AR58" s="81"/>
      <c r="AS58" s="81" t="s">
        <v>2571</v>
      </c>
      <c r="AT58" s="83" t="str">
        <f>HYPERLINK("https://www.youtube.com/channel/UCk2UHkAXJ7RJ4kGsnjjsGPw")</f>
        <v>https://www.youtube.com/channel/UCk2UHkAXJ7RJ4kGsnjjsGPw</v>
      </c>
      <c r="AU58" s="81">
        <v>3</v>
      </c>
      <c r="AV58" s="49">
        <v>0</v>
      </c>
      <c r="AW58" s="50">
        <v>0</v>
      </c>
      <c r="AX58" s="49">
        <v>10</v>
      </c>
      <c r="AY58" s="50">
        <v>10.638297872340425</v>
      </c>
      <c r="AZ58" s="49">
        <v>0</v>
      </c>
      <c r="BA58" s="50">
        <v>0</v>
      </c>
      <c r="BB58" s="49">
        <v>38</v>
      </c>
      <c r="BC58" s="50">
        <v>40.42553191489362</v>
      </c>
      <c r="BD58" s="49">
        <v>94</v>
      </c>
      <c r="BE58" s="49"/>
      <c r="BF58" s="49"/>
      <c r="BG58" s="49"/>
      <c r="BH58" s="49"/>
      <c r="BI58" s="49"/>
      <c r="BJ58" s="49"/>
      <c r="BK58" s="115" t="s">
        <v>2613</v>
      </c>
      <c r="BL58" s="115" t="s">
        <v>2613</v>
      </c>
      <c r="BM58" s="115" t="s">
        <v>3093</v>
      </c>
      <c r="BN58" s="115" t="s">
        <v>3093</v>
      </c>
      <c r="BO58" s="2"/>
      <c r="BP58" s="3"/>
      <c r="BQ58" s="3"/>
      <c r="BR58" s="3"/>
      <c r="BS58" s="3"/>
    </row>
    <row r="59" spans="1:71" ht="15">
      <c r="A59" s="66" t="s">
        <v>277</v>
      </c>
      <c r="B59" s="67"/>
      <c r="C59" s="67"/>
      <c r="D59" s="68">
        <v>150</v>
      </c>
      <c r="E59" s="70"/>
      <c r="F59" s="102" t="str">
        <f>HYPERLINK("https://yt3.ggpht.com/ytc/AOPolaTSQ-RLrayXVMBt3UP6h9SFXLNQsd9nWjm3Lw=s88-c-k-c0x00ffffff-no-rj")</f>
        <v>https://yt3.ggpht.com/ytc/AOPolaTSQ-RLrayXVMBt3UP6h9SFXLNQsd9nWjm3Lw=s88-c-k-c0x00ffffff-no-rj</v>
      </c>
      <c r="G59" s="67"/>
      <c r="H59" s="71" t="s">
        <v>1355</v>
      </c>
      <c r="I59" s="72"/>
      <c r="J59" s="72" t="s">
        <v>159</v>
      </c>
      <c r="K59" s="71" t="s">
        <v>1355</v>
      </c>
      <c r="L59" s="75">
        <v>1</v>
      </c>
      <c r="M59" s="76">
        <v>8610.458984375</v>
      </c>
      <c r="N59" s="76">
        <v>9453.16015625</v>
      </c>
      <c r="O59" s="77"/>
      <c r="P59" s="78"/>
      <c r="Q59" s="78"/>
      <c r="R59" s="88"/>
      <c r="S59" s="49">
        <v>0</v>
      </c>
      <c r="T59" s="49">
        <v>1</v>
      </c>
      <c r="U59" s="50">
        <v>0</v>
      </c>
      <c r="V59" s="50">
        <v>0.059549</v>
      </c>
      <c r="W59" s="50">
        <v>0</v>
      </c>
      <c r="X59" s="50">
        <v>0.001581</v>
      </c>
      <c r="Y59" s="50">
        <v>0</v>
      </c>
      <c r="Z59" s="50">
        <v>0</v>
      </c>
      <c r="AA59" s="73">
        <v>59</v>
      </c>
      <c r="AB59" s="73"/>
      <c r="AC59" s="74"/>
      <c r="AD59" s="81" t="s">
        <v>1355</v>
      </c>
      <c r="AE59" s="81"/>
      <c r="AF59" s="81"/>
      <c r="AG59" s="81"/>
      <c r="AH59" s="81"/>
      <c r="AI59" s="81" t="s">
        <v>2075</v>
      </c>
      <c r="AJ59" s="85">
        <v>40230.586851851855</v>
      </c>
      <c r="AK59" s="83" t="str">
        <f>HYPERLINK("https://yt3.ggpht.com/ytc/AOPolaTSQ-RLrayXVMBt3UP6h9SFXLNQsd9nWjm3Lw=s88-c-k-c0x00ffffff-no-rj")</f>
        <v>https://yt3.ggpht.com/ytc/AOPolaTSQ-RLrayXVMBt3UP6h9SFXLNQsd9nWjm3Lw=s88-c-k-c0x00ffffff-no-rj</v>
      </c>
      <c r="AL59" s="81">
        <v>0</v>
      </c>
      <c r="AM59" s="81">
        <v>0</v>
      </c>
      <c r="AN59" s="81">
        <v>2</v>
      </c>
      <c r="AO59" s="81" t="b">
        <v>0</v>
      </c>
      <c r="AP59" s="81">
        <v>0</v>
      </c>
      <c r="AQ59" s="81"/>
      <c r="AR59" s="81"/>
      <c r="AS59" s="81" t="s">
        <v>2571</v>
      </c>
      <c r="AT59" s="83" t="str">
        <f>HYPERLINK("https://www.youtube.com/channel/UCvluqgSak-JUFoQ0crS_sBA")</f>
        <v>https://www.youtube.com/channel/UCvluqgSak-JUFoQ0crS_sBA</v>
      </c>
      <c r="AU59" s="81">
        <v>3</v>
      </c>
      <c r="AV59" s="49">
        <v>0</v>
      </c>
      <c r="AW59" s="50">
        <v>0</v>
      </c>
      <c r="AX59" s="49">
        <v>0</v>
      </c>
      <c r="AY59" s="50">
        <v>0</v>
      </c>
      <c r="AZ59" s="49">
        <v>0</v>
      </c>
      <c r="BA59" s="50">
        <v>0</v>
      </c>
      <c r="BB59" s="49">
        <v>1</v>
      </c>
      <c r="BC59" s="50">
        <v>33.333333333333336</v>
      </c>
      <c r="BD59" s="49">
        <v>3</v>
      </c>
      <c r="BE59" s="49"/>
      <c r="BF59" s="49"/>
      <c r="BG59" s="49"/>
      <c r="BH59" s="49"/>
      <c r="BI59" s="49"/>
      <c r="BJ59" s="49"/>
      <c r="BK59" s="115" t="s">
        <v>2614</v>
      </c>
      <c r="BL59" s="115" t="s">
        <v>2614</v>
      </c>
      <c r="BM59" s="115" t="s">
        <v>4477</v>
      </c>
      <c r="BN59" s="115" t="s">
        <v>4477</v>
      </c>
      <c r="BO59" s="2"/>
      <c r="BP59" s="3"/>
      <c r="BQ59" s="3"/>
      <c r="BR59" s="3"/>
      <c r="BS59" s="3"/>
    </row>
    <row r="60" spans="1:71" ht="15">
      <c r="A60" s="66" t="s">
        <v>278</v>
      </c>
      <c r="B60" s="67"/>
      <c r="C60" s="67"/>
      <c r="D60" s="68">
        <v>150</v>
      </c>
      <c r="E60" s="70"/>
      <c r="F60" s="102" t="str">
        <f>HYPERLINK("https://yt3.ggpht.com/ytc/AOPolaT_aq1nBd28fiTHJXb1PLhVzts8GT7n_HtEZg=s88-c-k-c0x00ffffff-no-rj")</f>
        <v>https://yt3.ggpht.com/ytc/AOPolaT_aq1nBd28fiTHJXb1PLhVzts8GT7n_HtEZg=s88-c-k-c0x00ffffff-no-rj</v>
      </c>
      <c r="G60" s="67"/>
      <c r="H60" s="71" t="s">
        <v>1356</v>
      </c>
      <c r="I60" s="72"/>
      <c r="J60" s="72" t="s">
        <v>159</v>
      </c>
      <c r="K60" s="71" t="s">
        <v>1356</v>
      </c>
      <c r="L60" s="75">
        <v>1</v>
      </c>
      <c r="M60" s="76">
        <v>7227.0068359375</v>
      </c>
      <c r="N60" s="76">
        <v>8273.62109375</v>
      </c>
      <c r="O60" s="77"/>
      <c r="P60" s="78"/>
      <c r="Q60" s="78"/>
      <c r="R60" s="88"/>
      <c r="S60" s="49">
        <v>0</v>
      </c>
      <c r="T60" s="49">
        <v>1</v>
      </c>
      <c r="U60" s="50">
        <v>0</v>
      </c>
      <c r="V60" s="50">
        <v>0.059549</v>
      </c>
      <c r="W60" s="50">
        <v>0</v>
      </c>
      <c r="X60" s="50">
        <v>0.001581</v>
      </c>
      <c r="Y60" s="50">
        <v>0</v>
      </c>
      <c r="Z60" s="50">
        <v>0</v>
      </c>
      <c r="AA60" s="73">
        <v>60</v>
      </c>
      <c r="AB60" s="73"/>
      <c r="AC60" s="74"/>
      <c r="AD60" s="81" t="s">
        <v>1356</v>
      </c>
      <c r="AE60" s="81"/>
      <c r="AF60" s="81"/>
      <c r="AG60" s="81"/>
      <c r="AH60" s="81"/>
      <c r="AI60" s="81" t="s">
        <v>2076</v>
      </c>
      <c r="AJ60" s="85">
        <v>41912.349953703706</v>
      </c>
      <c r="AK60" s="83" t="str">
        <f>HYPERLINK("https://yt3.ggpht.com/ytc/AOPolaT_aq1nBd28fiTHJXb1PLhVzts8GT7n_HtEZg=s88-c-k-c0x00ffffff-no-rj")</f>
        <v>https://yt3.ggpht.com/ytc/AOPolaT_aq1nBd28fiTHJXb1PLhVzts8GT7n_HtEZg=s88-c-k-c0x00ffffff-no-rj</v>
      </c>
      <c r="AL60" s="81">
        <v>0</v>
      </c>
      <c r="AM60" s="81">
        <v>0</v>
      </c>
      <c r="AN60" s="81">
        <v>0</v>
      </c>
      <c r="AO60" s="81" t="b">
        <v>0</v>
      </c>
      <c r="AP60" s="81">
        <v>0</v>
      </c>
      <c r="AQ60" s="81"/>
      <c r="AR60" s="81"/>
      <c r="AS60" s="81" t="s">
        <v>2571</v>
      </c>
      <c r="AT60" s="83" t="str">
        <f>HYPERLINK("https://www.youtube.com/channel/UC9BxHslb4B1W2QJt9e0eihA")</f>
        <v>https://www.youtube.com/channel/UC9BxHslb4B1W2QJt9e0eihA</v>
      </c>
      <c r="AU60" s="81">
        <v>3</v>
      </c>
      <c r="AV60" s="49">
        <v>1</v>
      </c>
      <c r="AW60" s="50">
        <v>2.2222222222222223</v>
      </c>
      <c r="AX60" s="49">
        <v>3</v>
      </c>
      <c r="AY60" s="50">
        <v>6.666666666666667</v>
      </c>
      <c r="AZ60" s="49">
        <v>0</v>
      </c>
      <c r="BA60" s="50">
        <v>0</v>
      </c>
      <c r="BB60" s="49">
        <v>13</v>
      </c>
      <c r="BC60" s="50">
        <v>28.88888888888889</v>
      </c>
      <c r="BD60" s="49">
        <v>45</v>
      </c>
      <c r="BE60" s="49"/>
      <c r="BF60" s="49"/>
      <c r="BG60" s="49"/>
      <c r="BH60" s="49"/>
      <c r="BI60" s="49"/>
      <c r="BJ60" s="49"/>
      <c r="BK60" s="115" t="s">
        <v>2615</v>
      </c>
      <c r="BL60" s="115" t="s">
        <v>2615</v>
      </c>
      <c r="BM60" s="115" t="s">
        <v>3094</v>
      </c>
      <c r="BN60" s="115" t="s">
        <v>3094</v>
      </c>
      <c r="BO60" s="2"/>
      <c r="BP60" s="3"/>
      <c r="BQ60" s="3"/>
      <c r="BR60" s="3"/>
      <c r="BS60" s="3"/>
    </row>
    <row r="61" spans="1:71" ht="15">
      <c r="A61" s="66" t="s">
        <v>279</v>
      </c>
      <c r="B61" s="67"/>
      <c r="C61" s="67"/>
      <c r="D61" s="68">
        <v>150</v>
      </c>
      <c r="E61" s="70"/>
      <c r="F61" s="102" t="str">
        <f>HYPERLINK("https://yt3.ggpht.com/rlPIlPliOHQMj89Q__qjtyi4AKHkVxAzrHmLUgMyTf1hP6ZY9ApjiOVnLdnebfLkYkO_rlx8HQ=s88-c-k-c0x00ffffff-no-rj")</f>
        <v>https://yt3.ggpht.com/rlPIlPliOHQMj89Q__qjtyi4AKHkVxAzrHmLUgMyTf1hP6ZY9ApjiOVnLdnebfLkYkO_rlx8HQ=s88-c-k-c0x00ffffff-no-rj</v>
      </c>
      <c r="G61" s="67"/>
      <c r="H61" s="71" t="s">
        <v>1357</v>
      </c>
      <c r="I61" s="72"/>
      <c r="J61" s="72" t="s">
        <v>159</v>
      </c>
      <c r="K61" s="71" t="s">
        <v>1357</v>
      </c>
      <c r="L61" s="75">
        <v>1</v>
      </c>
      <c r="M61" s="76">
        <v>9291.9482421875</v>
      </c>
      <c r="N61" s="76">
        <v>7240.51123046875</v>
      </c>
      <c r="O61" s="77"/>
      <c r="P61" s="78"/>
      <c r="Q61" s="78"/>
      <c r="R61" s="88"/>
      <c r="S61" s="49">
        <v>0</v>
      </c>
      <c r="T61" s="49">
        <v>1</v>
      </c>
      <c r="U61" s="50">
        <v>0</v>
      </c>
      <c r="V61" s="50">
        <v>0.059549</v>
      </c>
      <c r="W61" s="50">
        <v>0</v>
      </c>
      <c r="X61" s="50">
        <v>0.001581</v>
      </c>
      <c r="Y61" s="50">
        <v>0</v>
      </c>
      <c r="Z61" s="50">
        <v>0</v>
      </c>
      <c r="AA61" s="73">
        <v>61</v>
      </c>
      <c r="AB61" s="73"/>
      <c r="AC61" s="74"/>
      <c r="AD61" s="81" t="s">
        <v>1357</v>
      </c>
      <c r="AE61" s="81" t="s">
        <v>1925</v>
      </c>
      <c r="AF61" s="81"/>
      <c r="AG61" s="81"/>
      <c r="AH61" s="81"/>
      <c r="AI61" s="81" t="s">
        <v>2077</v>
      </c>
      <c r="AJ61" s="85">
        <v>39082.16372685185</v>
      </c>
      <c r="AK61" s="83" t="str">
        <f>HYPERLINK("https://yt3.ggpht.com/rlPIlPliOHQMj89Q__qjtyi4AKHkVxAzrHmLUgMyTf1hP6ZY9ApjiOVnLdnebfLkYkO_rlx8HQ=s88-c-k-c0x00ffffff-no-rj")</f>
        <v>https://yt3.ggpht.com/rlPIlPliOHQMj89Q__qjtyi4AKHkVxAzrHmLUgMyTf1hP6ZY9ApjiOVnLdnebfLkYkO_rlx8HQ=s88-c-k-c0x00ffffff-no-rj</v>
      </c>
      <c r="AL61" s="81">
        <v>57</v>
      </c>
      <c r="AM61" s="81">
        <v>0</v>
      </c>
      <c r="AN61" s="81">
        <v>32</v>
      </c>
      <c r="AO61" s="81" t="b">
        <v>0</v>
      </c>
      <c r="AP61" s="81">
        <v>1</v>
      </c>
      <c r="AQ61" s="81"/>
      <c r="AR61" s="81"/>
      <c r="AS61" s="81" t="s">
        <v>2571</v>
      </c>
      <c r="AT61" s="83" t="str">
        <f>HYPERLINK("https://www.youtube.com/channel/UCk2jMvMCNPWn1GoRVlwyQlg")</f>
        <v>https://www.youtube.com/channel/UCk2jMvMCNPWn1GoRVlwyQlg</v>
      </c>
      <c r="AU61" s="81">
        <v>3</v>
      </c>
      <c r="AV61" s="49">
        <v>2</v>
      </c>
      <c r="AW61" s="50">
        <v>6.666666666666667</v>
      </c>
      <c r="AX61" s="49">
        <v>0</v>
      </c>
      <c r="AY61" s="50">
        <v>0</v>
      </c>
      <c r="AZ61" s="49">
        <v>0</v>
      </c>
      <c r="BA61" s="50">
        <v>0</v>
      </c>
      <c r="BB61" s="49">
        <v>11</v>
      </c>
      <c r="BC61" s="50">
        <v>36.666666666666664</v>
      </c>
      <c r="BD61" s="49">
        <v>30</v>
      </c>
      <c r="BE61" s="49"/>
      <c r="BF61" s="49"/>
      <c r="BG61" s="49"/>
      <c r="BH61" s="49"/>
      <c r="BI61" s="49"/>
      <c r="BJ61" s="49"/>
      <c r="BK61" s="115" t="s">
        <v>2616</v>
      </c>
      <c r="BL61" s="115" t="s">
        <v>2616</v>
      </c>
      <c r="BM61" s="115" t="s">
        <v>3095</v>
      </c>
      <c r="BN61" s="115" t="s">
        <v>3095</v>
      </c>
      <c r="BO61" s="2"/>
      <c r="BP61" s="3"/>
      <c r="BQ61" s="3"/>
      <c r="BR61" s="3"/>
      <c r="BS61" s="3"/>
    </row>
    <row r="62" spans="1:71" ht="15">
      <c r="A62" s="66" t="s">
        <v>280</v>
      </c>
      <c r="B62" s="67"/>
      <c r="C62" s="67"/>
      <c r="D62" s="68">
        <v>150</v>
      </c>
      <c r="E62" s="70"/>
      <c r="F62" s="102" t="str">
        <f>HYPERLINK("https://yt3.ggpht.com/ytc/AOPolaSnjNfuSuWiWe6xinAtchfMP7FI9ppWsf6-ds_Ed678to0WBwgG3s6QMKlmrkZu=s88-c-k-c0x00ffffff-no-rj")</f>
        <v>https://yt3.ggpht.com/ytc/AOPolaSnjNfuSuWiWe6xinAtchfMP7FI9ppWsf6-ds_Ed678to0WBwgG3s6QMKlmrkZu=s88-c-k-c0x00ffffff-no-rj</v>
      </c>
      <c r="G62" s="67"/>
      <c r="H62" s="71" t="s">
        <v>1358</v>
      </c>
      <c r="I62" s="72"/>
      <c r="J62" s="72" t="s">
        <v>159</v>
      </c>
      <c r="K62" s="71" t="s">
        <v>1358</v>
      </c>
      <c r="L62" s="75">
        <v>1</v>
      </c>
      <c r="M62" s="76">
        <v>6748.5</v>
      </c>
      <c r="N62" s="76">
        <v>8301.357421875</v>
      </c>
      <c r="O62" s="77"/>
      <c r="P62" s="78"/>
      <c r="Q62" s="78"/>
      <c r="R62" s="88"/>
      <c r="S62" s="49">
        <v>0</v>
      </c>
      <c r="T62" s="49">
        <v>1</v>
      </c>
      <c r="U62" s="50">
        <v>0</v>
      </c>
      <c r="V62" s="50">
        <v>0.059549</v>
      </c>
      <c r="W62" s="50">
        <v>0</v>
      </c>
      <c r="X62" s="50">
        <v>0.001581</v>
      </c>
      <c r="Y62" s="50">
        <v>0</v>
      </c>
      <c r="Z62" s="50">
        <v>0</v>
      </c>
      <c r="AA62" s="73">
        <v>62</v>
      </c>
      <c r="AB62" s="73"/>
      <c r="AC62" s="74"/>
      <c r="AD62" s="81" t="s">
        <v>1358</v>
      </c>
      <c r="AE62" s="81"/>
      <c r="AF62" s="81"/>
      <c r="AG62" s="81"/>
      <c r="AH62" s="81"/>
      <c r="AI62" s="81" t="s">
        <v>2078</v>
      </c>
      <c r="AJ62" s="85">
        <v>44504.20652777778</v>
      </c>
      <c r="AK62" s="83" t="str">
        <f>HYPERLINK("https://yt3.ggpht.com/ytc/AOPolaSnjNfuSuWiWe6xinAtchfMP7FI9ppWsf6-ds_Ed678to0WBwgG3s6QMKlmrkZu=s88-c-k-c0x00ffffff-no-rj")</f>
        <v>https://yt3.ggpht.com/ytc/AOPolaSnjNfuSuWiWe6xinAtchfMP7FI9ppWsf6-ds_Ed678to0WBwgG3s6QMKlmrkZu=s88-c-k-c0x00ffffff-no-rj</v>
      </c>
      <c r="AL62" s="81">
        <v>0</v>
      </c>
      <c r="AM62" s="81">
        <v>0</v>
      </c>
      <c r="AN62" s="81">
        <v>1</v>
      </c>
      <c r="AO62" s="81" t="b">
        <v>0</v>
      </c>
      <c r="AP62" s="81">
        <v>0</v>
      </c>
      <c r="AQ62" s="81"/>
      <c r="AR62" s="81"/>
      <c r="AS62" s="81" t="s">
        <v>2571</v>
      </c>
      <c r="AT62" s="83" t="str">
        <f>HYPERLINK("https://www.youtube.com/channel/UCRDV4_Mm80Chyjh-t8DbpZw")</f>
        <v>https://www.youtube.com/channel/UCRDV4_Mm80Chyjh-t8DbpZw</v>
      </c>
      <c r="AU62" s="81">
        <v>3</v>
      </c>
      <c r="AV62" s="49">
        <v>6</v>
      </c>
      <c r="AW62" s="50">
        <v>9.67741935483871</v>
      </c>
      <c r="AX62" s="49">
        <v>4</v>
      </c>
      <c r="AY62" s="50">
        <v>6.451612903225806</v>
      </c>
      <c r="AZ62" s="49">
        <v>0</v>
      </c>
      <c r="BA62" s="50">
        <v>0</v>
      </c>
      <c r="BB62" s="49">
        <v>24</v>
      </c>
      <c r="BC62" s="50">
        <v>38.70967741935484</v>
      </c>
      <c r="BD62" s="49">
        <v>62</v>
      </c>
      <c r="BE62" s="49"/>
      <c r="BF62" s="49"/>
      <c r="BG62" s="49"/>
      <c r="BH62" s="49"/>
      <c r="BI62" s="49"/>
      <c r="BJ62" s="49"/>
      <c r="BK62" s="115" t="s">
        <v>2617</v>
      </c>
      <c r="BL62" s="115" t="s">
        <v>2617</v>
      </c>
      <c r="BM62" s="115" t="s">
        <v>3096</v>
      </c>
      <c r="BN62" s="115" t="s">
        <v>3096</v>
      </c>
      <c r="BO62" s="2"/>
      <c r="BP62" s="3"/>
      <c r="BQ62" s="3"/>
      <c r="BR62" s="3"/>
      <c r="BS62" s="3"/>
    </row>
    <row r="63" spans="1:71" ht="15">
      <c r="A63" s="66" t="s">
        <v>281</v>
      </c>
      <c r="B63" s="67"/>
      <c r="C63" s="67"/>
      <c r="D63" s="68">
        <v>150</v>
      </c>
      <c r="E63" s="70"/>
      <c r="F63" s="102" t="str">
        <f>HYPERLINK("https://yt3.ggpht.com/ytc/AOPolaQMETNxRcoqEAEvL2FcZ0cBCNcBoS_GusXn4A=s88-c-k-c0x00ffffff-no-rj")</f>
        <v>https://yt3.ggpht.com/ytc/AOPolaQMETNxRcoqEAEvL2FcZ0cBCNcBoS_GusXn4A=s88-c-k-c0x00ffffff-no-rj</v>
      </c>
      <c r="G63" s="67"/>
      <c r="H63" s="71" t="s">
        <v>1359</v>
      </c>
      <c r="I63" s="72"/>
      <c r="J63" s="72" t="s">
        <v>159</v>
      </c>
      <c r="K63" s="71" t="s">
        <v>1359</v>
      </c>
      <c r="L63" s="75">
        <v>1</v>
      </c>
      <c r="M63" s="76">
        <v>6921.65576171875</v>
      </c>
      <c r="N63" s="76">
        <v>7881.92333984375</v>
      </c>
      <c r="O63" s="77"/>
      <c r="P63" s="78"/>
      <c r="Q63" s="78"/>
      <c r="R63" s="88"/>
      <c r="S63" s="49">
        <v>0</v>
      </c>
      <c r="T63" s="49">
        <v>1</v>
      </c>
      <c r="U63" s="50">
        <v>0</v>
      </c>
      <c r="V63" s="50">
        <v>0.059549</v>
      </c>
      <c r="W63" s="50">
        <v>0</v>
      </c>
      <c r="X63" s="50">
        <v>0.001581</v>
      </c>
      <c r="Y63" s="50">
        <v>0</v>
      </c>
      <c r="Z63" s="50">
        <v>0</v>
      </c>
      <c r="AA63" s="73">
        <v>63</v>
      </c>
      <c r="AB63" s="73"/>
      <c r="AC63" s="74"/>
      <c r="AD63" s="81" t="s">
        <v>1359</v>
      </c>
      <c r="AE63" s="81"/>
      <c r="AF63" s="81"/>
      <c r="AG63" s="81"/>
      <c r="AH63" s="81"/>
      <c r="AI63" s="81" t="s">
        <v>2079</v>
      </c>
      <c r="AJ63" s="85">
        <v>44311.19969907407</v>
      </c>
      <c r="AK63" s="83" t="str">
        <f>HYPERLINK("https://yt3.ggpht.com/ytc/AOPolaQMETNxRcoqEAEvL2FcZ0cBCNcBoS_GusXn4A=s88-c-k-c0x00ffffff-no-rj")</f>
        <v>https://yt3.ggpht.com/ytc/AOPolaQMETNxRcoqEAEvL2FcZ0cBCNcBoS_GusXn4A=s88-c-k-c0x00ffffff-no-rj</v>
      </c>
      <c r="AL63" s="81">
        <v>0</v>
      </c>
      <c r="AM63" s="81">
        <v>0</v>
      </c>
      <c r="AN63" s="81">
        <v>0</v>
      </c>
      <c r="AO63" s="81" t="b">
        <v>0</v>
      </c>
      <c r="AP63" s="81">
        <v>0</v>
      </c>
      <c r="AQ63" s="81"/>
      <c r="AR63" s="81"/>
      <c r="AS63" s="81" t="s">
        <v>2571</v>
      </c>
      <c r="AT63" s="83" t="str">
        <f>HYPERLINK("https://www.youtube.com/channel/UC_x3AkfG7g4M4wySJkWupqg")</f>
        <v>https://www.youtube.com/channel/UC_x3AkfG7g4M4wySJkWupqg</v>
      </c>
      <c r="AU63" s="81">
        <v>3</v>
      </c>
      <c r="AV63" s="49">
        <v>1</v>
      </c>
      <c r="AW63" s="50">
        <v>8.333333333333334</v>
      </c>
      <c r="AX63" s="49">
        <v>0</v>
      </c>
      <c r="AY63" s="50">
        <v>0</v>
      </c>
      <c r="AZ63" s="49">
        <v>0</v>
      </c>
      <c r="BA63" s="50">
        <v>0</v>
      </c>
      <c r="BB63" s="49">
        <v>5</v>
      </c>
      <c r="BC63" s="50">
        <v>41.666666666666664</v>
      </c>
      <c r="BD63" s="49">
        <v>12</v>
      </c>
      <c r="BE63" s="49"/>
      <c r="BF63" s="49"/>
      <c r="BG63" s="49"/>
      <c r="BH63" s="49"/>
      <c r="BI63" s="49"/>
      <c r="BJ63" s="49"/>
      <c r="BK63" s="115" t="s">
        <v>4561</v>
      </c>
      <c r="BL63" s="115" t="s">
        <v>4561</v>
      </c>
      <c r="BM63" s="115" t="s">
        <v>4584</v>
      </c>
      <c r="BN63" s="115" t="s">
        <v>4584</v>
      </c>
      <c r="BO63" s="2"/>
      <c r="BP63" s="3"/>
      <c r="BQ63" s="3"/>
      <c r="BR63" s="3"/>
      <c r="BS63" s="3"/>
    </row>
    <row r="64" spans="1:71" ht="15">
      <c r="A64" s="66" t="s">
        <v>282</v>
      </c>
      <c r="B64" s="67"/>
      <c r="C64" s="67"/>
      <c r="D64" s="68">
        <v>150</v>
      </c>
      <c r="E64" s="70"/>
      <c r="F64" s="102" t="str">
        <f>HYPERLINK("https://yt3.ggpht.com/ytc/AOPolaQSUNMShyxBZSqavHymdaq_3rve5ggSSQa8yvvTCA=s88-c-k-c0x00ffffff-no-rj")</f>
        <v>https://yt3.ggpht.com/ytc/AOPolaQSUNMShyxBZSqavHymdaq_3rve5ggSSQa8yvvTCA=s88-c-k-c0x00ffffff-no-rj</v>
      </c>
      <c r="G64" s="67"/>
      <c r="H64" s="71" t="s">
        <v>1360</v>
      </c>
      <c r="I64" s="72"/>
      <c r="J64" s="72" t="s">
        <v>159</v>
      </c>
      <c r="K64" s="71" t="s">
        <v>1360</v>
      </c>
      <c r="L64" s="75">
        <v>1</v>
      </c>
      <c r="M64" s="76">
        <v>8507.296875</v>
      </c>
      <c r="N64" s="76">
        <v>8439.3525390625</v>
      </c>
      <c r="O64" s="77"/>
      <c r="P64" s="78"/>
      <c r="Q64" s="78"/>
      <c r="R64" s="88"/>
      <c r="S64" s="49">
        <v>0</v>
      </c>
      <c r="T64" s="49">
        <v>1</v>
      </c>
      <c r="U64" s="50">
        <v>0</v>
      </c>
      <c r="V64" s="50">
        <v>0.059549</v>
      </c>
      <c r="W64" s="50">
        <v>0</v>
      </c>
      <c r="X64" s="50">
        <v>0.001581</v>
      </c>
      <c r="Y64" s="50">
        <v>0</v>
      </c>
      <c r="Z64" s="50">
        <v>0</v>
      </c>
      <c r="AA64" s="73">
        <v>64</v>
      </c>
      <c r="AB64" s="73"/>
      <c r="AC64" s="74"/>
      <c r="AD64" s="81" t="s">
        <v>1360</v>
      </c>
      <c r="AE64" s="81"/>
      <c r="AF64" s="81"/>
      <c r="AG64" s="81"/>
      <c r="AH64" s="81"/>
      <c r="AI64" s="81" t="s">
        <v>2080</v>
      </c>
      <c r="AJ64" s="85">
        <v>42703.92650462963</v>
      </c>
      <c r="AK64" s="83" t="str">
        <f>HYPERLINK("https://yt3.ggpht.com/ytc/AOPolaQSUNMShyxBZSqavHymdaq_3rve5ggSSQa8yvvTCA=s88-c-k-c0x00ffffff-no-rj")</f>
        <v>https://yt3.ggpht.com/ytc/AOPolaQSUNMShyxBZSqavHymdaq_3rve5ggSSQa8yvvTCA=s88-c-k-c0x00ffffff-no-rj</v>
      </c>
      <c r="AL64" s="81">
        <v>0</v>
      </c>
      <c r="AM64" s="81">
        <v>0</v>
      </c>
      <c r="AN64" s="81">
        <v>4</v>
      </c>
      <c r="AO64" s="81" t="b">
        <v>0</v>
      </c>
      <c r="AP64" s="81">
        <v>0</v>
      </c>
      <c r="AQ64" s="81"/>
      <c r="AR64" s="81"/>
      <c r="AS64" s="81" t="s">
        <v>2571</v>
      </c>
      <c r="AT64" s="83" t="str">
        <f>HYPERLINK("https://www.youtube.com/channel/UCxX5x9qobr1D3PHFlguifeA")</f>
        <v>https://www.youtube.com/channel/UCxX5x9qobr1D3PHFlguifeA</v>
      </c>
      <c r="AU64" s="81">
        <v>3</v>
      </c>
      <c r="AV64" s="49">
        <v>3</v>
      </c>
      <c r="AW64" s="50">
        <v>2.727272727272727</v>
      </c>
      <c r="AX64" s="49">
        <v>1</v>
      </c>
      <c r="AY64" s="50">
        <v>0.9090909090909091</v>
      </c>
      <c r="AZ64" s="49">
        <v>0</v>
      </c>
      <c r="BA64" s="50">
        <v>0</v>
      </c>
      <c r="BB64" s="49">
        <v>35</v>
      </c>
      <c r="BC64" s="50">
        <v>31.818181818181817</v>
      </c>
      <c r="BD64" s="49">
        <v>110</v>
      </c>
      <c r="BE64" s="49"/>
      <c r="BF64" s="49"/>
      <c r="BG64" s="49"/>
      <c r="BH64" s="49"/>
      <c r="BI64" s="49"/>
      <c r="BJ64" s="49"/>
      <c r="BK64" s="115" t="s">
        <v>2618</v>
      </c>
      <c r="BL64" s="115" t="s">
        <v>2618</v>
      </c>
      <c r="BM64" s="115" t="s">
        <v>3097</v>
      </c>
      <c r="BN64" s="115" t="s">
        <v>3097</v>
      </c>
      <c r="BO64" s="2"/>
      <c r="BP64" s="3"/>
      <c r="BQ64" s="3"/>
      <c r="BR64" s="3"/>
      <c r="BS64" s="3"/>
    </row>
    <row r="65" spans="1:71" ht="15">
      <c r="A65" s="66" t="s">
        <v>283</v>
      </c>
      <c r="B65" s="67"/>
      <c r="C65" s="67"/>
      <c r="D65" s="68">
        <v>150</v>
      </c>
      <c r="E65" s="70"/>
      <c r="F65" s="102" t="str">
        <f>HYPERLINK("https://yt3.ggpht.com/ytc/AOPolaQ8SzbJANADsSooydKBqPQVEoFdd0Aakr3vgw=s88-c-k-c0x00ffffff-no-rj")</f>
        <v>https://yt3.ggpht.com/ytc/AOPolaQ8SzbJANADsSooydKBqPQVEoFdd0Aakr3vgw=s88-c-k-c0x00ffffff-no-rj</v>
      </c>
      <c r="G65" s="67"/>
      <c r="H65" s="71" t="s">
        <v>1361</v>
      </c>
      <c r="I65" s="72"/>
      <c r="J65" s="72" t="s">
        <v>159</v>
      </c>
      <c r="K65" s="71" t="s">
        <v>1361</v>
      </c>
      <c r="L65" s="75">
        <v>1</v>
      </c>
      <c r="M65" s="76">
        <v>9586.3251953125</v>
      </c>
      <c r="N65" s="76">
        <v>9152.61328125</v>
      </c>
      <c r="O65" s="77"/>
      <c r="P65" s="78"/>
      <c r="Q65" s="78"/>
      <c r="R65" s="88"/>
      <c r="S65" s="49">
        <v>0</v>
      </c>
      <c r="T65" s="49">
        <v>1</v>
      </c>
      <c r="U65" s="50">
        <v>0</v>
      </c>
      <c r="V65" s="50">
        <v>0.059549</v>
      </c>
      <c r="W65" s="50">
        <v>0</v>
      </c>
      <c r="X65" s="50">
        <v>0.001581</v>
      </c>
      <c r="Y65" s="50">
        <v>0</v>
      </c>
      <c r="Z65" s="50">
        <v>0</v>
      </c>
      <c r="AA65" s="73">
        <v>65</v>
      </c>
      <c r="AB65" s="73"/>
      <c r="AC65" s="74"/>
      <c r="AD65" s="81" t="s">
        <v>1361</v>
      </c>
      <c r="AE65" s="81"/>
      <c r="AF65" s="81"/>
      <c r="AG65" s="81"/>
      <c r="AH65" s="81"/>
      <c r="AI65" s="81" t="s">
        <v>2081</v>
      </c>
      <c r="AJ65" s="85">
        <v>44275.288298611114</v>
      </c>
      <c r="AK65" s="83" t="str">
        <f>HYPERLINK("https://yt3.ggpht.com/ytc/AOPolaQ8SzbJANADsSooydKBqPQVEoFdd0Aakr3vgw=s88-c-k-c0x00ffffff-no-rj")</f>
        <v>https://yt3.ggpht.com/ytc/AOPolaQ8SzbJANADsSooydKBqPQVEoFdd0Aakr3vgw=s88-c-k-c0x00ffffff-no-rj</v>
      </c>
      <c r="AL65" s="81">
        <v>0</v>
      </c>
      <c r="AM65" s="81">
        <v>0</v>
      </c>
      <c r="AN65" s="81">
        <v>0</v>
      </c>
      <c r="AO65" s="81" t="b">
        <v>0</v>
      </c>
      <c r="AP65" s="81">
        <v>0</v>
      </c>
      <c r="AQ65" s="81"/>
      <c r="AR65" s="81"/>
      <c r="AS65" s="81" t="s">
        <v>2571</v>
      </c>
      <c r="AT65" s="83" t="str">
        <f>HYPERLINK("https://www.youtube.com/channel/UCJA1pkV9mpAJYNew-ZoPD-A")</f>
        <v>https://www.youtube.com/channel/UCJA1pkV9mpAJYNew-ZoPD-A</v>
      </c>
      <c r="AU65" s="81">
        <v>3</v>
      </c>
      <c r="AV65" s="49">
        <v>2</v>
      </c>
      <c r="AW65" s="50">
        <v>3.9215686274509802</v>
      </c>
      <c r="AX65" s="49">
        <v>1</v>
      </c>
      <c r="AY65" s="50">
        <v>1.9607843137254901</v>
      </c>
      <c r="AZ65" s="49">
        <v>0</v>
      </c>
      <c r="BA65" s="50">
        <v>0</v>
      </c>
      <c r="BB65" s="49">
        <v>12</v>
      </c>
      <c r="BC65" s="50">
        <v>23.529411764705884</v>
      </c>
      <c r="BD65" s="49">
        <v>51</v>
      </c>
      <c r="BE65" s="49"/>
      <c r="BF65" s="49"/>
      <c r="BG65" s="49"/>
      <c r="BH65" s="49"/>
      <c r="BI65" s="49"/>
      <c r="BJ65" s="49"/>
      <c r="BK65" s="115" t="s">
        <v>2619</v>
      </c>
      <c r="BL65" s="115" t="s">
        <v>2619</v>
      </c>
      <c r="BM65" s="115" t="s">
        <v>3098</v>
      </c>
      <c r="BN65" s="115" t="s">
        <v>3098</v>
      </c>
      <c r="BO65" s="2"/>
      <c r="BP65" s="3"/>
      <c r="BQ65" s="3"/>
      <c r="BR65" s="3"/>
      <c r="BS65" s="3"/>
    </row>
    <row r="66" spans="1:71" ht="15">
      <c r="A66" s="66" t="s">
        <v>284</v>
      </c>
      <c r="B66" s="67"/>
      <c r="C66" s="67"/>
      <c r="D66" s="68">
        <v>150</v>
      </c>
      <c r="E66" s="70"/>
      <c r="F66" s="102" t="str">
        <f>HYPERLINK("https://yt3.ggpht.com/MzyuNy-bFTJOjuw4EQAh07vxW5TcmYCr05-SXGb1dp6Z2fRVuG3a81RACl1-Iflw2mvTHpFF2YE=s88-c-k-c0x00ffffff-no-rj")</f>
        <v>https://yt3.ggpht.com/MzyuNy-bFTJOjuw4EQAh07vxW5TcmYCr05-SXGb1dp6Z2fRVuG3a81RACl1-Iflw2mvTHpFF2YE=s88-c-k-c0x00ffffff-no-rj</v>
      </c>
      <c r="G66" s="67"/>
      <c r="H66" s="71" t="s">
        <v>1362</v>
      </c>
      <c r="I66" s="72"/>
      <c r="J66" s="72" t="s">
        <v>159</v>
      </c>
      <c r="K66" s="71" t="s">
        <v>1362</v>
      </c>
      <c r="L66" s="75">
        <v>1</v>
      </c>
      <c r="M66" s="76">
        <v>9712.60546875</v>
      </c>
      <c r="N66" s="76">
        <v>8327.587890625</v>
      </c>
      <c r="O66" s="77"/>
      <c r="P66" s="78"/>
      <c r="Q66" s="78"/>
      <c r="R66" s="88"/>
      <c r="S66" s="49">
        <v>0</v>
      </c>
      <c r="T66" s="49">
        <v>1</v>
      </c>
      <c r="U66" s="50">
        <v>0</v>
      </c>
      <c r="V66" s="50">
        <v>0.059549</v>
      </c>
      <c r="W66" s="50">
        <v>0</v>
      </c>
      <c r="X66" s="50">
        <v>0.001581</v>
      </c>
      <c r="Y66" s="50">
        <v>0</v>
      </c>
      <c r="Z66" s="50">
        <v>0</v>
      </c>
      <c r="AA66" s="73">
        <v>66</v>
      </c>
      <c r="AB66" s="73"/>
      <c r="AC66" s="74"/>
      <c r="AD66" s="81" t="s">
        <v>1362</v>
      </c>
      <c r="AE66" s="81" t="s">
        <v>1926</v>
      </c>
      <c r="AF66" s="81"/>
      <c r="AG66" s="81"/>
      <c r="AH66" s="81"/>
      <c r="AI66" s="81" t="s">
        <v>2082</v>
      </c>
      <c r="AJ66" s="85">
        <v>43037.984375</v>
      </c>
      <c r="AK66" s="83" t="str">
        <f>HYPERLINK("https://yt3.ggpht.com/MzyuNy-bFTJOjuw4EQAh07vxW5TcmYCr05-SXGb1dp6Z2fRVuG3a81RACl1-Iflw2mvTHpFF2YE=s88-c-k-c0x00ffffff-no-rj")</f>
        <v>https://yt3.ggpht.com/MzyuNy-bFTJOjuw4EQAh07vxW5TcmYCr05-SXGb1dp6Z2fRVuG3a81RACl1-Iflw2mvTHpFF2YE=s88-c-k-c0x00ffffff-no-rj</v>
      </c>
      <c r="AL66" s="81">
        <v>328859</v>
      </c>
      <c r="AM66" s="81">
        <v>0</v>
      </c>
      <c r="AN66" s="81">
        <v>511</v>
      </c>
      <c r="AO66" s="81" t="b">
        <v>0</v>
      </c>
      <c r="AP66" s="81">
        <v>295</v>
      </c>
      <c r="AQ66" s="81"/>
      <c r="AR66" s="81"/>
      <c r="AS66" s="81" t="s">
        <v>2571</v>
      </c>
      <c r="AT66" s="83" t="str">
        <f>HYPERLINK("https://www.youtube.com/channel/UCWQ86dk1RtzIxh39I4riWJg")</f>
        <v>https://www.youtube.com/channel/UCWQ86dk1RtzIxh39I4riWJg</v>
      </c>
      <c r="AU66" s="81">
        <v>3</v>
      </c>
      <c r="AV66" s="49">
        <v>3</v>
      </c>
      <c r="AW66" s="50">
        <v>5.769230769230769</v>
      </c>
      <c r="AX66" s="49">
        <v>0</v>
      </c>
      <c r="AY66" s="50">
        <v>0</v>
      </c>
      <c r="AZ66" s="49">
        <v>0</v>
      </c>
      <c r="BA66" s="50">
        <v>0</v>
      </c>
      <c r="BB66" s="49">
        <v>19</v>
      </c>
      <c r="BC66" s="50">
        <v>36.53846153846154</v>
      </c>
      <c r="BD66" s="49">
        <v>52</v>
      </c>
      <c r="BE66" s="49"/>
      <c r="BF66" s="49"/>
      <c r="BG66" s="49"/>
      <c r="BH66" s="49"/>
      <c r="BI66" s="49"/>
      <c r="BJ66" s="49"/>
      <c r="BK66" s="115" t="s">
        <v>2620</v>
      </c>
      <c r="BL66" s="115" t="s">
        <v>2620</v>
      </c>
      <c r="BM66" s="115" t="s">
        <v>3099</v>
      </c>
      <c r="BN66" s="115" t="s">
        <v>3099</v>
      </c>
      <c r="BO66" s="2"/>
      <c r="BP66" s="3"/>
      <c r="BQ66" s="3"/>
      <c r="BR66" s="3"/>
      <c r="BS66" s="3"/>
    </row>
    <row r="67" spans="1:71" ht="15">
      <c r="A67" s="66" t="s">
        <v>285</v>
      </c>
      <c r="B67" s="67"/>
      <c r="C67" s="67"/>
      <c r="D67" s="68">
        <v>150</v>
      </c>
      <c r="E67" s="70"/>
      <c r="F67" s="102" t="str">
        <f>HYPERLINK("https://yt3.ggpht.com/ytc/AOPolaQaBqKSOPSbuSvnqtGmHEXWOsMd9zeTYVJYUtp4=s88-c-k-c0x00ffffff-no-rj")</f>
        <v>https://yt3.ggpht.com/ytc/AOPolaQaBqKSOPSbuSvnqtGmHEXWOsMd9zeTYVJYUtp4=s88-c-k-c0x00ffffff-no-rj</v>
      </c>
      <c r="G67" s="67"/>
      <c r="H67" s="71" t="s">
        <v>1363</v>
      </c>
      <c r="I67" s="72"/>
      <c r="J67" s="72" t="s">
        <v>159</v>
      </c>
      <c r="K67" s="71" t="s">
        <v>1363</v>
      </c>
      <c r="L67" s="75">
        <v>1</v>
      </c>
      <c r="M67" s="76">
        <v>9869.3115234375</v>
      </c>
      <c r="N67" s="76">
        <v>8556.5</v>
      </c>
      <c r="O67" s="77"/>
      <c r="P67" s="78"/>
      <c r="Q67" s="78"/>
      <c r="R67" s="88"/>
      <c r="S67" s="49">
        <v>0</v>
      </c>
      <c r="T67" s="49">
        <v>1</v>
      </c>
      <c r="U67" s="50">
        <v>0</v>
      </c>
      <c r="V67" s="50">
        <v>0.059549</v>
      </c>
      <c r="W67" s="50">
        <v>0</v>
      </c>
      <c r="X67" s="50">
        <v>0.001581</v>
      </c>
      <c r="Y67" s="50">
        <v>0</v>
      </c>
      <c r="Z67" s="50">
        <v>0</v>
      </c>
      <c r="AA67" s="73">
        <v>67</v>
      </c>
      <c r="AB67" s="73"/>
      <c r="AC67" s="74"/>
      <c r="AD67" s="81" t="s">
        <v>1363</v>
      </c>
      <c r="AE67" s="81"/>
      <c r="AF67" s="81"/>
      <c r="AG67" s="81"/>
      <c r="AH67" s="81"/>
      <c r="AI67" s="81" t="s">
        <v>2083</v>
      </c>
      <c r="AJ67" s="85">
        <v>41288.36232638889</v>
      </c>
      <c r="AK67" s="83" t="str">
        <f>HYPERLINK("https://yt3.ggpht.com/ytc/AOPolaQaBqKSOPSbuSvnqtGmHEXWOsMd9zeTYVJYUtp4=s88-c-k-c0x00ffffff-no-rj")</f>
        <v>https://yt3.ggpht.com/ytc/AOPolaQaBqKSOPSbuSvnqtGmHEXWOsMd9zeTYVJYUtp4=s88-c-k-c0x00ffffff-no-rj</v>
      </c>
      <c r="AL67" s="81">
        <v>0</v>
      </c>
      <c r="AM67" s="81">
        <v>0</v>
      </c>
      <c r="AN67" s="81">
        <v>0</v>
      </c>
      <c r="AO67" s="81" t="b">
        <v>0</v>
      </c>
      <c r="AP67" s="81">
        <v>0</v>
      </c>
      <c r="AQ67" s="81"/>
      <c r="AR67" s="81"/>
      <c r="AS67" s="81" t="s">
        <v>2571</v>
      </c>
      <c r="AT67" s="83" t="str">
        <f>HYPERLINK("https://www.youtube.com/channel/UCNWasPkWThbNGU78wTte-aA")</f>
        <v>https://www.youtube.com/channel/UCNWasPkWThbNGU78wTte-aA</v>
      </c>
      <c r="AU67" s="81">
        <v>3</v>
      </c>
      <c r="AV67" s="49">
        <v>4</v>
      </c>
      <c r="AW67" s="50">
        <v>2.0833333333333335</v>
      </c>
      <c r="AX67" s="49">
        <v>4</v>
      </c>
      <c r="AY67" s="50">
        <v>2.0833333333333335</v>
      </c>
      <c r="AZ67" s="49">
        <v>0</v>
      </c>
      <c r="BA67" s="50">
        <v>0</v>
      </c>
      <c r="BB67" s="49">
        <v>63</v>
      </c>
      <c r="BC67" s="50">
        <v>32.8125</v>
      </c>
      <c r="BD67" s="49">
        <v>192</v>
      </c>
      <c r="BE67" s="49"/>
      <c r="BF67" s="49"/>
      <c r="BG67" s="49"/>
      <c r="BH67" s="49"/>
      <c r="BI67" s="49"/>
      <c r="BJ67" s="49"/>
      <c r="BK67" s="115" t="s">
        <v>2621</v>
      </c>
      <c r="BL67" s="115" t="s">
        <v>2621</v>
      </c>
      <c r="BM67" s="115" t="s">
        <v>3100</v>
      </c>
      <c r="BN67" s="115" t="s">
        <v>3100</v>
      </c>
      <c r="BO67" s="2"/>
      <c r="BP67" s="3"/>
      <c r="BQ67" s="3"/>
      <c r="BR67" s="3"/>
      <c r="BS67" s="3"/>
    </row>
    <row r="68" spans="1:71" ht="15">
      <c r="A68" s="66" t="s">
        <v>286</v>
      </c>
      <c r="B68" s="67"/>
      <c r="C68" s="67"/>
      <c r="D68" s="68">
        <v>150</v>
      </c>
      <c r="E68" s="70"/>
      <c r="F68" s="102" t="str">
        <f>HYPERLINK("https://yt3.ggpht.com/ytc/AOPolaRlpN6xfbo1gTzA_lrPrEs9jwMOGBGNRUWutg=s88-c-k-c0x00ffffff-no-rj")</f>
        <v>https://yt3.ggpht.com/ytc/AOPolaRlpN6xfbo1gTzA_lrPrEs9jwMOGBGNRUWutg=s88-c-k-c0x00ffffff-no-rj</v>
      </c>
      <c r="G68" s="67"/>
      <c r="H68" s="71" t="s">
        <v>1364</v>
      </c>
      <c r="I68" s="72"/>
      <c r="J68" s="72" t="s">
        <v>159</v>
      </c>
      <c r="K68" s="71" t="s">
        <v>1364</v>
      </c>
      <c r="L68" s="75">
        <v>1</v>
      </c>
      <c r="M68" s="76">
        <v>9091.7646484375</v>
      </c>
      <c r="N68" s="76">
        <v>7544.89794921875</v>
      </c>
      <c r="O68" s="77"/>
      <c r="P68" s="78"/>
      <c r="Q68" s="78"/>
      <c r="R68" s="88"/>
      <c r="S68" s="49">
        <v>0</v>
      </c>
      <c r="T68" s="49">
        <v>1</v>
      </c>
      <c r="U68" s="50">
        <v>0</v>
      </c>
      <c r="V68" s="50">
        <v>0.059549</v>
      </c>
      <c r="W68" s="50">
        <v>0</v>
      </c>
      <c r="X68" s="50">
        <v>0.001581</v>
      </c>
      <c r="Y68" s="50">
        <v>0</v>
      </c>
      <c r="Z68" s="50">
        <v>0</v>
      </c>
      <c r="AA68" s="73">
        <v>68</v>
      </c>
      <c r="AB68" s="73"/>
      <c r="AC68" s="74"/>
      <c r="AD68" s="81" t="s">
        <v>1364</v>
      </c>
      <c r="AE68" s="81"/>
      <c r="AF68" s="81"/>
      <c r="AG68" s="81"/>
      <c r="AH68" s="81"/>
      <c r="AI68" s="81" t="s">
        <v>2084</v>
      </c>
      <c r="AJ68" s="85">
        <v>43694.341157407405</v>
      </c>
      <c r="AK68" s="83" t="str">
        <f>HYPERLINK("https://yt3.ggpht.com/ytc/AOPolaRlpN6xfbo1gTzA_lrPrEs9jwMOGBGNRUWutg=s88-c-k-c0x00ffffff-no-rj")</f>
        <v>https://yt3.ggpht.com/ytc/AOPolaRlpN6xfbo1gTzA_lrPrEs9jwMOGBGNRUWutg=s88-c-k-c0x00ffffff-no-rj</v>
      </c>
      <c r="AL68" s="81">
        <v>0</v>
      </c>
      <c r="AM68" s="81">
        <v>0</v>
      </c>
      <c r="AN68" s="81">
        <v>4</v>
      </c>
      <c r="AO68" s="81" t="b">
        <v>0</v>
      </c>
      <c r="AP68" s="81">
        <v>0</v>
      </c>
      <c r="AQ68" s="81"/>
      <c r="AR68" s="81"/>
      <c r="AS68" s="81" t="s">
        <v>2571</v>
      </c>
      <c r="AT68" s="83" t="str">
        <f>HYPERLINK("https://www.youtube.com/channel/UCfPPxdm0eV0r8yLJMUAeHYQ")</f>
        <v>https://www.youtube.com/channel/UCfPPxdm0eV0r8yLJMUAeHYQ</v>
      </c>
      <c r="AU68" s="81">
        <v>3</v>
      </c>
      <c r="AV68" s="49">
        <v>6</v>
      </c>
      <c r="AW68" s="50">
        <v>1.9047619047619047</v>
      </c>
      <c r="AX68" s="49">
        <v>18</v>
      </c>
      <c r="AY68" s="50">
        <v>5.714285714285714</v>
      </c>
      <c r="AZ68" s="49">
        <v>0</v>
      </c>
      <c r="BA68" s="50">
        <v>0</v>
      </c>
      <c r="BB68" s="49">
        <v>94</v>
      </c>
      <c r="BC68" s="50">
        <v>29.841269841269842</v>
      </c>
      <c r="BD68" s="49">
        <v>315</v>
      </c>
      <c r="BE68" s="49"/>
      <c r="BF68" s="49"/>
      <c r="BG68" s="49"/>
      <c r="BH68" s="49"/>
      <c r="BI68" s="49"/>
      <c r="BJ68" s="49"/>
      <c r="BK68" s="115" t="s">
        <v>2622</v>
      </c>
      <c r="BL68" s="115" t="s">
        <v>2622</v>
      </c>
      <c r="BM68" s="115" t="s">
        <v>3101</v>
      </c>
      <c r="BN68" s="115" t="s">
        <v>3101</v>
      </c>
      <c r="BO68" s="2"/>
      <c r="BP68" s="3"/>
      <c r="BQ68" s="3"/>
      <c r="BR68" s="3"/>
      <c r="BS68" s="3"/>
    </row>
    <row r="69" spans="1:71" ht="15">
      <c r="A69" s="66" t="s">
        <v>287</v>
      </c>
      <c r="B69" s="67"/>
      <c r="C69" s="67"/>
      <c r="D69" s="68">
        <v>150</v>
      </c>
      <c r="E69" s="70"/>
      <c r="F69" s="102" t="str">
        <f>HYPERLINK("https://yt3.ggpht.com/ytc/AOPolaQ2rSRsmMQRiQbTOXOwPCixSg2eTnThkJvSLdgTBd3UV1H2ytIG35XJBhg1aGkj=s88-c-k-c0x00ffffff-no-rj")</f>
        <v>https://yt3.ggpht.com/ytc/AOPolaQ2rSRsmMQRiQbTOXOwPCixSg2eTnThkJvSLdgTBd3UV1H2ytIG35XJBhg1aGkj=s88-c-k-c0x00ffffff-no-rj</v>
      </c>
      <c r="G69" s="67"/>
      <c r="H69" s="71" t="s">
        <v>1365</v>
      </c>
      <c r="I69" s="72"/>
      <c r="J69" s="72" t="s">
        <v>159</v>
      </c>
      <c r="K69" s="71" t="s">
        <v>1365</v>
      </c>
      <c r="L69" s="75">
        <v>1</v>
      </c>
      <c r="M69" s="76">
        <v>6476.615234375</v>
      </c>
      <c r="N69" s="76">
        <v>8978.4990234375</v>
      </c>
      <c r="O69" s="77"/>
      <c r="P69" s="78"/>
      <c r="Q69" s="78"/>
      <c r="R69" s="88"/>
      <c r="S69" s="49">
        <v>0</v>
      </c>
      <c r="T69" s="49">
        <v>1</v>
      </c>
      <c r="U69" s="50">
        <v>0</v>
      </c>
      <c r="V69" s="50">
        <v>0.059549</v>
      </c>
      <c r="W69" s="50">
        <v>0</v>
      </c>
      <c r="X69" s="50">
        <v>0.001581</v>
      </c>
      <c r="Y69" s="50">
        <v>0</v>
      </c>
      <c r="Z69" s="50">
        <v>0</v>
      </c>
      <c r="AA69" s="73">
        <v>69</v>
      </c>
      <c r="AB69" s="73"/>
      <c r="AC69" s="74"/>
      <c r="AD69" s="81" t="s">
        <v>1365</v>
      </c>
      <c r="AE69" s="81"/>
      <c r="AF69" s="81"/>
      <c r="AG69" s="81"/>
      <c r="AH69" s="81"/>
      <c r="AI69" s="81" t="s">
        <v>2085</v>
      </c>
      <c r="AJ69" s="85">
        <v>41474.5105787037</v>
      </c>
      <c r="AK69" s="83" t="str">
        <f>HYPERLINK("https://yt3.ggpht.com/ytc/AOPolaQ2rSRsmMQRiQbTOXOwPCixSg2eTnThkJvSLdgTBd3UV1H2ytIG35XJBhg1aGkj=s88-c-k-c0x00ffffff-no-rj")</f>
        <v>https://yt3.ggpht.com/ytc/AOPolaQ2rSRsmMQRiQbTOXOwPCixSg2eTnThkJvSLdgTBd3UV1H2ytIG35XJBhg1aGkj=s88-c-k-c0x00ffffff-no-rj</v>
      </c>
      <c r="AL69" s="81">
        <v>0</v>
      </c>
      <c r="AM69" s="81">
        <v>0</v>
      </c>
      <c r="AN69" s="81">
        <v>0</v>
      </c>
      <c r="AO69" s="81" t="b">
        <v>0</v>
      </c>
      <c r="AP69" s="81">
        <v>0</v>
      </c>
      <c r="AQ69" s="81"/>
      <c r="AR69" s="81"/>
      <c r="AS69" s="81" t="s">
        <v>2571</v>
      </c>
      <c r="AT69" s="83" t="str">
        <f>HYPERLINK("https://www.youtube.com/channel/UCY17GXLLENc2GDQES1coMAg")</f>
        <v>https://www.youtube.com/channel/UCY17GXLLENc2GDQES1coMAg</v>
      </c>
      <c r="AU69" s="81">
        <v>3</v>
      </c>
      <c r="AV69" s="49">
        <v>0</v>
      </c>
      <c r="AW69" s="50">
        <v>0</v>
      </c>
      <c r="AX69" s="49">
        <v>0</v>
      </c>
      <c r="AY69" s="50">
        <v>0</v>
      </c>
      <c r="AZ69" s="49">
        <v>0</v>
      </c>
      <c r="BA69" s="50">
        <v>0</v>
      </c>
      <c r="BB69" s="49">
        <v>5</v>
      </c>
      <c r="BC69" s="50">
        <v>50</v>
      </c>
      <c r="BD69" s="49">
        <v>10</v>
      </c>
      <c r="BE69" s="49"/>
      <c r="BF69" s="49"/>
      <c r="BG69" s="49"/>
      <c r="BH69" s="49"/>
      <c r="BI69" s="49"/>
      <c r="BJ69" s="49"/>
      <c r="BK69" s="115" t="s">
        <v>4562</v>
      </c>
      <c r="BL69" s="115" t="s">
        <v>4562</v>
      </c>
      <c r="BM69" s="115" t="s">
        <v>4585</v>
      </c>
      <c r="BN69" s="115" t="s">
        <v>4585</v>
      </c>
      <c r="BO69" s="2"/>
      <c r="BP69" s="3"/>
      <c r="BQ69" s="3"/>
      <c r="BR69" s="3"/>
      <c r="BS69" s="3"/>
    </row>
    <row r="70" spans="1:71" ht="15">
      <c r="A70" s="66" t="s">
        <v>288</v>
      </c>
      <c r="B70" s="67"/>
      <c r="C70" s="67"/>
      <c r="D70" s="68">
        <v>150</v>
      </c>
      <c r="E70" s="70"/>
      <c r="F70" s="102" t="str">
        <f>HYPERLINK("https://yt3.ggpht.com/ytc/AOPolaQ3Txo3GEYRaCf36prnNI7Hu-QKvTNbplOSQ4S6Dmw5Iv6jmSGhOa4VQkfkbug6=s88-c-k-c0x00ffffff-no-rj")</f>
        <v>https://yt3.ggpht.com/ytc/AOPolaQ3Txo3GEYRaCf36prnNI7Hu-QKvTNbplOSQ4S6Dmw5Iv6jmSGhOa4VQkfkbug6=s88-c-k-c0x00ffffff-no-rj</v>
      </c>
      <c r="G70" s="67"/>
      <c r="H70" s="71" t="s">
        <v>1366</v>
      </c>
      <c r="I70" s="72"/>
      <c r="J70" s="72" t="s">
        <v>159</v>
      </c>
      <c r="K70" s="71" t="s">
        <v>1366</v>
      </c>
      <c r="L70" s="75">
        <v>1</v>
      </c>
      <c r="M70" s="76">
        <v>8620.17578125</v>
      </c>
      <c r="N70" s="76">
        <v>7644.3779296875</v>
      </c>
      <c r="O70" s="77"/>
      <c r="P70" s="78"/>
      <c r="Q70" s="78"/>
      <c r="R70" s="88"/>
      <c r="S70" s="49">
        <v>0</v>
      </c>
      <c r="T70" s="49">
        <v>1</v>
      </c>
      <c r="U70" s="50">
        <v>0</v>
      </c>
      <c r="V70" s="50">
        <v>0.059549</v>
      </c>
      <c r="W70" s="50">
        <v>0</v>
      </c>
      <c r="X70" s="50">
        <v>0.001581</v>
      </c>
      <c r="Y70" s="50">
        <v>0</v>
      </c>
      <c r="Z70" s="50">
        <v>0</v>
      </c>
      <c r="AA70" s="73">
        <v>70</v>
      </c>
      <c r="AB70" s="73"/>
      <c r="AC70" s="74"/>
      <c r="AD70" s="81" t="s">
        <v>1366</v>
      </c>
      <c r="AE70" s="81"/>
      <c r="AF70" s="81"/>
      <c r="AG70" s="81"/>
      <c r="AH70" s="81"/>
      <c r="AI70" s="81" t="s">
        <v>2086</v>
      </c>
      <c r="AJ70" s="85">
        <v>44586.863854166666</v>
      </c>
      <c r="AK70" s="83" t="str">
        <f>HYPERLINK("https://yt3.ggpht.com/ytc/AOPolaQ3Txo3GEYRaCf36prnNI7Hu-QKvTNbplOSQ4S6Dmw5Iv6jmSGhOa4VQkfkbug6=s88-c-k-c0x00ffffff-no-rj")</f>
        <v>https://yt3.ggpht.com/ytc/AOPolaQ3Txo3GEYRaCf36prnNI7Hu-QKvTNbplOSQ4S6Dmw5Iv6jmSGhOa4VQkfkbug6=s88-c-k-c0x00ffffff-no-rj</v>
      </c>
      <c r="AL70" s="81">
        <v>0</v>
      </c>
      <c r="AM70" s="81">
        <v>0</v>
      </c>
      <c r="AN70" s="81">
        <v>0</v>
      </c>
      <c r="AO70" s="81" t="b">
        <v>0</v>
      </c>
      <c r="AP70" s="81">
        <v>0</v>
      </c>
      <c r="AQ70" s="81"/>
      <c r="AR70" s="81"/>
      <c r="AS70" s="81" t="s">
        <v>2571</v>
      </c>
      <c r="AT70" s="83" t="str">
        <f>HYPERLINK("https://www.youtube.com/channel/UCqMcyZ2lJMpUZbytiLF7vog")</f>
        <v>https://www.youtube.com/channel/UCqMcyZ2lJMpUZbytiLF7vog</v>
      </c>
      <c r="AU70" s="81">
        <v>3</v>
      </c>
      <c r="AV70" s="49">
        <v>0</v>
      </c>
      <c r="AW70" s="50">
        <v>0</v>
      </c>
      <c r="AX70" s="49">
        <v>0</v>
      </c>
      <c r="AY70" s="50">
        <v>0</v>
      </c>
      <c r="AZ70" s="49">
        <v>0</v>
      </c>
      <c r="BA70" s="50">
        <v>0</v>
      </c>
      <c r="BB70" s="49">
        <v>3</v>
      </c>
      <c r="BC70" s="50">
        <v>25</v>
      </c>
      <c r="BD70" s="49">
        <v>12</v>
      </c>
      <c r="BE70" s="49"/>
      <c r="BF70" s="49"/>
      <c r="BG70" s="49"/>
      <c r="BH70" s="49"/>
      <c r="BI70" s="49"/>
      <c r="BJ70" s="49"/>
      <c r="BK70" s="115" t="s">
        <v>2623</v>
      </c>
      <c r="BL70" s="115" t="s">
        <v>2623</v>
      </c>
      <c r="BM70" s="115" t="s">
        <v>3102</v>
      </c>
      <c r="BN70" s="115" t="s">
        <v>3102</v>
      </c>
      <c r="BO70" s="2"/>
      <c r="BP70" s="3"/>
      <c r="BQ70" s="3"/>
      <c r="BR70" s="3"/>
      <c r="BS70" s="3"/>
    </row>
    <row r="71" spans="1:71" ht="15">
      <c r="A71" s="66" t="s">
        <v>289</v>
      </c>
      <c r="B71" s="67"/>
      <c r="C71" s="67"/>
      <c r="D71" s="68">
        <v>150</v>
      </c>
      <c r="E71" s="70"/>
      <c r="F71" s="102" t="str">
        <f>HYPERLINK("https://yt3.ggpht.com/ytc/AOPolaQtDc_mNbFXESSQdmB8k9PG2MKbHATkl1XzqLtq7g=s88-c-k-c0x00ffffff-no-rj")</f>
        <v>https://yt3.ggpht.com/ytc/AOPolaQtDc_mNbFXESSQdmB8k9PG2MKbHATkl1XzqLtq7g=s88-c-k-c0x00ffffff-no-rj</v>
      </c>
      <c r="G71" s="67"/>
      <c r="H71" s="71" t="s">
        <v>1367</v>
      </c>
      <c r="I71" s="72"/>
      <c r="J71" s="72" t="s">
        <v>159</v>
      </c>
      <c r="K71" s="71" t="s">
        <v>1367</v>
      </c>
      <c r="L71" s="75">
        <v>1</v>
      </c>
      <c r="M71" s="76">
        <v>9760.00390625</v>
      </c>
      <c r="N71" s="76">
        <v>7872.01123046875</v>
      </c>
      <c r="O71" s="77"/>
      <c r="P71" s="78"/>
      <c r="Q71" s="78"/>
      <c r="R71" s="88"/>
      <c r="S71" s="49">
        <v>0</v>
      </c>
      <c r="T71" s="49">
        <v>1</v>
      </c>
      <c r="U71" s="50">
        <v>0</v>
      </c>
      <c r="V71" s="50">
        <v>0.059549</v>
      </c>
      <c r="W71" s="50">
        <v>0</v>
      </c>
      <c r="X71" s="50">
        <v>0.001581</v>
      </c>
      <c r="Y71" s="50">
        <v>0</v>
      </c>
      <c r="Z71" s="50">
        <v>0</v>
      </c>
      <c r="AA71" s="73">
        <v>71</v>
      </c>
      <c r="AB71" s="73"/>
      <c r="AC71" s="74"/>
      <c r="AD71" s="81" t="s">
        <v>1367</v>
      </c>
      <c r="AE71" s="81"/>
      <c r="AF71" s="81"/>
      <c r="AG71" s="81"/>
      <c r="AH71" s="81"/>
      <c r="AI71" s="81" t="s">
        <v>2087</v>
      </c>
      <c r="AJ71" s="85">
        <v>44150.06611111111</v>
      </c>
      <c r="AK71" s="83" t="str">
        <f>HYPERLINK("https://yt3.ggpht.com/ytc/AOPolaQtDc_mNbFXESSQdmB8k9PG2MKbHATkl1XzqLtq7g=s88-c-k-c0x00ffffff-no-rj")</f>
        <v>https://yt3.ggpht.com/ytc/AOPolaQtDc_mNbFXESSQdmB8k9PG2MKbHATkl1XzqLtq7g=s88-c-k-c0x00ffffff-no-rj</v>
      </c>
      <c r="AL71" s="81">
        <v>0</v>
      </c>
      <c r="AM71" s="81">
        <v>0</v>
      </c>
      <c r="AN71" s="81">
        <v>4</v>
      </c>
      <c r="AO71" s="81" t="b">
        <v>0</v>
      </c>
      <c r="AP71" s="81">
        <v>0</v>
      </c>
      <c r="AQ71" s="81"/>
      <c r="AR71" s="81"/>
      <c r="AS71" s="81" t="s">
        <v>2571</v>
      </c>
      <c r="AT71" s="83" t="str">
        <f>HYPERLINK("https://www.youtube.com/channel/UC9vNxe54O877N8XswqMCnAw")</f>
        <v>https://www.youtube.com/channel/UC9vNxe54O877N8XswqMCnAw</v>
      </c>
      <c r="AU71" s="81">
        <v>3</v>
      </c>
      <c r="AV71" s="49">
        <v>3</v>
      </c>
      <c r="AW71" s="50">
        <v>2.459016393442623</v>
      </c>
      <c r="AX71" s="49">
        <v>10</v>
      </c>
      <c r="AY71" s="50">
        <v>8.19672131147541</v>
      </c>
      <c r="AZ71" s="49">
        <v>0</v>
      </c>
      <c r="BA71" s="50">
        <v>0</v>
      </c>
      <c r="BB71" s="49">
        <v>52</v>
      </c>
      <c r="BC71" s="50">
        <v>42.622950819672134</v>
      </c>
      <c r="BD71" s="49">
        <v>122</v>
      </c>
      <c r="BE71" s="49"/>
      <c r="BF71" s="49"/>
      <c r="BG71" s="49"/>
      <c r="BH71" s="49"/>
      <c r="BI71" s="49"/>
      <c r="BJ71" s="49"/>
      <c r="BK71" s="115" t="s">
        <v>2624</v>
      </c>
      <c r="BL71" s="115" t="s">
        <v>2624</v>
      </c>
      <c r="BM71" s="115" t="s">
        <v>3103</v>
      </c>
      <c r="BN71" s="115" t="s">
        <v>3103</v>
      </c>
      <c r="BO71" s="2"/>
      <c r="BP71" s="3"/>
      <c r="BQ71" s="3"/>
      <c r="BR71" s="3"/>
      <c r="BS71" s="3"/>
    </row>
    <row r="72" spans="1:71" ht="15">
      <c r="A72" s="66" t="s">
        <v>290</v>
      </c>
      <c r="B72" s="67"/>
      <c r="C72" s="67"/>
      <c r="D72" s="68">
        <v>150</v>
      </c>
      <c r="E72" s="70"/>
      <c r="F72" s="102" t="str">
        <f>HYPERLINK("https://yt3.ggpht.com/ytc/AOPolaSMyiqwnZEVSQKfeq2Dzwkw1DcSCdM4Cf1GNww-xQ=s88-c-k-c0x00ffffff-no-rj")</f>
        <v>https://yt3.ggpht.com/ytc/AOPolaSMyiqwnZEVSQKfeq2Dzwkw1DcSCdM4Cf1GNww-xQ=s88-c-k-c0x00ffffff-no-rj</v>
      </c>
      <c r="G72" s="67"/>
      <c r="H72" s="71" t="s">
        <v>1368</v>
      </c>
      <c r="I72" s="72"/>
      <c r="J72" s="72" t="s">
        <v>159</v>
      </c>
      <c r="K72" s="71" t="s">
        <v>1368</v>
      </c>
      <c r="L72" s="75">
        <v>1</v>
      </c>
      <c r="M72" s="76">
        <v>8991.755859375</v>
      </c>
      <c r="N72" s="76">
        <v>9656.587890625</v>
      </c>
      <c r="O72" s="77"/>
      <c r="P72" s="78"/>
      <c r="Q72" s="78"/>
      <c r="R72" s="88"/>
      <c r="S72" s="49">
        <v>0</v>
      </c>
      <c r="T72" s="49">
        <v>1</v>
      </c>
      <c r="U72" s="50">
        <v>0</v>
      </c>
      <c r="V72" s="50">
        <v>0.059549</v>
      </c>
      <c r="W72" s="50">
        <v>0</v>
      </c>
      <c r="X72" s="50">
        <v>0.001581</v>
      </c>
      <c r="Y72" s="50">
        <v>0</v>
      </c>
      <c r="Z72" s="50">
        <v>0</v>
      </c>
      <c r="AA72" s="73">
        <v>72</v>
      </c>
      <c r="AB72" s="73"/>
      <c r="AC72" s="74"/>
      <c r="AD72" s="81" t="s">
        <v>1368</v>
      </c>
      <c r="AE72" s="81"/>
      <c r="AF72" s="81"/>
      <c r="AG72" s="81"/>
      <c r="AH72" s="81"/>
      <c r="AI72" s="81" t="s">
        <v>2088</v>
      </c>
      <c r="AJ72" s="85">
        <v>42430.28668981481</v>
      </c>
      <c r="AK72" s="83" t="str">
        <f>HYPERLINK("https://yt3.ggpht.com/ytc/AOPolaSMyiqwnZEVSQKfeq2Dzwkw1DcSCdM4Cf1GNww-xQ=s88-c-k-c0x00ffffff-no-rj")</f>
        <v>https://yt3.ggpht.com/ytc/AOPolaSMyiqwnZEVSQKfeq2Dzwkw1DcSCdM4Cf1GNww-xQ=s88-c-k-c0x00ffffff-no-rj</v>
      </c>
      <c r="AL72" s="81">
        <v>0</v>
      </c>
      <c r="AM72" s="81">
        <v>0</v>
      </c>
      <c r="AN72" s="81">
        <v>4</v>
      </c>
      <c r="AO72" s="81" t="b">
        <v>0</v>
      </c>
      <c r="AP72" s="81">
        <v>0</v>
      </c>
      <c r="AQ72" s="81"/>
      <c r="AR72" s="81"/>
      <c r="AS72" s="81" t="s">
        <v>2571</v>
      </c>
      <c r="AT72" s="83" t="str">
        <f>HYPERLINK("https://www.youtube.com/channel/UCJoPOi7-qPyZZ2MkH6SPc_A")</f>
        <v>https://www.youtube.com/channel/UCJoPOi7-qPyZZ2MkH6SPc_A</v>
      </c>
      <c r="AU72" s="81">
        <v>3</v>
      </c>
      <c r="AV72" s="49">
        <v>1</v>
      </c>
      <c r="AW72" s="50">
        <v>3.3333333333333335</v>
      </c>
      <c r="AX72" s="49">
        <v>1</v>
      </c>
      <c r="AY72" s="50">
        <v>3.3333333333333335</v>
      </c>
      <c r="AZ72" s="49">
        <v>0</v>
      </c>
      <c r="BA72" s="50">
        <v>0</v>
      </c>
      <c r="BB72" s="49">
        <v>8</v>
      </c>
      <c r="BC72" s="50">
        <v>26.666666666666668</v>
      </c>
      <c r="BD72" s="49">
        <v>30</v>
      </c>
      <c r="BE72" s="49"/>
      <c r="BF72" s="49"/>
      <c r="BG72" s="49"/>
      <c r="BH72" s="49"/>
      <c r="BI72" s="49"/>
      <c r="BJ72" s="49"/>
      <c r="BK72" s="115" t="s">
        <v>2625</v>
      </c>
      <c r="BL72" s="115" t="s">
        <v>2625</v>
      </c>
      <c r="BM72" s="115" t="s">
        <v>3104</v>
      </c>
      <c r="BN72" s="115" t="s">
        <v>3104</v>
      </c>
      <c r="BO72" s="2"/>
      <c r="BP72" s="3"/>
      <c r="BQ72" s="3"/>
      <c r="BR72" s="3"/>
      <c r="BS72" s="3"/>
    </row>
    <row r="73" spans="1:71" ht="15">
      <c r="A73" s="66" t="s">
        <v>291</v>
      </c>
      <c r="B73" s="67"/>
      <c r="C73" s="67"/>
      <c r="D73" s="68">
        <v>150</v>
      </c>
      <c r="E73" s="70"/>
      <c r="F73" s="102" t="str">
        <f>HYPERLINK("https://yt3.ggpht.com/ytc/AOPolaSCGKUZpw122YimVVcN6FlK2kxVjIFDn30NRPl2DZVB_Uecegb3FLIkWnrj1mTc=s88-c-k-c0x00ffffff-no-rj")</f>
        <v>https://yt3.ggpht.com/ytc/AOPolaSCGKUZpw122YimVVcN6FlK2kxVjIFDn30NRPl2DZVB_Uecegb3FLIkWnrj1mTc=s88-c-k-c0x00ffffff-no-rj</v>
      </c>
      <c r="G73" s="67"/>
      <c r="H73" s="71" t="s">
        <v>1369</v>
      </c>
      <c r="I73" s="72"/>
      <c r="J73" s="72" t="s">
        <v>159</v>
      </c>
      <c r="K73" s="71" t="s">
        <v>1369</v>
      </c>
      <c r="L73" s="75">
        <v>1</v>
      </c>
      <c r="M73" s="76">
        <v>8653.318359375</v>
      </c>
      <c r="N73" s="76">
        <v>9766.5966796875</v>
      </c>
      <c r="O73" s="77"/>
      <c r="P73" s="78"/>
      <c r="Q73" s="78"/>
      <c r="R73" s="88"/>
      <c r="S73" s="49">
        <v>0</v>
      </c>
      <c r="T73" s="49">
        <v>1</v>
      </c>
      <c r="U73" s="50">
        <v>0</v>
      </c>
      <c r="V73" s="50">
        <v>0.059549</v>
      </c>
      <c r="W73" s="50">
        <v>0</v>
      </c>
      <c r="X73" s="50">
        <v>0.001581</v>
      </c>
      <c r="Y73" s="50">
        <v>0</v>
      </c>
      <c r="Z73" s="50">
        <v>0</v>
      </c>
      <c r="AA73" s="73">
        <v>73</v>
      </c>
      <c r="AB73" s="73"/>
      <c r="AC73" s="74"/>
      <c r="AD73" s="81" t="s">
        <v>1369</v>
      </c>
      <c r="AE73" s="81"/>
      <c r="AF73" s="81"/>
      <c r="AG73" s="81"/>
      <c r="AH73" s="81"/>
      <c r="AI73" s="81" t="s">
        <v>2089</v>
      </c>
      <c r="AJ73" s="85">
        <v>44861.32938657407</v>
      </c>
      <c r="AK73" s="83" t="str">
        <f>HYPERLINK("https://yt3.ggpht.com/ytc/AOPolaSCGKUZpw122YimVVcN6FlK2kxVjIFDn30NRPl2DZVB_Uecegb3FLIkWnrj1mTc=s88-c-k-c0x00ffffff-no-rj")</f>
        <v>https://yt3.ggpht.com/ytc/AOPolaSCGKUZpw122YimVVcN6FlK2kxVjIFDn30NRPl2DZVB_Uecegb3FLIkWnrj1mTc=s88-c-k-c0x00ffffff-no-rj</v>
      </c>
      <c r="AL73" s="81">
        <v>0</v>
      </c>
      <c r="AM73" s="81">
        <v>0</v>
      </c>
      <c r="AN73" s="81">
        <v>0</v>
      </c>
      <c r="AO73" s="81" t="b">
        <v>0</v>
      </c>
      <c r="AP73" s="81">
        <v>0</v>
      </c>
      <c r="AQ73" s="81"/>
      <c r="AR73" s="81"/>
      <c r="AS73" s="81" t="s">
        <v>2571</v>
      </c>
      <c r="AT73" s="83" t="str">
        <f>HYPERLINK("https://www.youtube.com/channel/UCWH0qNynKh2T84M0-UlahdA")</f>
        <v>https://www.youtube.com/channel/UCWH0qNynKh2T84M0-UlahdA</v>
      </c>
      <c r="AU73" s="81">
        <v>3</v>
      </c>
      <c r="AV73" s="49">
        <v>0</v>
      </c>
      <c r="AW73" s="50">
        <v>0</v>
      </c>
      <c r="AX73" s="49">
        <v>1</v>
      </c>
      <c r="AY73" s="50">
        <v>25</v>
      </c>
      <c r="AZ73" s="49">
        <v>0</v>
      </c>
      <c r="BA73" s="50">
        <v>0</v>
      </c>
      <c r="BB73" s="49">
        <v>1</v>
      </c>
      <c r="BC73" s="50">
        <v>25</v>
      </c>
      <c r="BD73" s="49">
        <v>4</v>
      </c>
      <c r="BE73" s="49"/>
      <c r="BF73" s="49"/>
      <c r="BG73" s="49"/>
      <c r="BH73" s="49"/>
      <c r="BI73" s="49"/>
      <c r="BJ73" s="49"/>
      <c r="BK73" s="115" t="s">
        <v>4563</v>
      </c>
      <c r="BL73" s="115" t="s">
        <v>4563</v>
      </c>
      <c r="BM73" s="115" t="s">
        <v>4586</v>
      </c>
      <c r="BN73" s="115" t="s">
        <v>4586</v>
      </c>
      <c r="BO73" s="2"/>
      <c r="BP73" s="3"/>
      <c r="BQ73" s="3"/>
      <c r="BR73" s="3"/>
      <c r="BS73" s="3"/>
    </row>
    <row r="74" spans="1:71" ht="15">
      <c r="A74" s="66" t="s">
        <v>293</v>
      </c>
      <c r="B74" s="67"/>
      <c r="C74" s="67"/>
      <c r="D74" s="68">
        <v>150</v>
      </c>
      <c r="E74" s="70"/>
      <c r="F74" s="102" t="str">
        <f>HYPERLINK("https://yt3.ggpht.com/ytc/AOPolaSnjNfuSuWiWe6xinAtchfMP7FI9ppWsf6-ds_Ed678to0WBwgG3s6QMKlmrkZu=s88-c-k-c0x00ffffff-no-rj")</f>
        <v>https://yt3.ggpht.com/ytc/AOPolaSnjNfuSuWiWe6xinAtchfMP7FI9ppWsf6-ds_Ed678to0WBwgG3s6QMKlmrkZu=s88-c-k-c0x00ffffff-no-rj</v>
      </c>
      <c r="G74" s="67"/>
      <c r="H74" s="71" t="s">
        <v>1370</v>
      </c>
      <c r="I74" s="72"/>
      <c r="J74" s="72" t="s">
        <v>159</v>
      </c>
      <c r="K74" s="71" t="s">
        <v>1370</v>
      </c>
      <c r="L74" s="75">
        <v>1</v>
      </c>
      <c r="M74" s="76">
        <v>6529.0673828125</v>
      </c>
      <c r="N74" s="76">
        <v>7706.8388671875</v>
      </c>
      <c r="O74" s="77"/>
      <c r="P74" s="78"/>
      <c r="Q74" s="78"/>
      <c r="R74" s="88"/>
      <c r="S74" s="49">
        <v>0</v>
      </c>
      <c r="T74" s="49">
        <v>1</v>
      </c>
      <c r="U74" s="50">
        <v>0</v>
      </c>
      <c r="V74" s="50">
        <v>0.059549</v>
      </c>
      <c r="W74" s="50">
        <v>0</v>
      </c>
      <c r="X74" s="50">
        <v>0.001581</v>
      </c>
      <c r="Y74" s="50">
        <v>0</v>
      </c>
      <c r="Z74" s="50">
        <v>0</v>
      </c>
      <c r="AA74" s="73">
        <v>74</v>
      </c>
      <c r="AB74" s="73"/>
      <c r="AC74" s="74"/>
      <c r="AD74" s="81" t="s">
        <v>1370</v>
      </c>
      <c r="AE74" s="81" t="s">
        <v>1927</v>
      </c>
      <c r="AF74" s="81"/>
      <c r="AG74" s="81"/>
      <c r="AH74" s="81"/>
      <c r="AI74" s="81" t="s">
        <v>2090</v>
      </c>
      <c r="AJ74" s="85">
        <v>42529.19725694445</v>
      </c>
      <c r="AK74" s="83" t="str">
        <f>HYPERLINK("https://yt3.ggpht.com/ytc/AOPolaSnjNfuSuWiWe6xinAtchfMP7FI9ppWsf6-ds_Ed678to0WBwgG3s6QMKlmrkZu=s88-c-k-c0x00ffffff-no-rj")</f>
        <v>https://yt3.ggpht.com/ytc/AOPolaSnjNfuSuWiWe6xinAtchfMP7FI9ppWsf6-ds_Ed678to0WBwgG3s6QMKlmrkZu=s88-c-k-c0x00ffffff-no-rj</v>
      </c>
      <c r="AL74" s="81">
        <v>22</v>
      </c>
      <c r="AM74" s="81">
        <v>0</v>
      </c>
      <c r="AN74" s="81">
        <v>0</v>
      </c>
      <c r="AO74" s="81" t="b">
        <v>0</v>
      </c>
      <c r="AP74" s="81">
        <v>2</v>
      </c>
      <c r="AQ74" s="81"/>
      <c r="AR74" s="81"/>
      <c r="AS74" s="81" t="s">
        <v>2571</v>
      </c>
      <c r="AT74" s="83" t="str">
        <f>HYPERLINK("https://www.youtube.com/channel/UC9bFss-24oXqPC76WhDPIOQ")</f>
        <v>https://www.youtube.com/channel/UC9bFss-24oXqPC76WhDPIOQ</v>
      </c>
      <c r="AU74" s="81">
        <v>3</v>
      </c>
      <c r="AV74" s="49">
        <v>13</v>
      </c>
      <c r="AW74" s="50">
        <v>6.046511627906977</v>
      </c>
      <c r="AX74" s="49">
        <v>10</v>
      </c>
      <c r="AY74" s="50">
        <v>4.651162790697675</v>
      </c>
      <c r="AZ74" s="49">
        <v>0</v>
      </c>
      <c r="BA74" s="50">
        <v>0</v>
      </c>
      <c r="BB74" s="49">
        <v>71</v>
      </c>
      <c r="BC74" s="50">
        <v>33.02325581395349</v>
      </c>
      <c r="BD74" s="49">
        <v>215</v>
      </c>
      <c r="BE74" s="49"/>
      <c r="BF74" s="49"/>
      <c r="BG74" s="49"/>
      <c r="BH74" s="49"/>
      <c r="BI74" s="49"/>
      <c r="BJ74" s="49"/>
      <c r="BK74" s="115" t="s">
        <v>2626</v>
      </c>
      <c r="BL74" s="115" t="s">
        <v>2626</v>
      </c>
      <c r="BM74" s="115" t="s">
        <v>3105</v>
      </c>
      <c r="BN74" s="115" t="s">
        <v>3105</v>
      </c>
      <c r="BO74" s="2"/>
      <c r="BP74" s="3"/>
      <c r="BQ74" s="3"/>
      <c r="BR74" s="3"/>
      <c r="BS74" s="3"/>
    </row>
    <row r="75" spans="1:71" ht="15">
      <c r="A75" s="66" t="s">
        <v>294</v>
      </c>
      <c r="B75" s="67"/>
      <c r="C75" s="67"/>
      <c r="D75" s="68">
        <v>150</v>
      </c>
      <c r="E75" s="70"/>
      <c r="F75" s="102" t="str">
        <f>HYPERLINK("https://yt3.ggpht.com/BOENxffS5u7zAAFRxDIF4-Vz1_zy9-kAaOvaPTMwKgH27DNNO9DLw_2NxYcpjl1T3cDDUoCI=s88-c-k-c0x00ffffff-no-rj")</f>
        <v>https://yt3.ggpht.com/BOENxffS5u7zAAFRxDIF4-Vz1_zy9-kAaOvaPTMwKgH27DNNO9DLw_2NxYcpjl1T3cDDUoCI=s88-c-k-c0x00ffffff-no-rj</v>
      </c>
      <c r="G75" s="67"/>
      <c r="H75" s="71" t="s">
        <v>1371</v>
      </c>
      <c r="I75" s="72"/>
      <c r="J75" s="72" t="s">
        <v>159</v>
      </c>
      <c r="K75" s="71" t="s">
        <v>1371</v>
      </c>
      <c r="L75" s="75">
        <v>1</v>
      </c>
      <c r="M75" s="76">
        <v>9065.39453125</v>
      </c>
      <c r="N75" s="76">
        <v>5883.01611328125</v>
      </c>
      <c r="O75" s="77"/>
      <c r="P75" s="78"/>
      <c r="Q75" s="78"/>
      <c r="R75" s="88"/>
      <c r="S75" s="49">
        <v>0</v>
      </c>
      <c r="T75" s="49">
        <v>1</v>
      </c>
      <c r="U75" s="50">
        <v>0</v>
      </c>
      <c r="V75" s="50">
        <v>0.056822</v>
      </c>
      <c r="W75" s="50">
        <v>0</v>
      </c>
      <c r="X75" s="50">
        <v>0.001581</v>
      </c>
      <c r="Y75" s="50">
        <v>0</v>
      </c>
      <c r="Z75" s="50">
        <v>0</v>
      </c>
      <c r="AA75" s="73">
        <v>75</v>
      </c>
      <c r="AB75" s="73"/>
      <c r="AC75" s="74"/>
      <c r="AD75" s="81" t="s">
        <v>1371</v>
      </c>
      <c r="AE75" s="81"/>
      <c r="AF75" s="81"/>
      <c r="AG75" s="81"/>
      <c r="AH75" s="81"/>
      <c r="AI75" s="81" t="s">
        <v>2091</v>
      </c>
      <c r="AJ75" s="85">
        <v>43579.23490740741</v>
      </c>
      <c r="AK75" s="83" t="str">
        <f>HYPERLINK("https://yt3.ggpht.com/BOENxffS5u7zAAFRxDIF4-Vz1_zy9-kAaOvaPTMwKgH27DNNO9DLw_2NxYcpjl1T3cDDUoCI=s88-c-k-c0x00ffffff-no-rj")</f>
        <v>https://yt3.ggpht.com/BOENxffS5u7zAAFRxDIF4-Vz1_zy9-kAaOvaPTMwKgH27DNNO9DLw_2NxYcpjl1T3cDDUoCI=s88-c-k-c0x00ffffff-no-rj</v>
      </c>
      <c r="AL75" s="81">
        <v>0</v>
      </c>
      <c r="AM75" s="81">
        <v>0</v>
      </c>
      <c r="AN75" s="81">
        <v>20</v>
      </c>
      <c r="AO75" s="81" t="b">
        <v>0</v>
      </c>
      <c r="AP75" s="81">
        <v>0</v>
      </c>
      <c r="AQ75" s="81"/>
      <c r="AR75" s="81"/>
      <c r="AS75" s="81" t="s">
        <v>2571</v>
      </c>
      <c r="AT75" s="83" t="str">
        <f>HYPERLINK("https://www.youtube.com/channel/UC_Nur1oBlns6HSWK9rI9_vw")</f>
        <v>https://www.youtube.com/channel/UC_Nur1oBlns6HSWK9rI9_vw</v>
      </c>
      <c r="AU75" s="81">
        <v>4</v>
      </c>
      <c r="AV75" s="49">
        <v>0</v>
      </c>
      <c r="AW75" s="50">
        <v>0</v>
      </c>
      <c r="AX75" s="49">
        <v>0</v>
      </c>
      <c r="AY75" s="50">
        <v>0</v>
      </c>
      <c r="AZ75" s="49">
        <v>0</v>
      </c>
      <c r="BA75" s="50">
        <v>0</v>
      </c>
      <c r="BB75" s="49">
        <v>0</v>
      </c>
      <c r="BC75" s="50">
        <v>0</v>
      </c>
      <c r="BD75" s="49">
        <v>0</v>
      </c>
      <c r="BE75" s="49"/>
      <c r="BF75" s="49"/>
      <c r="BG75" s="49"/>
      <c r="BH75" s="49"/>
      <c r="BI75" s="49"/>
      <c r="BJ75" s="49"/>
      <c r="BK75" s="115" t="s">
        <v>4477</v>
      </c>
      <c r="BL75" s="115" t="s">
        <v>4477</v>
      </c>
      <c r="BM75" s="115" t="s">
        <v>4477</v>
      </c>
      <c r="BN75" s="115" t="s">
        <v>4477</v>
      </c>
      <c r="BO75" s="2"/>
      <c r="BP75" s="3"/>
      <c r="BQ75" s="3"/>
      <c r="BR75" s="3"/>
      <c r="BS75" s="3"/>
    </row>
    <row r="76" spans="1:71" ht="15">
      <c r="A76" s="66" t="s">
        <v>355</v>
      </c>
      <c r="B76" s="67"/>
      <c r="C76" s="67"/>
      <c r="D76" s="68">
        <v>1000</v>
      </c>
      <c r="E76" s="70"/>
      <c r="F76" s="102" t="str">
        <f>HYPERLINK("https://yt3.ggpht.com/ytc/AOPolaRnZasw83Ughed98np7g4umeAT3knd1v6folvI3TQ=s88-c-k-c0x00ffffff-no-rj")</f>
        <v>https://yt3.ggpht.com/ytc/AOPolaRnZasw83Ughed98np7g4umeAT3knd1v6folvI3TQ=s88-c-k-c0x00ffffff-no-rj</v>
      </c>
      <c r="G76" s="67"/>
      <c r="H76" s="71" t="s">
        <v>1891</v>
      </c>
      <c r="I76" s="72"/>
      <c r="J76" s="72" t="s">
        <v>75</v>
      </c>
      <c r="K76" s="71" t="s">
        <v>1891</v>
      </c>
      <c r="L76" s="75">
        <v>1000.5357123975681</v>
      </c>
      <c r="M76" s="76">
        <v>8121.66015625</v>
      </c>
      <c r="N76" s="76">
        <v>5238.09716796875</v>
      </c>
      <c r="O76" s="77"/>
      <c r="P76" s="78"/>
      <c r="Q76" s="78"/>
      <c r="R76" s="88"/>
      <c r="S76" s="49">
        <v>63</v>
      </c>
      <c r="T76" s="49">
        <v>1</v>
      </c>
      <c r="U76" s="50">
        <v>3782</v>
      </c>
      <c r="V76" s="50">
        <v>0.112727</v>
      </c>
      <c r="W76" s="50">
        <v>0</v>
      </c>
      <c r="X76" s="50">
        <v>0.016289</v>
      </c>
      <c r="Y76" s="50">
        <v>0</v>
      </c>
      <c r="Z76" s="50">
        <v>0</v>
      </c>
      <c r="AA76" s="73">
        <v>76</v>
      </c>
      <c r="AB76" s="73"/>
      <c r="AC76" s="74"/>
      <c r="AD76" s="81" t="s">
        <v>1891</v>
      </c>
      <c r="AE76" s="81" t="s">
        <v>1928</v>
      </c>
      <c r="AF76" s="81"/>
      <c r="AG76" s="81"/>
      <c r="AH76" s="81"/>
      <c r="AI76" s="81" t="s">
        <v>2092</v>
      </c>
      <c r="AJ76" s="85">
        <v>42977.87598379629</v>
      </c>
      <c r="AK76" s="83" t="str">
        <f>HYPERLINK("https://yt3.ggpht.com/ytc/AOPolaRnZasw83Ughed98np7g4umeAT3knd1v6folvI3TQ=s88-c-k-c0x00ffffff-no-rj")</f>
        <v>https://yt3.ggpht.com/ytc/AOPolaRnZasw83Ughed98np7g4umeAT3knd1v6folvI3TQ=s88-c-k-c0x00ffffff-no-rj</v>
      </c>
      <c r="AL76" s="81">
        <v>89975248</v>
      </c>
      <c r="AM76" s="81">
        <v>0</v>
      </c>
      <c r="AN76" s="81">
        <v>693000</v>
      </c>
      <c r="AO76" s="81" t="b">
        <v>0</v>
      </c>
      <c r="AP76" s="81">
        <v>1481</v>
      </c>
      <c r="AQ76" s="81"/>
      <c r="AR76" s="81"/>
      <c r="AS76" s="81" t="s">
        <v>2571</v>
      </c>
      <c r="AT76" s="83" t="str">
        <f>HYPERLINK("https://www.youtube.com/channel/UCN3kEN9f6Jas3E5aMl4qfeg")</f>
        <v>https://www.youtube.com/channel/UCN3kEN9f6Jas3E5aMl4qfeg</v>
      </c>
      <c r="AU76" s="81">
        <v>4</v>
      </c>
      <c r="AV76" s="49"/>
      <c r="AW76" s="50"/>
      <c r="AX76" s="49"/>
      <c r="AY76" s="50"/>
      <c r="AZ76" s="49"/>
      <c r="BA76" s="50"/>
      <c r="BB76" s="49"/>
      <c r="BC76" s="50"/>
      <c r="BD76" s="49"/>
      <c r="BE76" s="49"/>
      <c r="BF76" s="49"/>
      <c r="BG76" s="49"/>
      <c r="BH76" s="49"/>
      <c r="BI76" s="49"/>
      <c r="BJ76" s="49"/>
      <c r="BK76" s="115" t="s">
        <v>4477</v>
      </c>
      <c r="BL76" s="115" t="s">
        <v>4477</v>
      </c>
      <c r="BM76" s="115" t="s">
        <v>4477</v>
      </c>
      <c r="BN76" s="115" t="s">
        <v>4477</v>
      </c>
      <c r="BO76" s="2"/>
      <c r="BP76" s="3"/>
      <c r="BQ76" s="3"/>
      <c r="BR76" s="3"/>
      <c r="BS76" s="3"/>
    </row>
    <row r="77" spans="1:71" ht="15">
      <c r="A77" s="66" t="s">
        <v>295</v>
      </c>
      <c r="B77" s="67"/>
      <c r="C77" s="67"/>
      <c r="D77" s="68">
        <v>150</v>
      </c>
      <c r="E77" s="70"/>
      <c r="F77" s="102" t="str">
        <f>HYPERLINK("https://yt3.ggpht.com/FtfZ7nEBZfWh8Pqy9-PFm5rTxsIAvxbiMpO2sf8K_WH78m8Db8WyvNLdo1lyWtuG04EKX_-Kxg=s88-c-k-c0x00ffffff-no-rj")</f>
        <v>https://yt3.ggpht.com/FtfZ7nEBZfWh8Pqy9-PFm5rTxsIAvxbiMpO2sf8K_WH78m8Db8WyvNLdo1lyWtuG04EKX_-Kxg=s88-c-k-c0x00ffffff-no-rj</v>
      </c>
      <c r="G77" s="67"/>
      <c r="H77" s="71" t="s">
        <v>1372</v>
      </c>
      <c r="I77" s="72"/>
      <c r="J77" s="72" t="s">
        <v>159</v>
      </c>
      <c r="K77" s="71" t="s">
        <v>1372</v>
      </c>
      <c r="L77" s="75">
        <v>1</v>
      </c>
      <c r="M77" s="76">
        <v>8361.337890625</v>
      </c>
      <c r="N77" s="76">
        <v>3851.564453125</v>
      </c>
      <c r="O77" s="77"/>
      <c r="P77" s="78"/>
      <c r="Q77" s="78"/>
      <c r="R77" s="88"/>
      <c r="S77" s="49">
        <v>0</v>
      </c>
      <c r="T77" s="49">
        <v>1</v>
      </c>
      <c r="U77" s="50">
        <v>0</v>
      </c>
      <c r="V77" s="50">
        <v>0.056822</v>
      </c>
      <c r="W77" s="50">
        <v>0</v>
      </c>
      <c r="X77" s="50">
        <v>0.001581</v>
      </c>
      <c r="Y77" s="50">
        <v>0</v>
      </c>
      <c r="Z77" s="50">
        <v>0</v>
      </c>
      <c r="AA77" s="73">
        <v>77</v>
      </c>
      <c r="AB77" s="73"/>
      <c r="AC77" s="74"/>
      <c r="AD77" s="81" t="s">
        <v>1372</v>
      </c>
      <c r="AE77" s="81"/>
      <c r="AF77" s="81"/>
      <c r="AG77" s="81"/>
      <c r="AH77" s="81"/>
      <c r="AI77" s="81" t="s">
        <v>2093</v>
      </c>
      <c r="AJ77" s="85">
        <v>44454.422476851854</v>
      </c>
      <c r="AK77" s="83" t="str">
        <f>HYPERLINK("https://yt3.ggpht.com/FtfZ7nEBZfWh8Pqy9-PFm5rTxsIAvxbiMpO2sf8K_WH78m8Db8WyvNLdo1lyWtuG04EKX_-Kxg=s88-c-k-c0x00ffffff-no-rj")</f>
        <v>https://yt3.ggpht.com/FtfZ7nEBZfWh8Pqy9-PFm5rTxsIAvxbiMpO2sf8K_WH78m8Db8WyvNLdo1lyWtuG04EKX_-Kxg=s88-c-k-c0x00ffffff-no-rj</v>
      </c>
      <c r="AL77" s="81">
        <v>3512</v>
      </c>
      <c r="AM77" s="81">
        <v>0</v>
      </c>
      <c r="AN77" s="81">
        <v>176</v>
      </c>
      <c r="AO77" s="81" t="b">
        <v>0</v>
      </c>
      <c r="AP77" s="81">
        <v>4</v>
      </c>
      <c r="AQ77" s="81"/>
      <c r="AR77" s="81"/>
      <c r="AS77" s="81" t="s">
        <v>2571</v>
      </c>
      <c r="AT77" s="83" t="str">
        <f>HYPERLINK("https://www.youtube.com/channel/UCwHDDjfIl0VwnHgP9PnH3bQ")</f>
        <v>https://www.youtube.com/channel/UCwHDDjfIl0VwnHgP9PnH3bQ</v>
      </c>
      <c r="AU77" s="81">
        <v>4</v>
      </c>
      <c r="AV77" s="49">
        <v>1</v>
      </c>
      <c r="AW77" s="50">
        <v>8.333333333333334</v>
      </c>
      <c r="AX77" s="49">
        <v>0</v>
      </c>
      <c r="AY77" s="50">
        <v>0</v>
      </c>
      <c r="AZ77" s="49">
        <v>0</v>
      </c>
      <c r="BA77" s="50">
        <v>0</v>
      </c>
      <c r="BB77" s="49">
        <v>4</v>
      </c>
      <c r="BC77" s="50">
        <v>33.333333333333336</v>
      </c>
      <c r="BD77" s="49">
        <v>12</v>
      </c>
      <c r="BE77" s="49"/>
      <c r="BF77" s="49"/>
      <c r="BG77" s="49"/>
      <c r="BH77" s="49"/>
      <c r="BI77" s="49"/>
      <c r="BJ77" s="49"/>
      <c r="BK77" s="115" t="s">
        <v>2627</v>
      </c>
      <c r="BL77" s="115" t="s">
        <v>2627</v>
      </c>
      <c r="BM77" s="115" t="s">
        <v>3106</v>
      </c>
      <c r="BN77" s="115" t="s">
        <v>3106</v>
      </c>
      <c r="BO77" s="2"/>
      <c r="BP77" s="3"/>
      <c r="BQ77" s="3"/>
      <c r="BR77" s="3"/>
      <c r="BS77" s="3"/>
    </row>
    <row r="78" spans="1:71" ht="15">
      <c r="A78" s="66" t="s">
        <v>296</v>
      </c>
      <c r="B78" s="67"/>
      <c r="C78" s="67"/>
      <c r="D78" s="68">
        <v>150</v>
      </c>
      <c r="E78" s="70"/>
      <c r="F78" s="102" t="str">
        <f>HYPERLINK("https://yt3.ggpht.com/O_lHUhsBUq1Lad45nDloMLJ66lh3imTBWi0xBL3N5x5ZyIa02P4WWQ6ZR4GEJM8em54vVoAs=s88-c-k-c0x00ffffff-no-rj")</f>
        <v>https://yt3.ggpht.com/O_lHUhsBUq1Lad45nDloMLJ66lh3imTBWi0xBL3N5x5ZyIa02P4WWQ6ZR4GEJM8em54vVoAs=s88-c-k-c0x00ffffff-no-rj</v>
      </c>
      <c r="G78" s="67"/>
      <c r="H78" s="71" t="s">
        <v>1373</v>
      </c>
      <c r="I78" s="72"/>
      <c r="J78" s="72" t="s">
        <v>159</v>
      </c>
      <c r="K78" s="71" t="s">
        <v>1373</v>
      </c>
      <c r="L78" s="75">
        <v>1</v>
      </c>
      <c r="M78" s="76">
        <v>6724.900390625</v>
      </c>
      <c r="N78" s="76">
        <v>4839.2470703125</v>
      </c>
      <c r="O78" s="77"/>
      <c r="P78" s="78"/>
      <c r="Q78" s="78"/>
      <c r="R78" s="88"/>
      <c r="S78" s="49">
        <v>0</v>
      </c>
      <c r="T78" s="49">
        <v>1</v>
      </c>
      <c r="U78" s="50">
        <v>0</v>
      </c>
      <c r="V78" s="50">
        <v>0.056822</v>
      </c>
      <c r="W78" s="50">
        <v>0</v>
      </c>
      <c r="X78" s="50">
        <v>0.001581</v>
      </c>
      <c r="Y78" s="50">
        <v>0</v>
      </c>
      <c r="Z78" s="50">
        <v>0</v>
      </c>
      <c r="AA78" s="73">
        <v>78</v>
      </c>
      <c r="AB78" s="73"/>
      <c r="AC78" s="74"/>
      <c r="AD78" s="81" t="s">
        <v>1373</v>
      </c>
      <c r="AE78" s="81"/>
      <c r="AF78" s="81"/>
      <c r="AG78" s="81"/>
      <c r="AH78" s="81"/>
      <c r="AI78" s="81" t="s">
        <v>2094</v>
      </c>
      <c r="AJ78" s="85">
        <v>44515.08427083334</v>
      </c>
      <c r="AK78" s="83" t="str">
        <f>HYPERLINK("https://yt3.ggpht.com/O_lHUhsBUq1Lad45nDloMLJ66lh3imTBWi0xBL3N5x5ZyIa02P4WWQ6ZR4GEJM8em54vVoAs=s88-c-k-c0x00ffffff-no-rj")</f>
        <v>https://yt3.ggpht.com/O_lHUhsBUq1Lad45nDloMLJ66lh3imTBWi0xBL3N5x5ZyIa02P4WWQ6ZR4GEJM8em54vVoAs=s88-c-k-c0x00ffffff-no-rj</v>
      </c>
      <c r="AL78" s="81">
        <v>0</v>
      </c>
      <c r="AM78" s="81">
        <v>0</v>
      </c>
      <c r="AN78" s="81">
        <v>0</v>
      </c>
      <c r="AO78" s="81" t="b">
        <v>0</v>
      </c>
      <c r="AP78" s="81">
        <v>0</v>
      </c>
      <c r="AQ78" s="81"/>
      <c r="AR78" s="81"/>
      <c r="AS78" s="81" t="s">
        <v>2571</v>
      </c>
      <c r="AT78" s="83" t="str">
        <f>HYPERLINK("https://www.youtube.com/channel/UCZ0JT-tgxNOK-3c-g5yHufA")</f>
        <v>https://www.youtube.com/channel/UCZ0JT-tgxNOK-3c-g5yHufA</v>
      </c>
      <c r="AU78" s="81">
        <v>4</v>
      </c>
      <c r="AV78" s="49">
        <v>0</v>
      </c>
      <c r="AW78" s="50">
        <v>0</v>
      </c>
      <c r="AX78" s="49">
        <v>0</v>
      </c>
      <c r="AY78" s="50">
        <v>0</v>
      </c>
      <c r="AZ78" s="49">
        <v>0</v>
      </c>
      <c r="BA78" s="50">
        <v>0</v>
      </c>
      <c r="BB78" s="49">
        <v>8</v>
      </c>
      <c r="BC78" s="50">
        <v>57.142857142857146</v>
      </c>
      <c r="BD78" s="49">
        <v>14</v>
      </c>
      <c r="BE78" s="49"/>
      <c r="BF78" s="49"/>
      <c r="BG78" s="49"/>
      <c r="BH78" s="49"/>
      <c r="BI78" s="49"/>
      <c r="BJ78" s="49"/>
      <c r="BK78" s="115" t="s">
        <v>2628</v>
      </c>
      <c r="BL78" s="115" t="s">
        <v>2628</v>
      </c>
      <c r="BM78" s="115" t="s">
        <v>3107</v>
      </c>
      <c r="BN78" s="115" t="s">
        <v>3107</v>
      </c>
      <c r="BO78" s="2"/>
      <c r="BP78" s="3"/>
      <c r="BQ78" s="3"/>
      <c r="BR78" s="3"/>
      <c r="BS78" s="3"/>
    </row>
    <row r="79" spans="1:71" ht="15">
      <c r="A79" s="66" t="s">
        <v>297</v>
      </c>
      <c r="B79" s="67"/>
      <c r="C79" s="67"/>
      <c r="D79" s="68">
        <v>150</v>
      </c>
      <c r="E79" s="70"/>
      <c r="F79" s="102" t="str">
        <f>HYPERLINK("https://yt3.ggpht.com/ytc/AOPolaTXxoCAuYFzFmTecn-qfWh59PWbox46b--rEA=s88-c-k-c0x00ffffff-no-rj")</f>
        <v>https://yt3.ggpht.com/ytc/AOPolaTXxoCAuYFzFmTecn-qfWh59PWbox46b--rEA=s88-c-k-c0x00ffffff-no-rj</v>
      </c>
      <c r="G79" s="67"/>
      <c r="H79" s="71" t="s">
        <v>1374</v>
      </c>
      <c r="I79" s="72"/>
      <c r="J79" s="72" t="s">
        <v>159</v>
      </c>
      <c r="K79" s="71" t="s">
        <v>1374</v>
      </c>
      <c r="L79" s="75">
        <v>1</v>
      </c>
      <c r="M79" s="76">
        <v>9181.837890625</v>
      </c>
      <c r="N79" s="76">
        <v>4394.84765625</v>
      </c>
      <c r="O79" s="77"/>
      <c r="P79" s="78"/>
      <c r="Q79" s="78"/>
      <c r="R79" s="88"/>
      <c r="S79" s="49">
        <v>0</v>
      </c>
      <c r="T79" s="49">
        <v>1</v>
      </c>
      <c r="U79" s="50">
        <v>0</v>
      </c>
      <c r="V79" s="50">
        <v>0.056822</v>
      </c>
      <c r="W79" s="50">
        <v>0</v>
      </c>
      <c r="X79" s="50">
        <v>0.001581</v>
      </c>
      <c r="Y79" s="50">
        <v>0</v>
      </c>
      <c r="Z79" s="50">
        <v>0</v>
      </c>
      <c r="AA79" s="73">
        <v>79</v>
      </c>
      <c r="AB79" s="73"/>
      <c r="AC79" s="74"/>
      <c r="AD79" s="81" t="s">
        <v>1374</v>
      </c>
      <c r="AE79" s="81"/>
      <c r="AF79" s="81"/>
      <c r="AG79" s="81"/>
      <c r="AH79" s="81"/>
      <c r="AI79" s="81" t="s">
        <v>2095</v>
      </c>
      <c r="AJ79" s="85">
        <v>42792.30369212963</v>
      </c>
      <c r="AK79" s="83" t="str">
        <f>HYPERLINK("https://yt3.ggpht.com/ytc/AOPolaTXxoCAuYFzFmTecn-qfWh59PWbox46b--rEA=s88-c-k-c0x00ffffff-no-rj")</f>
        <v>https://yt3.ggpht.com/ytc/AOPolaTXxoCAuYFzFmTecn-qfWh59PWbox46b--rEA=s88-c-k-c0x00ffffff-no-rj</v>
      </c>
      <c r="AL79" s="81">
        <v>0</v>
      </c>
      <c r="AM79" s="81">
        <v>0</v>
      </c>
      <c r="AN79" s="81">
        <v>1</v>
      </c>
      <c r="AO79" s="81" t="b">
        <v>0</v>
      </c>
      <c r="AP79" s="81">
        <v>0</v>
      </c>
      <c r="AQ79" s="81"/>
      <c r="AR79" s="81"/>
      <c r="AS79" s="81" t="s">
        <v>2571</v>
      </c>
      <c r="AT79" s="83" t="str">
        <f>HYPERLINK("https://www.youtube.com/channel/UCYJ3Hgk0kkBCog2Q9Z9Dh-g")</f>
        <v>https://www.youtube.com/channel/UCYJ3Hgk0kkBCog2Q9Z9Dh-g</v>
      </c>
      <c r="AU79" s="81">
        <v>4</v>
      </c>
      <c r="AV79" s="49">
        <v>1</v>
      </c>
      <c r="AW79" s="50">
        <v>12.5</v>
      </c>
      <c r="AX79" s="49">
        <v>0</v>
      </c>
      <c r="AY79" s="50">
        <v>0</v>
      </c>
      <c r="AZ79" s="49">
        <v>0</v>
      </c>
      <c r="BA79" s="50">
        <v>0</v>
      </c>
      <c r="BB79" s="49">
        <v>2</v>
      </c>
      <c r="BC79" s="50">
        <v>25</v>
      </c>
      <c r="BD79" s="49">
        <v>8</v>
      </c>
      <c r="BE79" s="49"/>
      <c r="BF79" s="49"/>
      <c r="BG79" s="49"/>
      <c r="BH79" s="49"/>
      <c r="BI79" s="49"/>
      <c r="BJ79" s="49"/>
      <c r="BK79" s="115" t="s">
        <v>2629</v>
      </c>
      <c r="BL79" s="115" t="s">
        <v>2629</v>
      </c>
      <c r="BM79" s="115" t="s">
        <v>3108</v>
      </c>
      <c r="BN79" s="115" t="s">
        <v>3108</v>
      </c>
      <c r="BO79" s="2"/>
      <c r="BP79" s="3"/>
      <c r="BQ79" s="3"/>
      <c r="BR79" s="3"/>
      <c r="BS79" s="3"/>
    </row>
    <row r="80" spans="1:71" ht="15">
      <c r="A80" s="66" t="s">
        <v>298</v>
      </c>
      <c r="B80" s="67"/>
      <c r="C80" s="67"/>
      <c r="D80" s="68">
        <v>150</v>
      </c>
      <c r="E80" s="70"/>
      <c r="F80" s="102" t="str">
        <f>HYPERLINK("https://yt3.ggpht.com/kT2ewBOmxzPLDhpoI-LqDVEGZ7JoHA4H8gA1W6gOTy4zeKKIsayoY93uIP3LNWTdVh5hT4J3=s88-c-k-c0x00ffffff-no-rj")</f>
        <v>https://yt3.ggpht.com/kT2ewBOmxzPLDhpoI-LqDVEGZ7JoHA4H8gA1W6gOTy4zeKKIsayoY93uIP3LNWTdVh5hT4J3=s88-c-k-c0x00ffffff-no-rj</v>
      </c>
      <c r="G80" s="67"/>
      <c r="H80" s="71" t="s">
        <v>1375</v>
      </c>
      <c r="I80" s="72"/>
      <c r="J80" s="72" t="s">
        <v>159</v>
      </c>
      <c r="K80" s="71" t="s">
        <v>1375</v>
      </c>
      <c r="L80" s="75">
        <v>1</v>
      </c>
      <c r="M80" s="76">
        <v>7426.359375</v>
      </c>
      <c r="N80" s="76">
        <v>5416.326171875</v>
      </c>
      <c r="O80" s="77"/>
      <c r="P80" s="78"/>
      <c r="Q80" s="78"/>
      <c r="R80" s="88"/>
      <c r="S80" s="49">
        <v>0</v>
      </c>
      <c r="T80" s="49">
        <v>1</v>
      </c>
      <c r="U80" s="50">
        <v>0</v>
      </c>
      <c r="V80" s="50">
        <v>0.056822</v>
      </c>
      <c r="W80" s="50">
        <v>0</v>
      </c>
      <c r="X80" s="50">
        <v>0.001581</v>
      </c>
      <c r="Y80" s="50">
        <v>0</v>
      </c>
      <c r="Z80" s="50">
        <v>0</v>
      </c>
      <c r="AA80" s="73">
        <v>80</v>
      </c>
      <c r="AB80" s="73"/>
      <c r="AC80" s="74"/>
      <c r="AD80" s="81" t="s">
        <v>1375</v>
      </c>
      <c r="AE80" s="81" t="s">
        <v>1929</v>
      </c>
      <c r="AF80" s="81"/>
      <c r="AG80" s="81"/>
      <c r="AH80" s="81"/>
      <c r="AI80" s="81" t="s">
        <v>2096</v>
      </c>
      <c r="AJ80" s="85">
        <v>44002.1512037037</v>
      </c>
      <c r="AK80" s="83" t="str">
        <f>HYPERLINK("https://yt3.ggpht.com/kT2ewBOmxzPLDhpoI-LqDVEGZ7JoHA4H8gA1W6gOTy4zeKKIsayoY93uIP3LNWTdVh5hT4J3=s88-c-k-c0x00ffffff-no-rj")</f>
        <v>https://yt3.ggpht.com/kT2ewBOmxzPLDhpoI-LqDVEGZ7JoHA4H8gA1W6gOTy4zeKKIsayoY93uIP3LNWTdVh5hT4J3=s88-c-k-c0x00ffffff-no-rj</v>
      </c>
      <c r="AL80" s="81">
        <v>613</v>
      </c>
      <c r="AM80" s="81">
        <v>0</v>
      </c>
      <c r="AN80" s="81">
        <v>33</v>
      </c>
      <c r="AO80" s="81" t="b">
        <v>0</v>
      </c>
      <c r="AP80" s="81">
        <v>4</v>
      </c>
      <c r="AQ80" s="81"/>
      <c r="AR80" s="81"/>
      <c r="AS80" s="81" t="s">
        <v>2571</v>
      </c>
      <c r="AT80" s="83" t="str">
        <f>HYPERLINK("https://www.youtube.com/channel/UC7leX0JJWsaBD7t-ZgGQnhA")</f>
        <v>https://www.youtube.com/channel/UC7leX0JJWsaBD7t-ZgGQnhA</v>
      </c>
      <c r="AU80" s="81">
        <v>4</v>
      </c>
      <c r="AV80" s="49">
        <v>1</v>
      </c>
      <c r="AW80" s="50">
        <v>14.285714285714286</v>
      </c>
      <c r="AX80" s="49">
        <v>0</v>
      </c>
      <c r="AY80" s="50">
        <v>0</v>
      </c>
      <c r="AZ80" s="49">
        <v>0</v>
      </c>
      <c r="BA80" s="50">
        <v>0</v>
      </c>
      <c r="BB80" s="49">
        <v>2</v>
      </c>
      <c r="BC80" s="50">
        <v>28.571428571428573</v>
      </c>
      <c r="BD80" s="49">
        <v>7</v>
      </c>
      <c r="BE80" s="49"/>
      <c r="BF80" s="49"/>
      <c r="BG80" s="49"/>
      <c r="BH80" s="49"/>
      <c r="BI80" s="49"/>
      <c r="BJ80" s="49"/>
      <c r="BK80" s="115" t="s">
        <v>2630</v>
      </c>
      <c r="BL80" s="115" t="s">
        <v>2630</v>
      </c>
      <c r="BM80" s="115" t="s">
        <v>3109</v>
      </c>
      <c r="BN80" s="115" t="s">
        <v>3109</v>
      </c>
      <c r="BO80" s="2"/>
      <c r="BP80" s="3"/>
      <c r="BQ80" s="3"/>
      <c r="BR80" s="3"/>
      <c r="BS80" s="3"/>
    </row>
    <row r="81" spans="1:71" ht="15">
      <c r="A81" s="66" t="s">
        <v>299</v>
      </c>
      <c r="B81" s="67"/>
      <c r="C81" s="67"/>
      <c r="D81" s="68">
        <v>150</v>
      </c>
      <c r="E81" s="70"/>
      <c r="F81" s="102" t="str">
        <f>HYPERLINK("https://yt3.ggpht.com/ytc/AOPolaRbLRF_sWNTjUNZGLJu7ALeBBdKmYOHTGaYCTmoCA=s88-c-k-c0x00ffffff-no-rj")</f>
        <v>https://yt3.ggpht.com/ytc/AOPolaRbLRF_sWNTjUNZGLJu7ALeBBdKmYOHTGaYCTmoCA=s88-c-k-c0x00ffffff-no-rj</v>
      </c>
      <c r="G81" s="67"/>
      <c r="H81" s="71" t="s">
        <v>1376</v>
      </c>
      <c r="I81" s="72"/>
      <c r="J81" s="72" t="s">
        <v>159</v>
      </c>
      <c r="K81" s="71" t="s">
        <v>1376</v>
      </c>
      <c r="L81" s="75">
        <v>1</v>
      </c>
      <c r="M81" s="76">
        <v>7474.3671875</v>
      </c>
      <c r="N81" s="76">
        <v>4804.7724609375</v>
      </c>
      <c r="O81" s="77"/>
      <c r="P81" s="78"/>
      <c r="Q81" s="78"/>
      <c r="R81" s="88"/>
      <c r="S81" s="49">
        <v>0</v>
      </c>
      <c r="T81" s="49">
        <v>1</v>
      </c>
      <c r="U81" s="50">
        <v>0</v>
      </c>
      <c r="V81" s="50">
        <v>0.056822</v>
      </c>
      <c r="W81" s="50">
        <v>0</v>
      </c>
      <c r="X81" s="50">
        <v>0.001581</v>
      </c>
      <c r="Y81" s="50">
        <v>0</v>
      </c>
      <c r="Z81" s="50">
        <v>0</v>
      </c>
      <c r="AA81" s="73">
        <v>81</v>
      </c>
      <c r="AB81" s="73"/>
      <c r="AC81" s="74"/>
      <c r="AD81" s="81" t="s">
        <v>1376</v>
      </c>
      <c r="AE81" s="81"/>
      <c r="AF81" s="81"/>
      <c r="AG81" s="81"/>
      <c r="AH81" s="81"/>
      <c r="AI81" s="81" t="s">
        <v>2097</v>
      </c>
      <c r="AJ81" s="85">
        <v>43884.9528125</v>
      </c>
      <c r="AK81" s="83" t="str">
        <f>HYPERLINK("https://yt3.ggpht.com/ytc/AOPolaRbLRF_sWNTjUNZGLJu7ALeBBdKmYOHTGaYCTmoCA=s88-c-k-c0x00ffffff-no-rj")</f>
        <v>https://yt3.ggpht.com/ytc/AOPolaRbLRF_sWNTjUNZGLJu7ALeBBdKmYOHTGaYCTmoCA=s88-c-k-c0x00ffffff-no-rj</v>
      </c>
      <c r="AL81" s="81">
        <v>0</v>
      </c>
      <c r="AM81" s="81">
        <v>0</v>
      </c>
      <c r="AN81" s="81">
        <v>0</v>
      </c>
      <c r="AO81" s="81" t="b">
        <v>0</v>
      </c>
      <c r="AP81" s="81">
        <v>0</v>
      </c>
      <c r="AQ81" s="81"/>
      <c r="AR81" s="81"/>
      <c r="AS81" s="81" t="s">
        <v>2571</v>
      </c>
      <c r="AT81" s="83" t="str">
        <f>HYPERLINK("https://www.youtube.com/channel/UCaJWmYVKjwZIrsmTazenl2A")</f>
        <v>https://www.youtube.com/channel/UCaJWmYVKjwZIrsmTazenl2A</v>
      </c>
      <c r="AU81" s="81">
        <v>4</v>
      </c>
      <c r="AV81" s="49">
        <v>0</v>
      </c>
      <c r="AW81" s="50">
        <v>0</v>
      </c>
      <c r="AX81" s="49">
        <v>0</v>
      </c>
      <c r="AY81" s="50">
        <v>0</v>
      </c>
      <c r="AZ81" s="49">
        <v>0</v>
      </c>
      <c r="BA81" s="50">
        <v>0</v>
      </c>
      <c r="BB81" s="49">
        <v>5</v>
      </c>
      <c r="BC81" s="50">
        <v>25</v>
      </c>
      <c r="BD81" s="49">
        <v>20</v>
      </c>
      <c r="BE81" s="49"/>
      <c r="BF81" s="49"/>
      <c r="BG81" s="49"/>
      <c r="BH81" s="49"/>
      <c r="BI81" s="49"/>
      <c r="BJ81" s="49"/>
      <c r="BK81" s="115" t="s">
        <v>2631</v>
      </c>
      <c r="BL81" s="115" t="s">
        <v>2631</v>
      </c>
      <c r="BM81" s="115" t="s">
        <v>3110</v>
      </c>
      <c r="BN81" s="115" t="s">
        <v>3110</v>
      </c>
      <c r="BO81" s="2"/>
      <c r="BP81" s="3"/>
      <c r="BQ81" s="3"/>
      <c r="BR81" s="3"/>
      <c r="BS81" s="3"/>
    </row>
    <row r="82" spans="1:71" ht="15">
      <c r="A82" s="66" t="s">
        <v>300</v>
      </c>
      <c r="B82" s="67"/>
      <c r="C82" s="67"/>
      <c r="D82" s="68">
        <v>150</v>
      </c>
      <c r="E82" s="70"/>
      <c r="F82" s="102" t="str">
        <f>HYPERLINK("https://yt3.ggpht.com/4ovszz_zkvqUH_lHOt30L3J_cxZDiaIuzCE9PBazhMhfgeAC2EAJWZcBzsmXQHVi3JVWYjhitA=s88-c-k-c0x00ffffff-no-rj")</f>
        <v>https://yt3.ggpht.com/4ovszz_zkvqUH_lHOt30L3J_cxZDiaIuzCE9PBazhMhfgeAC2EAJWZcBzsmXQHVi3JVWYjhitA=s88-c-k-c0x00ffffff-no-rj</v>
      </c>
      <c r="G82" s="67"/>
      <c r="H82" s="71" t="s">
        <v>1377</v>
      </c>
      <c r="I82" s="72"/>
      <c r="J82" s="72" t="s">
        <v>159</v>
      </c>
      <c r="K82" s="71" t="s">
        <v>1377</v>
      </c>
      <c r="L82" s="75">
        <v>1</v>
      </c>
      <c r="M82" s="76">
        <v>9865.08984375</v>
      </c>
      <c r="N82" s="76">
        <v>5049.74365234375</v>
      </c>
      <c r="O82" s="77"/>
      <c r="P82" s="78"/>
      <c r="Q82" s="78"/>
      <c r="R82" s="88"/>
      <c r="S82" s="49">
        <v>0</v>
      </c>
      <c r="T82" s="49">
        <v>1</v>
      </c>
      <c r="U82" s="50">
        <v>0</v>
      </c>
      <c r="V82" s="50">
        <v>0.056822</v>
      </c>
      <c r="W82" s="50">
        <v>0</v>
      </c>
      <c r="X82" s="50">
        <v>0.001581</v>
      </c>
      <c r="Y82" s="50">
        <v>0</v>
      </c>
      <c r="Z82" s="50">
        <v>0</v>
      </c>
      <c r="AA82" s="73">
        <v>82</v>
      </c>
      <c r="AB82" s="73"/>
      <c r="AC82" s="74"/>
      <c r="AD82" s="81" t="s">
        <v>1377</v>
      </c>
      <c r="AE82" s="81" t="s">
        <v>1930</v>
      </c>
      <c r="AF82" s="81"/>
      <c r="AG82" s="81"/>
      <c r="AH82" s="81"/>
      <c r="AI82" s="81" t="s">
        <v>2098</v>
      </c>
      <c r="AJ82" s="85">
        <v>44579.269270833334</v>
      </c>
      <c r="AK82" s="83" t="str">
        <f>HYPERLINK("https://yt3.ggpht.com/4ovszz_zkvqUH_lHOt30L3J_cxZDiaIuzCE9PBazhMhfgeAC2EAJWZcBzsmXQHVi3JVWYjhitA=s88-c-k-c0x00ffffff-no-rj")</f>
        <v>https://yt3.ggpht.com/4ovszz_zkvqUH_lHOt30L3J_cxZDiaIuzCE9PBazhMhfgeAC2EAJWZcBzsmXQHVi3JVWYjhitA=s88-c-k-c0x00ffffff-no-rj</v>
      </c>
      <c r="AL82" s="81">
        <v>2775</v>
      </c>
      <c r="AM82" s="81">
        <v>0</v>
      </c>
      <c r="AN82" s="81">
        <v>14</v>
      </c>
      <c r="AO82" s="81" t="b">
        <v>0</v>
      </c>
      <c r="AP82" s="81">
        <v>14</v>
      </c>
      <c r="AQ82" s="81"/>
      <c r="AR82" s="81"/>
      <c r="AS82" s="81" t="s">
        <v>2571</v>
      </c>
      <c r="AT82" s="83" t="str">
        <f>HYPERLINK("https://www.youtube.com/channel/UCBsqI3fVObBcipLKBLQWJOA")</f>
        <v>https://www.youtube.com/channel/UCBsqI3fVObBcipLKBLQWJOA</v>
      </c>
      <c r="AU82" s="81">
        <v>4</v>
      </c>
      <c r="AV82" s="49">
        <v>1</v>
      </c>
      <c r="AW82" s="50">
        <v>50</v>
      </c>
      <c r="AX82" s="49">
        <v>0</v>
      </c>
      <c r="AY82" s="50">
        <v>0</v>
      </c>
      <c r="AZ82" s="49">
        <v>0</v>
      </c>
      <c r="BA82" s="50">
        <v>0</v>
      </c>
      <c r="BB82" s="49">
        <v>0</v>
      </c>
      <c r="BC82" s="50">
        <v>0</v>
      </c>
      <c r="BD82" s="49">
        <v>2</v>
      </c>
      <c r="BE82" s="49"/>
      <c r="BF82" s="49"/>
      <c r="BG82" s="49"/>
      <c r="BH82" s="49"/>
      <c r="BI82" s="49"/>
      <c r="BJ82" s="49"/>
      <c r="BK82" s="115" t="s">
        <v>2632</v>
      </c>
      <c r="BL82" s="115" t="s">
        <v>2632</v>
      </c>
      <c r="BM82" s="115" t="s">
        <v>4477</v>
      </c>
      <c r="BN82" s="115" t="s">
        <v>4477</v>
      </c>
      <c r="BO82" s="2"/>
      <c r="BP82" s="3"/>
      <c r="BQ82" s="3"/>
      <c r="BR82" s="3"/>
      <c r="BS82" s="3"/>
    </row>
    <row r="83" spans="1:71" ht="15">
      <c r="A83" s="66" t="s">
        <v>301</v>
      </c>
      <c r="B83" s="67"/>
      <c r="C83" s="67"/>
      <c r="D83" s="68">
        <v>150</v>
      </c>
      <c r="E83" s="70"/>
      <c r="F83" s="102" t="str">
        <f>HYPERLINK("https://yt3.ggpht.com/ytc/AOPolaSulfDYr6aNzuzS6BfxKcpMGnHu-HFUjvZuR43izHNcHMHq_dGjWGCSRbpznMNt=s88-c-k-c0x00ffffff-no-rj")</f>
        <v>https://yt3.ggpht.com/ytc/AOPolaSulfDYr6aNzuzS6BfxKcpMGnHu-HFUjvZuR43izHNcHMHq_dGjWGCSRbpznMNt=s88-c-k-c0x00ffffff-no-rj</v>
      </c>
      <c r="G83" s="67"/>
      <c r="H83" s="71" t="s">
        <v>1378</v>
      </c>
      <c r="I83" s="72"/>
      <c r="J83" s="72" t="s">
        <v>159</v>
      </c>
      <c r="K83" s="71" t="s">
        <v>1378</v>
      </c>
      <c r="L83" s="75">
        <v>1</v>
      </c>
      <c r="M83" s="76">
        <v>9844.8203125</v>
      </c>
      <c r="N83" s="76">
        <v>4797.3798828125</v>
      </c>
      <c r="O83" s="77"/>
      <c r="P83" s="78"/>
      <c r="Q83" s="78"/>
      <c r="R83" s="88"/>
      <c r="S83" s="49">
        <v>0</v>
      </c>
      <c r="T83" s="49">
        <v>1</v>
      </c>
      <c r="U83" s="50">
        <v>0</v>
      </c>
      <c r="V83" s="50">
        <v>0.056822</v>
      </c>
      <c r="W83" s="50">
        <v>0</v>
      </c>
      <c r="X83" s="50">
        <v>0.001581</v>
      </c>
      <c r="Y83" s="50">
        <v>0</v>
      </c>
      <c r="Z83" s="50">
        <v>0</v>
      </c>
      <c r="AA83" s="73">
        <v>83</v>
      </c>
      <c r="AB83" s="73"/>
      <c r="AC83" s="74"/>
      <c r="AD83" s="81" t="s">
        <v>1378</v>
      </c>
      <c r="AE83" s="81"/>
      <c r="AF83" s="81"/>
      <c r="AG83" s="81"/>
      <c r="AH83" s="81"/>
      <c r="AI83" s="81" t="s">
        <v>2099</v>
      </c>
      <c r="AJ83" s="85">
        <v>44397.01627314815</v>
      </c>
      <c r="AK83" s="83" t="str">
        <f>HYPERLINK("https://yt3.ggpht.com/ytc/AOPolaSulfDYr6aNzuzS6BfxKcpMGnHu-HFUjvZuR43izHNcHMHq_dGjWGCSRbpznMNt=s88-c-k-c0x00ffffff-no-rj")</f>
        <v>https://yt3.ggpht.com/ytc/AOPolaSulfDYr6aNzuzS6BfxKcpMGnHu-HFUjvZuR43izHNcHMHq_dGjWGCSRbpznMNt=s88-c-k-c0x00ffffff-no-rj</v>
      </c>
      <c r="AL83" s="81">
        <v>0</v>
      </c>
      <c r="AM83" s="81">
        <v>0</v>
      </c>
      <c r="AN83" s="81">
        <v>1</v>
      </c>
      <c r="AO83" s="81" t="b">
        <v>0</v>
      </c>
      <c r="AP83" s="81">
        <v>0</v>
      </c>
      <c r="AQ83" s="81"/>
      <c r="AR83" s="81"/>
      <c r="AS83" s="81" t="s">
        <v>2571</v>
      </c>
      <c r="AT83" s="83" t="str">
        <f>HYPERLINK("https://www.youtube.com/channel/UCH8NcCr4ZE3Rn_YSjKvQ7aA")</f>
        <v>https://www.youtube.com/channel/UCH8NcCr4ZE3Rn_YSjKvQ7aA</v>
      </c>
      <c r="AU83" s="81">
        <v>4</v>
      </c>
      <c r="AV83" s="49">
        <v>0</v>
      </c>
      <c r="AW83" s="50">
        <v>0</v>
      </c>
      <c r="AX83" s="49">
        <v>0</v>
      </c>
      <c r="AY83" s="50">
        <v>0</v>
      </c>
      <c r="AZ83" s="49">
        <v>0</v>
      </c>
      <c r="BA83" s="50">
        <v>0</v>
      </c>
      <c r="BB83" s="49">
        <v>3</v>
      </c>
      <c r="BC83" s="50">
        <v>33.333333333333336</v>
      </c>
      <c r="BD83" s="49">
        <v>9</v>
      </c>
      <c r="BE83" s="49"/>
      <c r="BF83" s="49"/>
      <c r="BG83" s="49"/>
      <c r="BH83" s="49"/>
      <c r="BI83" s="49"/>
      <c r="BJ83" s="49"/>
      <c r="BK83" s="115" t="s">
        <v>2633</v>
      </c>
      <c r="BL83" s="115" t="s">
        <v>2633</v>
      </c>
      <c r="BM83" s="115" t="s">
        <v>3111</v>
      </c>
      <c r="BN83" s="115" t="s">
        <v>3111</v>
      </c>
      <c r="BO83" s="2"/>
      <c r="BP83" s="3"/>
      <c r="BQ83" s="3"/>
      <c r="BR83" s="3"/>
      <c r="BS83" s="3"/>
    </row>
    <row r="84" spans="1:71" ht="15">
      <c r="A84" s="66" t="s">
        <v>302</v>
      </c>
      <c r="B84" s="67"/>
      <c r="C84" s="67"/>
      <c r="D84" s="68">
        <v>150</v>
      </c>
      <c r="E84" s="70"/>
      <c r="F84" s="102" t="str">
        <f>HYPERLINK("https://yt3.ggpht.com/ytc/AOPolaS3-mq8sj8mHHbSKnseEouPZu4f6JTZ--e2MA=s88-c-k-c0x00ffffff-no-rj")</f>
        <v>https://yt3.ggpht.com/ytc/AOPolaS3-mq8sj8mHHbSKnseEouPZu4f6JTZ--e2MA=s88-c-k-c0x00ffffff-no-rj</v>
      </c>
      <c r="G84" s="67"/>
      <c r="H84" s="71" t="s">
        <v>1379</v>
      </c>
      <c r="I84" s="72"/>
      <c r="J84" s="72" t="s">
        <v>159</v>
      </c>
      <c r="K84" s="71" t="s">
        <v>1379</v>
      </c>
      <c r="L84" s="75">
        <v>1</v>
      </c>
      <c r="M84" s="76">
        <v>7700.755859375</v>
      </c>
      <c r="N84" s="76">
        <v>3890.587158203125</v>
      </c>
      <c r="O84" s="77"/>
      <c r="P84" s="78"/>
      <c r="Q84" s="78"/>
      <c r="R84" s="88"/>
      <c r="S84" s="49">
        <v>0</v>
      </c>
      <c r="T84" s="49">
        <v>1</v>
      </c>
      <c r="U84" s="50">
        <v>0</v>
      </c>
      <c r="V84" s="50">
        <v>0.056822</v>
      </c>
      <c r="W84" s="50">
        <v>0</v>
      </c>
      <c r="X84" s="50">
        <v>0.001581</v>
      </c>
      <c r="Y84" s="50">
        <v>0</v>
      </c>
      <c r="Z84" s="50">
        <v>0</v>
      </c>
      <c r="AA84" s="73">
        <v>84</v>
      </c>
      <c r="AB84" s="73"/>
      <c r="AC84" s="74"/>
      <c r="AD84" s="81" t="s">
        <v>1379</v>
      </c>
      <c r="AE84" s="81"/>
      <c r="AF84" s="81"/>
      <c r="AG84" s="81"/>
      <c r="AH84" s="81"/>
      <c r="AI84" s="81" t="s">
        <v>2100</v>
      </c>
      <c r="AJ84" s="85">
        <v>44325.268738425926</v>
      </c>
      <c r="AK84" s="83" t="str">
        <f>HYPERLINK("https://yt3.ggpht.com/ytc/AOPolaS3-mq8sj8mHHbSKnseEouPZu4f6JTZ--e2MA=s88-c-k-c0x00ffffff-no-rj")</f>
        <v>https://yt3.ggpht.com/ytc/AOPolaS3-mq8sj8mHHbSKnseEouPZu4f6JTZ--e2MA=s88-c-k-c0x00ffffff-no-rj</v>
      </c>
      <c r="AL84" s="81">
        <v>19</v>
      </c>
      <c r="AM84" s="81">
        <v>0</v>
      </c>
      <c r="AN84" s="81">
        <v>0</v>
      </c>
      <c r="AO84" s="81" t="b">
        <v>0</v>
      </c>
      <c r="AP84" s="81">
        <v>1</v>
      </c>
      <c r="AQ84" s="81"/>
      <c r="AR84" s="81"/>
      <c r="AS84" s="81" t="s">
        <v>2571</v>
      </c>
      <c r="AT84" s="83" t="str">
        <f>HYPERLINK("https://www.youtube.com/channel/UCNY7NCSlocFucxi6QAt2ASA")</f>
        <v>https://www.youtube.com/channel/UCNY7NCSlocFucxi6QAt2ASA</v>
      </c>
      <c r="AU84" s="81">
        <v>4</v>
      </c>
      <c r="AV84" s="49">
        <v>0</v>
      </c>
      <c r="AW84" s="50">
        <v>0</v>
      </c>
      <c r="AX84" s="49">
        <v>0</v>
      </c>
      <c r="AY84" s="50">
        <v>0</v>
      </c>
      <c r="AZ84" s="49">
        <v>0</v>
      </c>
      <c r="BA84" s="50">
        <v>0</v>
      </c>
      <c r="BB84" s="49">
        <v>7</v>
      </c>
      <c r="BC84" s="50">
        <v>33.333333333333336</v>
      </c>
      <c r="BD84" s="49">
        <v>21</v>
      </c>
      <c r="BE84" s="49"/>
      <c r="BF84" s="49"/>
      <c r="BG84" s="49"/>
      <c r="BH84" s="49"/>
      <c r="BI84" s="49"/>
      <c r="BJ84" s="49"/>
      <c r="BK84" s="115" t="s">
        <v>2634</v>
      </c>
      <c r="BL84" s="115" t="s">
        <v>2634</v>
      </c>
      <c r="BM84" s="115" t="s">
        <v>3112</v>
      </c>
      <c r="BN84" s="115" t="s">
        <v>3112</v>
      </c>
      <c r="BO84" s="2"/>
      <c r="BP84" s="3"/>
      <c r="BQ84" s="3"/>
      <c r="BR84" s="3"/>
      <c r="BS84" s="3"/>
    </row>
    <row r="85" spans="1:71" ht="15">
      <c r="A85" s="66" t="s">
        <v>303</v>
      </c>
      <c r="B85" s="67"/>
      <c r="C85" s="67"/>
      <c r="D85" s="68">
        <v>150</v>
      </c>
      <c r="E85" s="70"/>
      <c r="F85" s="102" t="str">
        <f>HYPERLINK("https://yt3.ggpht.com/Yje-3Iia9fYfC3aYHZuT60H3XJcC-JKgqHcFiQsiolunIiB248gG21E0uY5yY8ng3U0VtFUPNWM=s88-c-k-c0x00ffffff-no-rj")</f>
        <v>https://yt3.ggpht.com/Yje-3Iia9fYfC3aYHZuT60H3XJcC-JKgqHcFiQsiolunIiB248gG21E0uY5yY8ng3U0VtFUPNWM=s88-c-k-c0x00ffffff-no-rj</v>
      </c>
      <c r="G85" s="67"/>
      <c r="H85" s="71" t="s">
        <v>1380</v>
      </c>
      <c r="I85" s="72"/>
      <c r="J85" s="72" t="s">
        <v>159</v>
      </c>
      <c r="K85" s="71" t="s">
        <v>1380</v>
      </c>
      <c r="L85" s="75">
        <v>1</v>
      </c>
      <c r="M85" s="76">
        <v>7999.03857421875</v>
      </c>
      <c r="N85" s="76">
        <v>4841.5048828125</v>
      </c>
      <c r="O85" s="77"/>
      <c r="P85" s="78"/>
      <c r="Q85" s="78"/>
      <c r="R85" s="88"/>
      <c r="S85" s="49">
        <v>0</v>
      </c>
      <c r="T85" s="49">
        <v>1</v>
      </c>
      <c r="U85" s="50">
        <v>0</v>
      </c>
      <c r="V85" s="50">
        <v>0.056822</v>
      </c>
      <c r="W85" s="50">
        <v>0</v>
      </c>
      <c r="X85" s="50">
        <v>0.001581</v>
      </c>
      <c r="Y85" s="50">
        <v>0</v>
      </c>
      <c r="Z85" s="50">
        <v>0</v>
      </c>
      <c r="AA85" s="73">
        <v>85</v>
      </c>
      <c r="AB85" s="73"/>
      <c r="AC85" s="74"/>
      <c r="AD85" s="81" t="s">
        <v>1380</v>
      </c>
      <c r="AE85" s="81"/>
      <c r="AF85" s="81"/>
      <c r="AG85" s="81"/>
      <c r="AH85" s="81"/>
      <c r="AI85" s="81" t="s">
        <v>2101</v>
      </c>
      <c r="AJ85" s="85">
        <v>41547.09179398148</v>
      </c>
      <c r="AK85" s="83" t="str">
        <f>HYPERLINK("https://yt3.ggpht.com/Yje-3Iia9fYfC3aYHZuT60H3XJcC-JKgqHcFiQsiolunIiB248gG21E0uY5yY8ng3U0VtFUPNWM=s88-c-k-c0x00ffffff-no-rj")</f>
        <v>https://yt3.ggpht.com/Yje-3Iia9fYfC3aYHZuT60H3XJcC-JKgqHcFiQsiolunIiB248gG21E0uY5yY8ng3U0VtFUPNWM=s88-c-k-c0x00ffffff-no-rj</v>
      </c>
      <c r="AL85" s="81">
        <v>0</v>
      </c>
      <c r="AM85" s="81">
        <v>0</v>
      </c>
      <c r="AN85" s="81">
        <v>7</v>
      </c>
      <c r="AO85" s="81" t="b">
        <v>0</v>
      </c>
      <c r="AP85" s="81">
        <v>0</v>
      </c>
      <c r="AQ85" s="81"/>
      <c r="AR85" s="81"/>
      <c r="AS85" s="81" t="s">
        <v>2571</v>
      </c>
      <c r="AT85" s="83" t="str">
        <f>HYPERLINK("https://www.youtube.com/channel/UCC95lStYyTYfvksvOrTJQkw")</f>
        <v>https://www.youtube.com/channel/UCC95lStYyTYfvksvOrTJQkw</v>
      </c>
      <c r="AU85" s="81">
        <v>4</v>
      </c>
      <c r="AV85" s="49">
        <v>4</v>
      </c>
      <c r="AW85" s="50">
        <v>5.2631578947368425</v>
      </c>
      <c r="AX85" s="49">
        <v>2</v>
      </c>
      <c r="AY85" s="50">
        <v>2.6315789473684212</v>
      </c>
      <c r="AZ85" s="49">
        <v>0</v>
      </c>
      <c r="BA85" s="50">
        <v>0</v>
      </c>
      <c r="BB85" s="49">
        <v>8</v>
      </c>
      <c r="BC85" s="50">
        <v>10.526315789473685</v>
      </c>
      <c r="BD85" s="49">
        <v>76</v>
      </c>
      <c r="BE85" s="49"/>
      <c r="BF85" s="49"/>
      <c r="BG85" s="49"/>
      <c r="BH85" s="49"/>
      <c r="BI85" s="49"/>
      <c r="BJ85" s="49"/>
      <c r="BK85" s="115" t="s">
        <v>2635</v>
      </c>
      <c r="BL85" s="115" t="s">
        <v>2635</v>
      </c>
      <c r="BM85" s="115" t="s">
        <v>3113</v>
      </c>
      <c r="BN85" s="115" t="s">
        <v>3113</v>
      </c>
      <c r="BO85" s="2"/>
      <c r="BP85" s="3"/>
      <c r="BQ85" s="3"/>
      <c r="BR85" s="3"/>
      <c r="BS85" s="3"/>
    </row>
    <row r="86" spans="1:71" ht="15">
      <c r="A86" s="66" t="s">
        <v>304</v>
      </c>
      <c r="B86" s="67"/>
      <c r="C86" s="67"/>
      <c r="D86" s="68">
        <v>150</v>
      </c>
      <c r="E86" s="70"/>
      <c r="F86" s="102" t="str">
        <f>HYPERLINK("https://yt3.ggpht.com/ytc/AOPolaQf0-AtY8augQTYyAHhW7osH8y14nTfeLq6y9yofg=s88-c-k-c0x00ffffff-no-rj")</f>
        <v>https://yt3.ggpht.com/ytc/AOPolaQf0-AtY8augQTYyAHhW7osH8y14nTfeLq6y9yofg=s88-c-k-c0x00ffffff-no-rj</v>
      </c>
      <c r="G86" s="67"/>
      <c r="H86" s="71" t="s">
        <v>1381</v>
      </c>
      <c r="I86" s="72"/>
      <c r="J86" s="72" t="s">
        <v>159</v>
      </c>
      <c r="K86" s="71" t="s">
        <v>1381</v>
      </c>
      <c r="L86" s="75">
        <v>1</v>
      </c>
      <c r="M86" s="76">
        <v>9869.3115234375</v>
      </c>
      <c r="N86" s="76">
        <v>5534.828125</v>
      </c>
      <c r="O86" s="77"/>
      <c r="P86" s="78"/>
      <c r="Q86" s="78"/>
      <c r="R86" s="88"/>
      <c r="S86" s="49">
        <v>0</v>
      </c>
      <c r="T86" s="49">
        <v>1</v>
      </c>
      <c r="U86" s="50">
        <v>0</v>
      </c>
      <c r="V86" s="50">
        <v>0.056822</v>
      </c>
      <c r="W86" s="50">
        <v>0</v>
      </c>
      <c r="X86" s="50">
        <v>0.001581</v>
      </c>
      <c r="Y86" s="50">
        <v>0</v>
      </c>
      <c r="Z86" s="50">
        <v>0</v>
      </c>
      <c r="AA86" s="73">
        <v>86</v>
      </c>
      <c r="AB86" s="73"/>
      <c r="AC86" s="74"/>
      <c r="AD86" s="81" t="s">
        <v>1381</v>
      </c>
      <c r="AE86" s="81"/>
      <c r="AF86" s="81"/>
      <c r="AG86" s="81"/>
      <c r="AH86" s="81"/>
      <c r="AI86" s="81" t="s">
        <v>2102</v>
      </c>
      <c r="AJ86" s="85">
        <v>41449.89383101852</v>
      </c>
      <c r="AK86" s="83" t="str">
        <f>HYPERLINK("https://yt3.ggpht.com/ytc/AOPolaQf0-AtY8augQTYyAHhW7osH8y14nTfeLq6y9yofg=s88-c-k-c0x00ffffff-no-rj")</f>
        <v>https://yt3.ggpht.com/ytc/AOPolaQf0-AtY8augQTYyAHhW7osH8y14nTfeLq6y9yofg=s88-c-k-c0x00ffffff-no-rj</v>
      </c>
      <c r="AL86" s="81">
        <v>0</v>
      </c>
      <c r="AM86" s="81">
        <v>0</v>
      </c>
      <c r="AN86" s="81">
        <v>2</v>
      </c>
      <c r="AO86" s="81" t="b">
        <v>0</v>
      </c>
      <c r="AP86" s="81">
        <v>0</v>
      </c>
      <c r="AQ86" s="81"/>
      <c r="AR86" s="81"/>
      <c r="AS86" s="81" t="s">
        <v>2571</v>
      </c>
      <c r="AT86" s="83" t="str">
        <f>HYPERLINK("https://www.youtube.com/channel/UCaHPlF6yLHbXGI-3ioV7XMw")</f>
        <v>https://www.youtube.com/channel/UCaHPlF6yLHbXGI-3ioV7XMw</v>
      </c>
      <c r="AU86" s="81">
        <v>4</v>
      </c>
      <c r="AV86" s="49">
        <v>0</v>
      </c>
      <c r="AW86" s="50">
        <v>0</v>
      </c>
      <c r="AX86" s="49">
        <v>0</v>
      </c>
      <c r="AY86" s="50">
        <v>0</v>
      </c>
      <c r="AZ86" s="49">
        <v>0</v>
      </c>
      <c r="BA86" s="50">
        <v>0</v>
      </c>
      <c r="BB86" s="49">
        <v>4</v>
      </c>
      <c r="BC86" s="50">
        <v>66.66666666666667</v>
      </c>
      <c r="BD86" s="49">
        <v>6</v>
      </c>
      <c r="BE86" s="49"/>
      <c r="BF86" s="49"/>
      <c r="BG86" s="49"/>
      <c r="BH86" s="49"/>
      <c r="BI86" s="49"/>
      <c r="BJ86" s="49"/>
      <c r="BK86" s="115" t="s">
        <v>2636</v>
      </c>
      <c r="BL86" s="115" t="s">
        <v>2636</v>
      </c>
      <c r="BM86" s="115" t="s">
        <v>3114</v>
      </c>
      <c r="BN86" s="115" t="s">
        <v>3114</v>
      </c>
      <c r="BO86" s="2"/>
      <c r="BP86" s="3"/>
      <c r="BQ86" s="3"/>
      <c r="BR86" s="3"/>
      <c r="BS86" s="3"/>
    </row>
    <row r="87" spans="1:71" ht="15">
      <c r="A87" s="66" t="s">
        <v>305</v>
      </c>
      <c r="B87" s="67"/>
      <c r="C87" s="67"/>
      <c r="D87" s="68">
        <v>150</v>
      </c>
      <c r="E87" s="70"/>
      <c r="F87" s="102" t="str">
        <f>HYPERLINK("https://yt3.ggpht.com/VCHlCpnMjNJ2NfW_X1CC5OlmUiNieV9Q0Ikg4SXbpQppesBm9FXQIbNks90rbFCbLzinjTMI=s88-c-k-c0x00ffffff-no-rj")</f>
        <v>https://yt3.ggpht.com/VCHlCpnMjNJ2NfW_X1CC5OlmUiNieV9Q0Ikg4SXbpQppesBm9FXQIbNks90rbFCbLzinjTMI=s88-c-k-c0x00ffffff-no-rj</v>
      </c>
      <c r="G87" s="67"/>
      <c r="H87" s="71" t="s">
        <v>1382</v>
      </c>
      <c r="I87" s="72"/>
      <c r="J87" s="72" t="s">
        <v>159</v>
      </c>
      <c r="K87" s="71" t="s">
        <v>1382</v>
      </c>
      <c r="L87" s="75">
        <v>1</v>
      </c>
      <c r="M87" s="76">
        <v>8715.2685546875</v>
      </c>
      <c r="N87" s="76">
        <v>3878.177978515625</v>
      </c>
      <c r="O87" s="77"/>
      <c r="P87" s="78"/>
      <c r="Q87" s="78"/>
      <c r="R87" s="88"/>
      <c r="S87" s="49">
        <v>0</v>
      </c>
      <c r="T87" s="49">
        <v>1</v>
      </c>
      <c r="U87" s="50">
        <v>0</v>
      </c>
      <c r="V87" s="50">
        <v>0.056822</v>
      </c>
      <c r="W87" s="50">
        <v>0</v>
      </c>
      <c r="X87" s="50">
        <v>0.001581</v>
      </c>
      <c r="Y87" s="50">
        <v>0</v>
      </c>
      <c r="Z87" s="50">
        <v>0</v>
      </c>
      <c r="AA87" s="73">
        <v>87</v>
      </c>
      <c r="AB87" s="73"/>
      <c r="AC87" s="74"/>
      <c r="AD87" s="81" t="s">
        <v>1382</v>
      </c>
      <c r="AE87" s="81"/>
      <c r="AF87" s="81"/>
      <c r="AG87" s="81"/>
      <c r="AH87" s="81"/>
      <c r="AI87" s="81" t="s">
        <v>2103</v>
      </c>
      <c r="AJ87" s="85">
        <v>42518.54775462963</v>
      </c>
      <c r="AK87" s="83" t="str">
        <f>HYPERLINK("https://yt3.ggpht.com/VCHlCpnMjNJ2NfW_X1CC5OlmUiNieV9Q0Ikg4SXbpQppesBm9FXQIbNks90rbFCbLzinjTMI=s88-c-k-c0x00ffffff-no-rj")</f>
        <v>https://yt3.ggpht.com/VCHlCpnMjNJ2NfW_X1CC5OlmUiNieV9Q0Ikg4SXbpQppesBm9FXQIbNks90rbFCbLzinjTMI=s88-c-k-c0x00ffffff-no-rj</v>
      </c>
      <c r="AL87" s="81">
        <v>0</v>
      </c>
      <c r="AM87" s="81">
        <v>0</v>
      </c>
      <c r="AN87" s="81">
        <v>2</v>
      </c>
      <c r="AO87" s="81" t="b">
        <v>0</v>
      </c>
      <c r="AP87" s="81">
        <v>0</v>
      </c>
      <c r="AQ87" s="81"/>
      <c r="AR87" s="81"/>
      <c r="AS87" s="81" t="s">
        <v>2571</v>
      </c>
      <c r="AT87" s="83" t="str">
        <f>HYPERLINK("https://www.youtube.com/channel/UC8IYtRK5Gakqt5Fo5QYfWJg")</f>
        <v>https://www.youtube.com/channel/UC8IYtRK5Gakqt5Fo5QYfWJg</v>
      </c>
      <c r="AU87" s="81">
        <v>4</v>
      </c>
      <c r="AV87" s="49">
        <v>2</v>
      </c>
      <c r="AW87" s="50">
        <v>5.405405405405405</v>
      </c>
      <c r="AX87" s="49">
        <v>0</v>
      </c>
      <c r="AY87" s="50">
        <v>0</v>
      </c>
      <c r="AZ87" s="49">
        <v>0</v>
      </c>
      <c r="BA87" s="50">
        <v>0</v>
      </c>
      <c r="BB87" s="49">
        <v>14</v>
      </c>
      <c r="BC87" s="50">
        <v>37.83783783783784</v>
      </c>
      <c r="BD87" s="49">
        <v>37</v>
      </c>
      <c r="BE87" s="49"/>
      <c r="BF87" s="49"/>
      <c r="BG87" s="49"/>
      <c r="BH87" s="49"/>
      <c r="BI87" s="49"/>
      <c r="BJ87" s="49"/>
      <c r="BK87" s="115" t="s">
        <v>2637</v>
      </c>
      <c r="BL87" s="115" t="s">
        <v>2637</v>
      </c>
      <c r="BM87" s="115" t="s">
        <v>3115</v>
      </c>
      <c r="BN87" s="115" t="s">
        <v>3115</v>
      </c>
      <c r="BO87" s="2"/>
      <c r="BP87" s="3"/>
      <c r="BQ87" s="3"/>
      <c r="BR87" s="3"/>
      <c r="BS87" s="3"/>
    </row>
    <row r="88" spans="1:71" ht="15">
      <c r="A88" s="66" t="s">
        <v>306</v>
      </c>
      <c r="B88" s="67"/>
      <c r="C88" s="67"/>
      <c r="D88" s="68">
        <v>150</v>
      </c>
      <c r="E88" s="70"/>
      <c r="F88" s="102" t="str">
        <f>HYPERLINK("https://yt3.ggpht.com/ytc/AOPolaSf12Zy9EEbSPH8nvVNbNARJXqiDitlJxY_MPa-BQ=s88-c-k-c0x00ffffff-no-rj")</f>
        <v>https://yt3.ggpht.com/ytc/AOPolaSf12Zy9EEbSPH8nvVNbNARJXqiDitlJxY_MPa-BQ=s88-c-k-c0x00ffffff-no-rj</v>
      </c>
      <c r="G88" s="67"/>
      <c r="H88" s="71" t="s">
        <v>1383</v>
      </c>
      <c r="I88" s="72"/>
      <c r="J88" s="72" t="s">
        <v>159</v>
      </c>
      <c r="K88" s="71" t="s">
        <v>1383</v>
      </c>
      <c r="L88" s="75">
        <v>1</v>
      </c>
      <c r="M88" s="76">
        <v>8042.8916015625</v>
      </c>
      <c r="N88" s="76">
        <v>6630.34033203125</v>
      </c>
      <c r="O88" s="77"/>
      <c r="P88" s="78"/>
      <c r="Q88" s="78"/>
      <c r="R88" s="88"/>
      <c r="S88" s="49">
        <v>0</v>
      </c>
      <c r="T88" s="49">
        <v>1</v>
      </c>
      <c r="U88" s="50">
        <v>0</v>
      </c>
      <c r="V88" s="50">
        <v>0.056822</v>
      </c>
      <c r="W88" s="50">
        <v>0</v>
      </c>
      <c r="X88" s="50">
        <v>0.001581</v>
      </c>
      <c r="Y88" s="50">
        <v>0</v>
      </c>
      <c r="Z88" s="50">
        <v>0</v>
      </c>
      <c r="AA88" s="73">
        <v>88</v>
      </c>
      <c r="AB88" s="73"/>
      <c r="AC88" s="74"/>
      <c r="AD88" s="81" t="s">
        <v>1383</v>
      </c>
      <c r="AE88" s="81"/>
      <c r="AF88" s="81"/>
      <c r="AG88" s="81"/>
      <c r="AH88" s="81"/>
      <c r="AI88" s="81" t="s">
        <v>2104</v>
      </c>
      <c r="AJ88" s="85">
        <v>40823.724965277775</v>
      </c>
      <c r="AK88" s="83" t="str">
        <f>HYPERLINK("https://yt3.ggpht.com/ytc/AOPolaSf12Zy9EEbSPH8nvVNbNARJXqiDitlJxY_MPa-BQ=s88-c-k-c0x00ffffff-no-rj")</f>
        <v>https://yt3.ggpht.com/ytc/AOPolaSf12Zy9EEbSPH8nvVNbNARJXqiDitlJxY_MPa-BQ=s88-c-k-c0x00ffffff-no-rj</v>
      </c>
      <c r="AL88" s="81">
        <v>0</v>
      </c>
      <c r="AM88" s="81">
        <v>0</v>
      </c>
      <c r="AN88" s="81">
        <v>0</v>
      </c>
      <c r="AO88" s="81" t="b">
        <v>0</v>
      </c>
      <c r="AP88" s="81">
        <v>0</v>
      </c>
      <c r="AQ88" s="81"/>
      <c r="AR88" s="81"/>
      <c r="AS88" s="81" t="s">
        <v>2571</v>
      </c>
      <c r="AT88" s="83" t="str">
        <f>HYPERLINK("https://www.youtube.com/channel/UCxPmUahOPE970HbxEWrQ6VQ")</f>
        <v>https://www.youtube.com/channel/UCxPmUahOPE970HbxEWrQ6VQ</v>
      </c>
      <c r="AU88" s="81">
        <v>4</v>
      </c>
      <c r="AV88" s="49">
        <v>0</v>
      </c>
      <c r="AW88" s="50">
        <v>0</v>
      </c>
      <c r="AX88" s="49">
        <v>0</v>
      </c>
      <c r="AY88" s="50">
        <v>0</v>
      </c>
      <c r="AZ88" s="49">
        <v>0</v>
      </c>
      <c r="BA88" s="50">
        <v>0</v>
      </c>
      <c r="BB88" s="49">
        <v>2</v>
      </c>
      <c r="BC88" s="50">
        <v>28.571428571428573</v>
      </c>
      <c r="BD88" s="49">
        <v>7</v>
      </c>
      <c r="BE88" s="49"/>
      <c r="BF88" s="49"/>
      <c r="BG88" s="49"/>
      <c r="BH88" s="49"/>
      <c r="BI88" s="49"/>
      <c r="BJ88" s="49"/>
      <c r="BK88" s="115" t="s">
        <v>2638</v>
      </c>
      <c r="BL88" s="115" t="s">
        <v>2638</v>
      </c>
      <c r="BM88" s="115" t="s">
        <v>3116</v>
      </c>
      <c r="BN88" s="115" t="s">
        <v>3116</v>
      </c>
      <c r="BO88" s="2"/>
      <c r="BP88" s="3"/>
      <c r="BQ88" s="3"/>
      <c r="BR88" s="3"/>
      <c r="BS88" s="3"/>
    </row>
    <row r="89" spans="1:71" ht="15">
      <c r="A89" s="66" t="s">
        <v>307</v>
      </c>
      <c r="B89" s="67"/>
      <c r="C89" s="67"/>
      <c r="D89" s="68">
        <v>150</v>
      </c>
      <c r="E89" s="70"/>
      <c r="F89" s="102" t="str">
        <f>HYPERLINK("https://yt3.ggpht.com/smk-dGBnHF9IgqNO1tiZVf5pimFlE4sqV32m-LjevcNrtGURnAmyPNGwj8FWKI_kK33ReajR1Pk=s88-c-k-c0x00ffffff-no-rj")</f>
        <v>https://yt3.ggpht.com/smk-dGBnHF9IgqNO1tiZVf5pimFlE4sqV32m-LjevcNrtGURnAmyPNGwj8FWKI_kK33ReajR1Pk=s88-c-k-c0x00ffffff-no-rj</v>
      </c>
      <c r="G89" s="67"/>
      <c r="H89" s="71" t="s">
        <v>1384</v>
      </c>
      <c r="I89" s="72"/>
      <c r="J89" s="72" t="s">
        <v>159</v>
      </c>
      <c r="K89" s="71" t="s">
        <v>1384</v>
      </c>
      <c r="L89" s="75">
        <v>1</v>
      </c>
      <c r="M89" s="76">
        <v>7116.78857421875</v>
      </c>
      <c r="N89" s="76">
        <v>4079.45458984375</v>
      </c>
      <c r="O89" s="77"/>
      <c r="P89" s="78"/>
      <c r="Q89" s="78"/>
      <c r="R89" s="88"/>
      <c r="S89" s="49">
        <v>0</v>
      </c>
      <c r="T89" s="49">
        <v>1</v>
      </c>
      <c r="U89" s="50">
        <v>0</v>
      </c>
      <c r="V89" s="50">
        <v>0.056822</v>
      </c>
      <c r="W89" s="50">
        <v>0</v>
      </c>
      <c r="X89" s="50">
        <v>0.001581</v>
      </c>
      <c r="Y89" s="50">
        <v>0</v>
      </c>
      <c r="Z89" s="50">
        <v>0</v>
      </c>
      <c r="AA89" s="73">
        <v>89</v>
      </c>
      <c r="AB89" s="73"/>
      <c r="AC89" s="74"/>
      <c r="AD89" s="81" t="s">
        <v>1384</v>
      </c>
      <c r="AE89" s="81"/>
      <c r="AF89" s="81"/>
      <c r="AG89" s="81"/>
      <c r="AH89" s="81"/>
      <c r="AI89" s="81" t="s">
        <v>2105</v>
      </c>
      <c r="AJ89" s="85">
        <v>42207.863599537035</v>
      </c>
      <c r="AK89" s="83" t="str">
        <f>HYPERLINK("https://yt3.ggpht.com/smk-dGBnHF9IgqNO1tiZVf5pimFlE4sqV32m-LjevcNrtGURnAmyPNGwj8FWKI_kK33ReajR1Pk=s88-c-k-c0x00ffffff-no-rj")</f>
        <v>https://yt3.ggpht.com/smk-dGBnHF9IgqNO1tiZVf5pimFlE4sqV32m-LjevcNrtGURnAmyPNGwj8FWKI_kK33ReajR1Pk=s88-c-k-c0x00ffffff-no-rj</v>
      </c>
      <c r="AL89" s="81">
        <v>0</v>
      </c>
      <c r="AM89" s="81">
        <v>0</v>
      </c>
      <c r="AN89" s="81">
        <v>0</v>
      </c>
      <c r="AO89" s="81" t="b">
        <v>0</v>
      </c>
      <c r="AP89" s="81">
        <v>0</v>
      </c>
      <c r="AQ89" s="81"/>
      <c r="AR89" s="81"/>
      <c r="AS89" s="81" t="s">
        <v>2571</v>
      </c>
      <c r="AT89" s="83" t="str">
        <f>HYPERLINK("https://www.youtube.com/channel/UCcd8dbU6bA4nP9enZgBe67Q")</f>
        <v>https://www.youtube.com/channel/UCcd8dbU6bA4nP9enZgBe67Q</v>
      </c>
      <c r="AU89" s="81">
        <v>4</v>
      </c>
      <c r="AV89" s="49">
        <v>1</v>
      </c>
      <c r="AW89" s="50">
        <v>0.78125</v>
      </c>
      <c r="AX89" s="49">
        <v>6</v>
      </c>
      <c r="AY89" s="50">
        <v>4.6875</v>
      </c>
      <c r="AZ89" s="49">
        <v>0</v>
      </c>
      <c r="BA89" s="50">
        <v>0</v>
      </c>
      <c r="BB89" s="49">
        <v>36</v>
      </c>
      <c r="BC89" s="50">
        <v>28.125</v>
      </c>
      <c r="BD89" s="49">
        <v>128</v>
      </c>
      <c r="BE89" s="49"/>
      <c r="BF89" s="49"/>
      <c r="BG89" s="49"/>
      <c r="BH89" s="49"/>
      <c r="BI89" s="49"/>
      <c r="BJ89" s="49"/>
      <c r="BK89" s="115" t="s">
        <v>2639</v>
      </c>
      <c r="BL89" s="115" t="s">
        <v>2639</v>
      </c>
      <c r="BM89" s="115" t="s">
        <v>3117</v>
      </c>
      <c r="BN89" s="115" t="s">
        <v>3117</v>
      </c>
      <c r="BO89" s="2"/>
      <c r="BP89" s="3"/>
      <c r="BQ89" s="3"/>
      <c r="BR89" s="3"/>
      <c r="BS89" s="3"/>
    </row>
    <row r="90" spans="1:71" ht="15">
      <c r="A90" s="66" t="s">
        <v>308</v>
      </c>
      <c r="B90" s="67"/>
      <c r="C90" s="67"/>
      <c r="D90" s="68">
        <v>150</v>
      </c>
      <c r="E90" s="70"/>
      <c r="F90" s="102" t="str">
        <f>HYPERLINK("https://yt3.ggpht.com/ytc/AOPolaS7ezYLZIirYBzmj8HMURHGJ0ezsaOQ_B2nE-TBbQF5l6jVeR7PnnTq2spp6w7J=s88-c-k-c0x00ffffff-no-rj")</f>
        <v>https://yt3.ggpht.com/ytc/AOPolaS7ezYLZIirYBzmj8HMURHGJ0ezsaOQ_B2nE-TBbQF5l6jVeR7PnnTq2spp6w7J=s88-c-k-c0x00ffffff-no-rj</v>
      </c>
      <c r="G90" s="67"/>
      <c r="H90" s="71" t="s">
        <v>1385</v>
      </c>
      <c r="I90" s="72"/>
      <c r="J90" s="72" t="s">
        <v>159</v>
      </c>
      <c r="K90" s="71" t="s">
        <v>1385</v>
      </c>
      <c r="L90" s="75">
        <v>1</v>
      </c>
      <c r="M90" s="76">
        <v>8707.5751953125</v>
      </c>
      <c r="N90" s="76">
        <v>5625.21533203125</v>
      </c>
      <c r="O90" s="77"/>
      <c r="P90" s="78"/>
      <c r="Q90" s="78"/>
      <c r="R90" s="88"/>
      <c r="S90" s="49">
        <v>0</v>
      </c>
      <c r="T90" s="49">
        <v>1</v>
      </c>
      <c r="U90" s="50">
        <v>0</v>
      </c>
      <c r="V90" s="50">
        <v>0.056822</v>
      </c>
      <c r="W90" s="50">
        <v>0</v>
      </c>
      <c r="X90" s="50">
        <v>0.001581</v>
      </c>
      <c r="Y90" s="50">
        <v>0</v>
      </c>
      <c r="Z90" s="50">
        <v>0</v>
      </c>
      <c r="AA90" s="73">
        <v>90</v>
      </c>
      <c r="AB90" s="73"/>
      <c r="AC90" s="74"/>
      <c r="AD90" s="81" t="s">
        <v>1385</v>
      </c>
      <c r="AE90" s="81"/>
      <c r="AF90" s="81"/>
      <c r="AG90" s="81"/>
      <c r="AH90" s="81"/>
      <c r="AI90" s="81" t="s">
        <v>2106</v>
      </c>
      <c r="AJ90" s="85">
        <v>44835.032372685186</v>
      </c>
      <c r="AK90" s="83" t="str">
        <f>HYPERLINK("https://yt3.ggpht.com/ytc/AOPolaS7ezYLZIirYBzmj8HMURHGJ0ezsaOQ_B2nE-TBbQF5l6jVeR7PnnTq2spp6w7J=s88-c-k-c0x00ffffff-no-rj")</f>
        <v>https://yt3.ggpht.com/ytc/AOPolaS7ezYLZIirYBzmj8HMURHGJ0ezsaOQ_B2nE-TBbQF5l6jVeR7PnnTq2spp6w7J=s88-c-k-c0x00ffffff-no-rj</v>
      </c>
      <c r="AL90" s="81">
        <v>0</v>
      </c>
      <c r="AM90" s="81">
        <v>0</v>
      </c>
      <c r="AN90" s="81">
        <v>0</v>
      </c>
      <c r="AO90" s="81" t="b">
        <v>0</v>
      </c>
      <c r="AP90" s="81">
        <v>0</v>
      </c>
      <c r="AQ90" s="81"/>
      <c r="AR90" s="81"/>
      <c r="AS90" s="81" t="s">
        <v>2571</v>
      </c>
      <c r="AT90" s="83" t="str">
        <f>HYPERLINK("https://www.youtube.com/channel/UCd6uiGWpnZNKu4FpWcRBRXA")</f>
        <v>https://www.youtube.com/channel/UCd6uiGWpnZNKu4FpWcRBRXA</v>
      </c>
      <c r="AU90" s="81">
        <v>4</v>
      </c>
      <c r="AV90" s="49">
        <v>0</v>
      </c>
      <c r="AW90" s="50">
        <v>0</v>
      </c>
      <c r="AX90" s="49">
        <v>1</v>
      </c>
      <c r="AY90" s="50">
        <v>3.8461538461538463</v>
      </c>
      <c r="AZ90" s="49">
        <v>0</v>
      </c>
      <c r="BA90" s="50">
        <v>0</v>
      </c>
      <c r="BB90" s="49">
        <v>11</v>
      </c>
      <c r="BC90" s="50">
        <v>42.30769230769231</v>
      </c>
      <c r="BD90" s="49">
        <v>26</v>
      </c>
      <c r="BE90" s="49"/>
      <c r="BF90" s="49"/>
      <c r="BG90" s="49"/>
      <c r="BH90" s="49"/>
      <c r="BI90" s="49"/>
      <c r="BJ90" s="49"/>
      <c r="BK90" s="115" t="s">
        <v>4564</v>
      </c>
      <c r="BL90" s="115" t="s">
        <v>4564</v>
      </c>
      <c r="BM90" s="115" t="s">
        <v>4587</v>
      </c>
      <c r="BN90" s="115" t="s">
        <v>4587</v>
      </c>
      <c r="BO90" s="2"/>
      <c r="BP90" s="3"/>
      <c r="BQ90" s="3"/>
      <c r="BR90" s="3"/>
      <c r="BS90" s="3"/>
    </row>
    <row r="91" spans="1:71" ht="15">
      <c r="A91" s="66" t="s">
        <v>309</v>
      </c>
      <c r="B91" s="67"/>
      <c r="C91" s="67"/>
      <c r="D91" s="68">
        <v>150</v>
      </c>
      <c r="E91" s="70"/>
      <c r="F91" s="102" t="str">
        <f>HYPERLINK("https://yt3.ggpht.com/ytc/AOPolaQqX7ujKaXvSkhj-_Sav1nNavEohE4odQ7zrw=s88-c-k-c0x00ffffff-no-rj")</f>
        <v>https://yt3.ggpht.com/ytc/AOPolaQqX7ujKaXvSkhj-_Sav1nNavEohE4odQ7zrw=s88-c-k-c0x00ffffff-no-rj</v>
      </c>
      <c r="G91" s="67"/>
      <c r="H91" s="71" t="s">
        <v>1386</v>
      </c>
      <c r="I91" s="72"/>
      <c r="J91" s="72" t="s">
        <v>159</v>
      </c>
      <c r="K91" s="71" t="s">
        <v>1386</v>
      </c>
      <c r="L91" s="75">
        <v>1</v>
      </c>
      <c r="M91" s="76">
        <v>8560.9228515625</v>
      </c>
      <c r="N91" s="76">
        <v>4155.73974609375</v>
      </c>
      <c r="O91" s="77"/>
      <c r="P91" s="78"/>
      <c r="Q91" s="78"/>
      <c r="R91" s="88"/>
      <c r="S91" s="49">
        <v>0</v>
      </c>
      <c r="T91" s="49">
        <v>1</v>
      </c>
      <c r="U91" s="50">
        <v>0</v>
      </c>
      <c r="V91" s="50">
        <v>0.056822</v>
      </c>
      <c r="W91" s="50">
        <v>0</v>
      </c>
      <c r="X91" s="50">
        <v>0.001581</v>
      </c>
      <c r="Y91" s="50">
        <v>0</v>
      </c>
      <c r="Z91" s="50">
        <v>0</v>
      </c>
      <c r="AA91" s="73">
        <v>91</v>
      </c>
      <c r="AB91" s="73"/>
      <c r="AC91" s="74"/>
      <c r="AD91" s="81" t="s">
        <v>1386</v>
      </c>
      <c r="AE91" s="81"/>
      <c r="AF91" s="81"/>
      <c r="AG91" s="81"/>
      <c r="AH91" s="81"/>
      <c r="AI91" s="81" t="s">
        <v>2107</v>
      </c>
      <c r="AJ91" s="85">
        <v>43937.692453703705</v>
      </c>
      <c r="AK91" s="83" t="str">
        <f>HYPERLINK("https://yt3.ggpht.com/ytc/AOPolaQqX7ujKaXvSkhj-_Sav1nNavEohE4odQ7zrw=s88-c-k-c0x00ffffff-no-rj")</f>
        <v>https://yt3.ggpht.com/ytc/AOPolaQqX7ujKaXvSkhj-_Sav1nNavEohE4odQ7zrw=s88-c-k-c0x00ffffff-no-rj</v>
      </c>
      <c r="AL91" s="81">
        <v>0</v>
      </c>
      <c r="AM91" s="81">
        <v>0</v>
      </c>
      <c r="AN91" s="81">
        <v>1</v>
      </c>
      <c r="AO91" s="81" t="b">
        <v>0</v>
      </c>
      <c r="AP91" s="81">
        <v>0</v>
      </c>
      <c r="AQ91" s="81"/>
      <c r="AR91" s="81"/>
      <c r="AS91" s="81" t="s">
        <v>2571</v>
      </c>
      <c r="AT91" s="83" t="str">
        <f>HYPERLINK("https://www.youtube.com/channel/UCavUfaWfXVB4wNnD88A1H8g")</f>
        <v>https://www.youtube.com/channel/UCavUfaWfXVB4wNnD88A1H8g</v>
      </c>
      <c r="AU91" s="81">
        <v>4</v>
      </c>
      <c r="AV91" s="49">
        <v>1</v>
      </c>
      <c r="AW91" s="50">
        <v>6.666666666666667</v>
      </c>
      <c r="AX91" s="49">
        <v>1</v>
      </c>
      <c r="AY91" s="50">
        <v>6.666666666666667</v>
      </c>
      <c r="AZ91" s="49">
        <v>0</v>
      </c>
      <c r="BA91" s="50">
        <v>0</v>
      </c>
      <c r="BB91" s="49">
        <v>4</v>
      </c>
      <c r="BC91" s="50">
        <v>26.666666666666668</v>
      </c>
      <c r="BD91" s="49">
        <v>15</v>
      </c>
      <c r="BE91" s="49"/>
      <c r="BF91" s="49"/>
      <c r="BG91" s="49"/>
      <c r="BH91" s="49"/>
      <c r="BI91" s="49"/>
      <c r="BJ91" s="49"/>
      <c r="BK91" s="115" t="s">
        <v>2640</v>
      </c>
      <c r="BL91" s="115" t="s">
        <v>2640</v>
      </c>
      <c r="BM91" s="115" t="s">
        <v>3118</v>
      </c>
      <c r="BN91" s="115" t="s">
        <v>3118</v>
      </c>
      <c r="BO91" s="2"/>
      <c r="BP91" s="3"/>
      <c r="BQ91" s="3"/>
      <c r="BR91" s="3"/>
      <c r="BS91" s="3"/>
    </row>
    <row r="92" spans="1:71" ht="15">
      <c r="A92" s="66" t="s">
        <v>310</v>
      </c>
      <c r="B92" s="67"/>
      <c r="C92" s="67"/>
      <c r="D92" s="68">
        <v>150</v>
      </c>
      <c r="E92" s="70"/>
      <c r="F92" s="102" t="str">
        <f>HYPERLINK("https://yt3.ggpht.com/nUIkSFzlKQVkzJm7T2-s7mmo-QSUOg66WKmDsX8jijIKZeekpgYnlpPd-07qbzLS_QHSa9Np=s88-c-k-c0x00ffffff-no-rj")</f>
        <v>https://yt3.ggpht.com/nUIkSFzlKQVkzJm7T2-s7mmo-QSUOg66WKmDsX8jijIKZeekpgYnlpPd-07qbzLS_QHSa9Np=s88-c-k-c0x00ffffff-no-rj</v>
      </c>
      <c r="G92" s="67"/>
      <c r="H92" s="71" t="s">
        <v>1387</v>
      </c>
      <c r="I92" s="72"/>
      <c r="J92" s="72" t="s">
        <v>159</v>
      </c>
      <c r="K92" s="71" t="s">
        <v>1387</v>
      </c>
      <c r="L92" s="75">
        <v>1</v>
      </c>
      <c r="M92" s="76">
        <v>7152.8671875</v>
      </c>
      <c r="N92" s="76">
        <v>5021.890625</v>
      </c>
      <c r="O92" s="77"/>
      <c r="P92" s="78"/>
      <c r="Q92" s="78"/>
      <c r="R92" s="88"/>
      <c r="S92" s="49">
        <v>0</v>
      </c>
      <c r="T92" s="49">
        <v>1</v>
      </c>
      <c r="U92" s="50">
        <v>0</v>
      </c>
      <c r="V92" s="50">
        <v>0.056822</v>
      </c>
      <c r="W92" s="50">
        <v>0</v>
      </c>
      <c r="X92" s="50">
        <v>0.001581</v>
      </c>
      <c r="Y92" s="50">
        <v>0</v>
      </c>
      <c r="Z92" s="50">
        <v>0</v>
      </c>
      <c r="AA92" s="73">
        <v>92</v>
      </c>
      <c r="AB92" s="73"/>
      <c r="AC92" s="74"/>
      <c r="AD92" s="81" t="s">
        <v>1387</v>
      </c>
      <c r="AE92" s="81" t="s">
        <v>1931</v>
      </c>
      <c r="AF92" s="81"/>
      <c r="AG92" s="81"/>
      <c r="AH92" s="81"/>
      <c r="AI92" s="81" t="s">
        <v>2108</v>
      </c>
      <c r="AJ92" s="85">
        <v>42695.68173611111</v>
      </c>
      <c r="AK92" s="83" t="str">
        <f>HYPERLINK("https://yt3.ggpht.com/nUIkSFzlKQVkzJm7T2-s7mmo-QSUOg66WKmDsX8jijIKZeekpgYnlpPd-07qbzLS_QHSa9Np=s88-c-k-c0x00ffffff-no-rj")</f>
        <v>https://yt3.ggpht.com/nUIkSFzlKQVkzJm7T2-s7mmo-QSUOg66WKmDsX8jijIKZeekpgYnlpPd-07qbzLS_QHSa9Np=s88-c-k-c0x00ffffff-no-rj</v>
      </c>
      <c r="AL92" s="81">
        <v>67483</v>
      </c>
      <c r="AM92" s="81">
        <v>0</v>
      </c>
      <c r="AN92" s="81">
        <v>169</v>
      </c>
      <c r="AO92" s="81" t="b">
        <v>0</v>
      </c>
      <c r="AP92" s="81">
        <v>54</v>
      </c>
      <c r="AQ92" s="81"/>
      <c r="AR92" s="81"/>
      <c r="AS92" s="81" t="s">
        <v>2571</v>
      </c>
      <c r="AT92" s="83" t="str">
        <f>HYPERLINK("https://www.youtube.com/channel/UCq2eoN6OFZ1rAFj-YDpRUKQ")</f>
        <v>https://www.youtube.com/channel/UCq2eoN6OFZ1rAFj-YDpRUKQ</v>
      </c>
      <c r="AU92" s="81">
        <v>4</v>
      </c>
      <c r="AV92" s="49">
        <v>2</v>
      </c>
      <c r="AW92" s="50">
        <v>4.166666666666667</v>
      </c>
      <c r="AX92" s="49">
        <v>1</v>
      </c>
      <c r="AY92" s="50">
        <v>2.0833333333333335</v>
      </c>
      <c r="AZ92" s="49">
        <v>0</v>
      </c>
      <c r="BA92" s="50">
        <v>0</v>
      </c>
      <c r="BB92" s="49">
        <v>18</v>
      </c>
      <c r="BC92" s="50">
        <v>37.5</v>
      </c>
      <c r="BD92" s="49">
        <v>48</v>
      </c>
      <c r="BE92" s="49"/>
      <c r="BF92" s="49"/>
      <c r="BG92" s="49"/>
      <c r="BH92" s="49"/>
      <c r="BI92" s="49"/>
      <c r="BJ92" s="49"/>
      <c r="BK92" s="115" t="s">
        <v>2641</v>
      </c>
      <c r="BL92" s="115" t="s">
        <v>2641</v>
      </c>
      <c r="BM92" s="115" t="s">
        <v>3119</v>
      </c>
      <c r="BN92" s="115" t="s">
        <v>3119</v>
      </c>
      <c r="BO92" s="2"/>
      <c r="BP92" s="3"/>
      <c r="BQ92" s="3"/>
      <c r="BR92" s="3"/>
      <c r="BS92" s="3"/>
    </row>
    <row r="93" spans="1:71" ht="15">
      <c r="A93" s="66" t="s">
        <v>311</v>
      </c>
      <c r="B93" s="67"/>
      <c r="C93" s="67"/>
      <c r="D93" s="68">
        <v>150</v>
      </c>
      <c r="E93" s="70"/>
      <c r="F93" s="102" t="str">
        <f>HYPERLINK("https://yt3.ggpht.com/ytc/AOPolaS2WT8dcgS26PxMEwIwE09gURArZsdbE7vlPnfXcuc=s88-c-k-c0x00ffffff-no-rj")</f>
        <v>https://yt3.ggpht.com/ytc/AOPolaS2WT8dcgS26PxMEwIwE09gURArZsdbE7vlPnfXcuc=s88-c-k-c0x00ffffff-no-rj</v>
      </c>
      <c r="G93" s="67"/>
      <c r="H93" s="71" t="s">
        <v>1388</v>
      </c>
      <c r="I93" s="72"/>
      <c r="J93" s="72" t="s">
        <v>159</v>
      </c>
      <c r="K93" s="71" t="s">
        <v>1388</v>
      </c>
      <c r="L93" s="75">
        <v>1</v>
      </c>
      <c r="M93" s="76">
        <v>6837.13916015625</v>
      </c>
      <c r="N93" s="76">
        <v>4229.0185546875</v>
      </c>
      <c r="O93" s="77"/>
      <c r="P93" s="78"/>
      <c r="Q93" s="78"/>
      <c r="R93" s="88"/>
      <c r="S93" s="49">
        <v>0</v>
      </c>
      <c r="T93" s="49">
        <v>1</v>
      </c>
      <c r="U93" s="50">
        <v>0</v>
      </c>
      <c r="V93" s="50">
        <v>0.056822</v>
      </c>
      <c r="W93" s="50">
        <v>0</v>
      </c>
      <c r="X93" s="50">
        <v>0.001581</v>
      </c>
      <c r="Y93" s="50">
        <v>0</v>
      </c>
      <c r="Z93" s="50">
        <v>0</v>
      </c>
      <c r="AA93" s="73">
        <v>93</v>
      </c>
      <c r="AB93" s="73"/>
      <c r="AC93" s="74"/>
      <c r="AD93" s="81" t="s">
        <v>1388</v>
      </c>
      <c r="AE93" s="81"/>
      <c r="AF93" s="81"/>
      <c r="AG93" s="81"/>
      <c r="AH93" s="81"/>
      <c r="AI93" s="81" t="s">
        <v>2109</v>
      </c>
      <c r="AJ93" s="85">
        <v>43240.49548611111</v>
      </c>
      <c r="AK93" s="83" t="str">
        <f>HYPERLINK("https://yt3.ggpht.com/ytc/AOPolaS2WT8dcgS26PxMEwIwE09gURArZsdbE7vlPnfXcuc=s88-c-k-c0x00ffffff-no-rj")</f>
        <v>https://yt3.ggpht.com/ytc/AOPolaS2WT8dcgS26PxMEwIwE09gURArZsdbE7vlPnfXcuc=s88-c-k-c0x00ffffff-no-rj</v>
      </c>
      <c r="AL93" s="81">
        <v>0</v>
      </c>
      <c r="AM93" s="81">
        <v>0</v>
      </c>
      <c r="AN93" s="81">
        <v>0</v>
      </c>
      <c r="AO93" s="81" t="b">
        <v>0</v>
      </c>
      <c r="AP93" s="81">
        <v>0</v>
      </c>
      <c r="AQ93" s="81"/>
      <c r="AR93" s="81"/>
      <c r="AS93" s="81" t="s">
        <v>2571</v>
      </c>
      <c r="AT93" s="83" t="str">
        <f>HYPERLINK("https://www.youtube.com/channel/UCAf6FjC78v9K7V0mzBFFFfg")</f>
        <v>https://www.youtube.com/channel/UCAf6FjC78v9K7V0mzBFFFfg</v>
      </c>
      <c r="AU93" s="81">
        <v>4</v>
      </c>
      <c r="AV93" s="49">
        <v>0</v>
      </c>
      <c r="AW93" s="50">
        <v>0</v>
      </c>
      <c r="AX93" s="49">
        <v>0</v>
      </c>
      <c r="AY93" s="50">
        <v>0</v>
      </c>
      <c r="AZ93" s="49">
        <v>0</v>
      </c>
      <c r="BA93" s="50">
        <v>0</v>
      </c>
      <c r="BB93" s="49">
        <v>5</v>
      </c>
      <c r="BC93" s="50">
        <v>35.714285714285715</v>
      </c>
      <c r="BD93" s="49">
        <v>14</v>
      </c>
      <c r="BE93" s="49"/>
      <c r="BF93" s="49"/>
      <c r="BG93" s="49"/>
      <c r="BH93" s="49"/>
      <c r="BI93" s="49"/>
      <c r="BJ93" s="49"/>
      <c r="BK93" s="115" t="s">
        <v>2642</v>
      </c>
      <c r="BL93" s="115" t="s">
        <v>2642</v>
      </c>
      <c r="BM93" s="115" t="s">
        <v>3120</v>
      </c>
      <c r="BN93" s="115" t="s">
        <v>3120</v>
      </c>
      <c r="BO93" s="2"/>
      <c r="BP93" s="3"/>
      <c r="BQ93" s="3"/>
      <c r="BR93" s="3"/>
      <c r="BS93" s="3"/>
    </row>
    <row r="94" spans="1:71" ht="15">
      <c r="A94" s="66" t="s">
        <v>312</v>
      </c>
      <c r="B94" s="67"/>
      <c r="C94" s="67"/>
      <c r="D94" s="68">
        <v>150</v>
      </c>
      <c r="E94" s="70"/>
      <c r="F94" s="102" t="str">
        <f>HYPERLINK("https://yt3.ggpht.com/ytc/AOPolaQYeGHa-eM5oLbKi29yBrLMbi0h9H-sljsK-Na9Eg=s88-c-k-c0x00ffffff-no-rj")</f>
        <v>https://yt3.ggpht.com/ytc/AOPolaQYeGHa-eM5oLbKi29yBrLMbi0h9H-sljsK-Na9Eg=s88-c-k-c0x00ffffff-no-rj</v>
      </c>
      <c r="G94" s="67"/>
      <c r="H94" s="71" t="s">
        <v>1389</v>
      </c>
      <c r="I94" s="72"/>
      <c r="J94" s="72" t="s">
        <v>159</v>
      </c>
      <c r="K94" s="71" t="s">
        <v>1389</v>
      </c>
      <c r="L94" s="75">
        <v>1</v>
      </c>
      <c r="M94" s="76">
        <v>8190.62451171875</v>
      </c>
      <c r="N94" s="76">
        <v>4513.5341796875</v>
      </c>
      <c r="O94" s="77"/>
      <c r="P94" s="78"/>
      <c r="Q94" s="78"/>
      <c r="R94" s="88"/>
      <c r="S94" s="49">
        <v>0</v>
      </c>
      <c r="T94" s="49">
        <v>1</v>
      </c>
      <c r="U94" s="50">
        <v>0</v>
      </c>
      <c r="V94" s="50">
        <v>0.056822</v>
      </c>
      <c r="W94" s="50">
        <v>0</v>
      </c>
      <c r="X94" s="50">
        <v>0.001581</v>
      </c>
      <c r="Y94" s="50">
        <v>0</v>
      </c>
      <c r="Z94" s="50">
        <v>0</v>
      </c>
      <c r="AA94" s="73">
        <v>94</v>
      </c>
      <c r="AB94" s="73"/>
      <c r="AC94" s="74"/>
      <c r="AD94" s="81" t="s">
        <v>1389</v>
      </c>
      <c r="AE94" s="81"/>
      <c r="AF94" s="81"/>
      <c r="AG94" s="81"/>
      <c r="AH94" s="81"/>
      <c r="AI94" s="81" t="s">
        <v>2110</v>
      </c>
      <c r="AJ94" s="85">
        <v>41478.02024305556</v>
      </c>
      <c r="AK94" s="83" t="str">
        <f>HYPERLINK("https://yt3.ggpht.com/ytc/AOPolaQYeGHa-eM5oLbKi29yBrLMbi0h9H-sljsK-Na9Eg=s88-c-k-c0x00ffffff-no-rj")</f>
        <v>https://yt3.ggpht.com/ytc/AOPolaQYeGHa-eM5oLbKi29yBrLMbi0h9H-sljsK-Na9Eg=s88-c-k-c0x00ffffff-no-rj</v>
      </c>
      <c r="AL94" s="81">
        <v>175</v>
      </c>
      <c r="AM94" s="81">
        <v>0</v>
      </c>
      <c r="AN94" s="81">
        <v>1</v>
      </c>
      <c r="AO94" s="81" t="b">
        <v>0</v>
      </c>
      <c r="AP94" s="81">
        <v>7</v>
      </c>
      <c r="AQ94" s="81"/>
      <c r="AR94" s="81"/>
      <c r="AS94" s="81" t="s">
        <v>2571</v>
      </c>
      <c r="AT94" s="83" t="str">
        <f>HYPERLINK("https://www.youtube.com/channel/UCnQ1Acenegkv4owsGnfkz5A")</f>
        <v>https://www.youtube.com/channel/UCnQ1Acenegkv4owsGnfkz5A</v>
      </c>
      <c r="AU94" s="81">
        <v>4</v>
      </c>
      <c r="AV94" s="49">
        <v>1</v>
      </c>
      <c r="AW94" s="50">
        <v>100</v>
      </c>
      <c r="AX94" s="49">
        <v>0</v>
      </c>
      <c r="AY94" s="50">
        <v>0</v>
      </c>
      <c r="AZ94" s="49">
        <v>0</v>
      </c>
      <c r="BA94" s="50">
        <v>0</v>
      </c>
      <c r="BB94" s="49">
        <v>0</v>
      </c>
      <c r="BC94" s="50">
        <v>0</v>
      </c>
      <c r="BD94" s="49">
        <v>1</v>
      </c>
      <c r="BE94" s="49"/>
      <c r="BF94" s="49"/>
      <c r="BG94" s="49"/>
      <c r="BH94" s="49"/>
      <c r="BI94" s="49"/>
      <c r="BJ94" s="49"/>
      <c r="BK94" s="115" t="s">
        <v>2643</v>
      </c>
      <c r="BL94" s="115" t="s">
        <v>2643</v>
      </c>
      <c r="BM94" s="115" t="s">
        <v>4477</v>
      </c>
      <c r="BN94" s="115" t="s">
        <v>4477</v>
      </c>
      <c r="BO94" s="2"/>
      <c r="BP94" s="3"/>
      <c r="BQ94" s="3"/>
      <c r="BR94" s="3"/>
      <c r="BS94" s="3"/>
    </row>
    <row r="95" spans="1:71" ht="15">
      <c r="A95" s="66" t="s">
        <v>313</v>
      </c>
      <c r="B95" s="67"/>
      <c r="C95" s="67"/>
      <c r="D95" s="68">
        <v>150</v>
      </c>
      <c r="E95" s="70"/>
      <c r="F95" s="102" t="str">
        <f>HYPERLINK("https://yt3.ggpht.com/ytc/AOPolaS-lR3qiOxXSz01oa8zvYiJNnzg7NosLqo4iXFLjw=s88-c-k-c0x00ffffff-no-rj")</f>
        <v>https://yt3.ggpht.com/ytc/AOPolaS-lR3qiOxXSz01oa8zvYiJNnzg7NosLqo4iXFLjw=s88-c-k-c0x00ffffff-no-rj</v>
      </c>
      <c r="G95" s="67"/>
      <c r="H95" s="71" t="s">
        <v>1390</v>
      </c>
      <c r="I95" s="72"/>
      <c r="J95" s="72" t="s">
        <v>159</v>
      </c>
      <c r="K95" s="71" t="s">
        <v>1390</v>
      </c>
      <c r="L95" s="75">
        <v>1</v>
      </c>
      <c r="M95" s="76">
        <v>7806.2822265625</v>
      </c>
      <c r="N95" s="76">
        <v>6437.05322265625</v>
      </c>
      <c r="O95" s="77"/>
      <c r="P95" s="78"/>
      <c r="Q95" s="78"/>
      <c r="R95" s="88"/>
      <c r="S95" s="49">
        <v>0</v>
      </c>
      <c r="T95" s="49">
        <v>1</v>
      </c>
      <c r="U95" s="50">
        <v>0</v>
      </c>
      <c r="V95" s="50">
        <v>0.056822</v>
      </c>
      <c r="W95" s="50">
        <v>0</v>
      </c>
      <c r="X95" s="50">
        <v>0.001581</v>
      </c>
      <c r="Y95" s="50">
        <v>0</v>
      </c>
      <c r="Z95" s="50">
        <v>0</v>
      </c>
      <c r="AA95" s="73">
        <v>95</v>
      </c>
      <c r="AB95" s="73"/>
      <c r="AC95" s="74"/>
      <c r="AD95" s="81" t="s">
        <v>1390</v>
      </c>
      <c r="AE95" s="81"/>
      <c r="AF95" s="81"/>
      <c r="AG95" s="81"/>
      <c r="AH95" s="81"/>
      <c r="AI95" s="81" t="s">
        <v>2111</v>
      </c>
      <c r="AJ95" s="85">
        <v>43302.89306712963</v>
      </c>
      <c r="AK95" s="83" t="str">
        <f>HYPERLINK("https://yt3.ggpht.com/ytc/AOPolaS-lR3qiOxXSz01oa8zvYiJNnzg7NosLqo4iXFLjw=s88-c-k-c0x00ffffff-no-rj")</f>
        <v>https://yt3.ggpht.com/ytc/AOPolaS-lR3qiOxXSz01oa8zvYiJNnzg7NosLqo4iXFLjw=s88-c-k-c0x00ffffff-no-rj</v>
      </c>
      <c r="AL95" s="81">
        <v>0</v>
      </c>
      <c r="AM95" s="81">
        <v>0</v>
      </c>
      <c r="AN95" s="81">
        <v>2</v>
      </c>
      <c r="AO95" s="81" t="b">
        <v>0</v>
      </c>
      <c r="AP95" s="81">
        <v>0</v>
      </c>
      <c r="AQ95" s="81"/>
      <c r="AR95" s="81"/>
      <c r="AS95" s="81" t="s">
        <v>2571</v>
      </c>
      <c r="AT95" s="83" t="str">
        <f>HYPERLINK("https://www.youtube.com/channel/UCx6k-_k4sU3i5FdLuLTPKnA")</f>
        <v>https://www.youtube.com/channel/UCx6k-_k4sU3i5FdLuLTPKnA</v>
      </c>
      <c r="AU95" s="81">
        <v>4</v>
      </c>
      <c r="AV95" s="49">
        <v>0</v>
      </c>
      <c r="AW95" s="50">
        <v>0</v>
      </c>
      <c r="AX95" s="49">
        <v>0</v>
      </c>
      <c r="AY95" s="50">
        <v>0</v>
      </c>
      <c r="AZ95" s="49">
        <v>0</v>
      </c>
      <c r="BA95" s="50">
        <v>0</v>
      </c>
      <c r="BB95" s="49">
        <v>1</v>
      </c>
      <c r="BC95" s="50">
        <v>100</v>
      </c>
      <c r="BD95" s="49">
        <v>1</v>
      </c>
      <c r="BE95" s="49"/>
      <c r="BF95" s="49"/>
      <c r="BG95" s="49"/>
      <c r="BH95" s="49"/>
      <c r="BI95" s="49"/>
      <c r="BJ95" s="49"/>
      <c r="BK95" s="115" t="s">
        <v>2644</v>
      </c>
      <c r="BL95" s="115" t="s">
        <v>2644</v>
      </c>
      <c r="BM95" s="115" t="s">
        <v>4477</v>
      </c>
      <c r="BN95" s="115" t="s">
        <v>4477</v>
      </c>
      <c r="BO95" s="2"/>
      <c r="BP95" s="3"/>
      <c r="BQ95" s="3"/>
      <c r="BR95" s="3"/>
      <c r="BS95" s="3"/>
    </row>
    <row r="96" spans="1:71" ht="15">
      <c r="A96" s="66" t="s">
        <v>314</v>
      </c>
      <c r="B96" s="67"/>
      <c r="C96" s="67"/>
      <c r="D96" s="68">
        <v>150</v>
      </c>
      <c r="E96" s="70"/>
      <c r="F96" s="102" t="str">
        <f>HYPERLINK("https://yt3.ggpht.com/ytc/AOPolaRZ4epb3iE8gT_54bXWayjhvSlO5-NS9w1H3g=s88-c-k-c0x00ffffff-no-rj")</f>
        <v>https://yt3.ggpht.com/ytc/AOPolaRZ4epb3iE8gT_54bXWayjhvSlO5-NS9w1H3g=s88-c-k-c0x00ffffff-no-rj</v>
      </c>
      <c r="G96" s="67"/>
      <c r="H96" s="71" t="s">
        <v>1391</v>
      </c>
      <c r="I96" s="72"/>
      <c r="J96" s="72" t="s">
        <v>159</v>
      </c>
      <c r="K96" s="71" t="s">
        <v>1391</v>
      </c>
      <c r="L96" s="75">
        <v>1</v>
      </c>
      <c r="M96" s="76">
        <v>9356.484375</v>
      </c>
      <c r="N96" s="76">
        <v>6229.57177734375</v>
      </c>
      <c r="O96" s="77"/>
      <c r="P96" s="78"/>
      <c r="Q96" s="78"/>
      <c r="R96" s="88"/>
      <c r="S96" s="49">
        <v>0</v>
      </c>
      <c r="T96" s="49">
        <v>1</v>
      </c>
      <c r="U96" s="50">
        <v>0</v>
      </c>
      <c r="V96" s="50">
        <v>0.056822</v>
      </c>
      <c r="W96" s="50">
        <v>0</v>
      </c>
      <c r="X96" s="50">
        <v>0.001581</v>
      </c>
      <c r="Y96" s="50">
        <v>0</v>
      </c>
      <c r="Z96" s="50">
        <v>0</v>
      </c>
      <c r="AA96" s="73">
        <v>96</v>
      </c>
      <c r="AB96" s="73"/>
      <c r="AC96" s="74"/>
      <c r="AD96" s="81" t="s">
        <v>1391</v>
      </c>
      <c r="AE96" s="81"/>
      <c r="AF96" s="81"/>
      <c r="AG96" s="81"/>
      <c r="AH96" s="81"/>
      <c r="AI96" s="81" t="s">
        <v>2112</v>
      </c>
      <c r="AJ96" s="85">
        <v>43036.3103125</v>
      </c>
      <c r="AK96" s="83" t="str">
        <f>HYPERLINK("https://yt3.ggpht.com/ytc/AOPolaRZ4epb3iE8gT_54bXWayjhvSlO5-NS9w1H3g=s88-c-k-c0x00ffffff-no-rj")</f>
        <v>https://yt3.ggpht.com/ytc/AOPolaRZ4epb3iE8gT_54bXWayjhvSlO5-NS9w1H3g=s88-c-k-c0x00ffffff-no-rj</v>
      </c>
      <c r="AL96" s="81">
        <v>12</v>
      </c>
      <c r="AM96" s="81">
        <v>0</v>
      </c>
      <c r="AN96" s="81">
        <v>8</v>
      </c>
      <c r="AO96" s="81" t="b">
        <v>0</v>
      </c>
      <c r="AP96" s="81">
        <v>1</v>
      </c>
      <c r="AQ96" s="81"/>
      <c r="AR96" s="81"/>
      <c r="AS96" s="81" t="s">
        <v>2571</v>
      </c>
      <c r="AT96" s="83" t="str">
        <f>HYPERLINK("https://www.youtube.com/channel/UC-PtcWseDzj7rNn2hEZaVFA")</f>
        <v>https://www.youtube.com/channel/UC-PtcWseDzj7rNn2hEZaVFA</v>
      </c>
      <c r="AU96" s="81">
        <v>4</v>
      </c>
      <c r="AV96" s="49">
        <v>1</v>
      </c>
      <c r="AW96" s="50">
        <v>3.7037037037037037</v>
      </c>
      <c r="AX96" s="49">
        <v>0</v>
      </c>
      <c r="AY96" s="50">
        <v>0</v>
      </c>
      <c r="AZ96" s="49">
        <v>0</v>
      </c>
      <c r="BA96" s="50">
        <v>0</v>
      </c>
      <c r="BB96" s="49">
        <v>13</v>
      </c>
      <c r="BC96" s="50">
        <v>48.148148148148145</v>
      </c>
      <c r="BD96" s="49">
        <v>27</v>
      </c>
      <c r="BE96" s="49"/>
      <c r="BF96" s="49"/>
      <c r="BG96" s="49"/>
      <c r="BH96" s="49"/>
      <c r="BI96" s="49"/>
      <c r="BJ96" s="49"/>
      <c r="BK96" s="115" t="s">
        <v>2645</v>
      </c>
      <c r="BL96" s="115" t="s">
        <v>2645</v>
      </c>
      <c r="BM96" s="115" t="s">
        <v>3121</v>
      </c>
      <c r="BN96" s="115" t="s">
        <v>3121</v>
      </c>
      <c r="BO96" s="2"/>
      <c r="BP96" s="3"/>
      <c r="BQ96" s="3"/>
      <c r="BR96" s="3"/>
      <c r="BS96" s="3"/>
    </row>
    <row r="97" spans="1:71" ht="15">
      <c r="A97" s="66" t="s">
        <v>315</v>
      </c>
      <c r="B97" s="67"/>
      <c r="C97" s="67"/>
      <c r="D97" s="68">
        <v>150</v>
      </c>
      <c r="E97" s="70"/>
      <c r="F97" s="102" t="str">
        <f>HYPERLINK("https://yt3.ggpht.com/ytc/AOPolaQXQAHPlWOc8vcjMOzvoSSIB3hzVgViBqtb8E136VMK44bJvpjZ2TVOWycIVCJu=s88-c-k-c0x00ffffff-no-rj")</f>
        <v>https://yt3.ggpht.com/ytc/AOPolaQXQAHPlWOc8vcjMOzvoSSIB3hzVgViBqtb8E136VMK44bJvpjZ2TVOWycIVCJu=s88-c-k-c0x00ffffff-no-rj</v>
      </c>
      <c r="G97" s="67"/>
      <c r="H97" s="71" t="s">
        <v>1392</v>
      </c>
      <c r="I97" s="72"/>
      <c r="J97" s="72" t="s">
        <v>159</v>
      </c>
      <c r="K97" s="71" t="s">
        <v>1392</v>
      </c>
      <c r="L97" s="75">
        <v>1</v>
      </c>
      <c r="M97" s="76">
        <v>8049.38525390625</v>
      </c>
      <c r="N97" s="76">
        <v>4127.216796875</v>
      </c>
      <c r="O97" s="77"/>
      <c r="P97" s="78"/>
      <c r="Q97" s="78"/>
      <c r="R97" s="88"/>
      <c r="S97" s="49">
        <v>0</v>
      </c>
      <c r="T97" s="49">
        <v>1</v>
      </c>
      <c r="U97" s="50">
        <v>0</v>
      </c>
      <c r="V97" s="50">
        <v>0.056822</v>
      </c>
      <c r="W97" s="50">
        <v>0</v>
      </c>
      <c r="X97" s="50">
        <v>0.001581</v>
      </c>
      <c r="Y97" s="50">
        <v>0</v>
      </c>
      <c r="Z97" s="50">
        <v>0</v>
      </c>
      <c r="AA97" s="73">
        <v>97</v>
      </c>
      <c r="AB97" s="73"/>
      <c r="AC97" s="74"/>
      <c r="AD97" s="81" t="s">
        <v>1392</v>
      </c>
      <c r="AE97" s="81"/>
      <c r="AF97" s="81"/>
      <c r="AG97" s="81"/>
      <c r="AH97" s="81"/>
      <c r="AI97" s="81" t="s">
        <v>2113</v>
      </c>
      <c r="AJ97" s="85">
        <v>44487.73372685185</v>
      </c>
      <c r="AK97" s="83" t="str">
        <f>HYPERLINK("https://yt3.ggpht.com/ytc/AOPolaQXQAHPlWOc8vcjMOzvoSSIB3hzVgViBqtb8E136VMK44bJvpjZ2TVOWycIVCJu=s88-c-k-c0x00ffffff-no-rj")</f>
        <v>https://yt3.ggpht.com/ytc/AOPolaQXQAHPlWOc8vcjMOzvoSSIB3hzVgViBqtb8E136VMK44bJvpjZ2TVOWycIVCJu=s88-c-k-c0x00ffffff-no-rj</v>
      </c>
      <c r="AL97" s="81">
        <v>0</v>
      </c>
      <c r="AM97" s="81">
        <v>0</v>
      </c>
      <c r="AN97" s="81">
        <v>4</v>
      </c>
      <c r="AO97" s="81" t="b">
        <v>0</v>
      </c>
      <c r="AP97" s="81">
        <v>0</v>
      </c>
      <c r="AQ97" s="81"/>
      <c r="AR97" s="81"/>
      <c r="AS97" s="81" t="s">
        <v>2571</v>
      </c>
      <c r="AT97" s="83" t="str">
        <f>HYPERLINK("https://www.youtube.com/channel/UCt1IQuev0N_bgTs_ToN-7zw")</f>
        <v>https://www.youtube.com/channel/UCt1IQuev0N_bgTs_ToN-7zw</v>
      </c>
      <c r="AU97" s="81">
        <v>4</v>
      </c>
      <c r="AV97" s="49">
        <v>0</v>
      </c>
      <c r="AW97" s="50">
        <v>0</v>
      </c>
      <c r="AX97" s="49">
        <v>1</v>
      </c>
      <c r="AY97" s="50">
        <v>11.11111111111111</v>
      </c>
      <c r="AZ97" s="49">
        <v>0</v>
      </c>
      <c r="BA97" s="50">
        <v>0</v>
      </c>
      <c r="BB97" s="49">
        <v>3</v>
      </c>
      <c r="BC97" s="50">
        <v>33.333333333333336</v>
      </c>
      <c r="BD97" s="49">
        <v>9</v>
      </c>
      <c r="BE97" s="49"/>
      <c r="BF97" s="49"/>
      <c r="BG97" s="49"/>
      <c r="BH97" s="49"/>
      <c r="BI97" s="49"/>
      <c r="BJ97" s="49"/>
      <c r="BK97" s="115" t="s">
        <v>2646</v>
      </c>
      <c r="BL97" s="115" t="s">
        <v>2646</v>
      </c>
      <c r="BM97" s="115" t="s">
        <v>3122</v>
      </c>
      <c r="BN97" s="115" t="s">
        <v>3122</v>
      </c>
      <c r="BO97" s="2"/>
      <c r="BP97" s="3"/>
      <c r="BQ97" s="3"/>
      <c r="BR97" s="3"/>
      <c r="BS97" s="3"/>
    </row>
    <row r="98" spans="1:71" ht="15">
      <c r="A98" s="66" t="s">
        <v>316</v>
      </c>
      <c r="B98" s="67"/>
      <c r="C98" s="67"/>
      <c r="D98" s="68">
        <v>150</v>
      </c>
      <c r="E98" s="70"/>
      <c r="F98" s="102" t="str">
        <f>HYPERLINK("https://yt3.ggpht.com/ytc/AOPolaTBkVwJxeLUqjbO589MeoWIkOK7ZQbZusa1b9yqvw=s88-c-k-c0x00ffffff-no-rj")</f>
        <v>https://yt3.ggpht.com/ytc/AOPolaTBkVwJxeLUqjbO589MeoWIkOK7ZQbZusa1b9yqvw=s88-c-k-c0x00ffffff-no-rj</v>
      </c>
      <c r="G98" s="67"/>
      <c r="H98" s="71" t="s">
        <v>1393</v>
      </c>
      <c r="I98" s="72"/>
      <c r="J98" s="72" t="s">
        <v>159</v>
      </c>
      <c r="K98" s="71" t="s">
        <v>1393</v>
      </c>
      <c r="L98" s="75">
        <v>1</v>
      </c>
      <c r="M98" s="76">
        <v>8862.3359375</v>
      </c>
      <c r="N98" s="76">
        <v>6252.9365234375</v>
      </c>
      <c r="O98" s="77"/>
      <c r="P98" s="78"/>
      <c r="Q98" s="78"/>
      <c r="R98" s="88"/>
      <c r="S98" s="49">
        <v>0</v>
      </c>
      <c r="T98" s="49">
        <v>1</v>
      </c>
      <c r="U98" s="50">
        <v>0</v>
      </c>
      <c r="V98" s="50">
        <v>0.056822</v>
      </c>
      <c r="W98" s="50">
        <v>0</v>
      </c>
      <c r="X98" s="50">
        <v>0.001581</v>
      </c>
      <c r="Y98" s="50">
        <v>0</v>
      </c>
      <c r="Z98" s="50">
        <v>0</v>
      </c>
      <c r="AA98" s="73">
        <v>98</v>
      </c>
      <c r="AB98" s="73"/>
      <c r="AC98" s="74"/>
      <c r="AD98" s="81" t="s">
        <v>1393</v>
      </c>
      <c r="AE98" s="81"/>
      <c r="AF98" s="81"/>
      <c r="AG98" s="81"/>
      <c r="AH98" s="81"/>
      <c r="AI98" s="81" t="s">
        <v>2114</v>
      </c>
      <c r="AJ98" s="85">
        <v>43868.314988425926</v>
      </c>
      <c r="AK98" s="83" t="str">
        <f>HYPERLINK("https://yt3.ggpht.com/ytc/AOPolaTBkVwJxeLUqjbO589MeoWIkOK7ZQbZusa1b9yqvw=s88-c-k-c0x00ffffff-no-rj")</f>
        <v>https://yt3.ggpht.com/ytc/AOPolaTBkVwJxeLUqjbO589MeoWIkOK7ZQbZusa1b9yqvw=s88-c-k-c0x00ffffff-no-rj</v>
      </c>
      <c r="AL98" s="81">
        <v>0</v>
      </c>
      <c r="AM98" s="81">
        <v>0</v>
      </c>
      <c r="AN98" s="81">
        <v>1</v>
      </c>
      <c r="AO98" s="81" t="b">
        <v>0</v>
      </c>
      <c r="AP98" s="81">
        <v>0</v>
      </c>
      <c r="AQ98" s="81"/>
      <c r="AR98" s="81"/>
      <c r="AS98" s="81" t="s">
        <v>2571</v>
      </c>
      <c r="AT98" s="83" t="str">
        <f>HYPERLINK("https://www.youtube.com/channel/UCSjE0lSlBGOwQAxsbkg66LA")</f>
        <v>https://www.youtube.com/channel/UCSjE0lSlBGOwQAxsbkg66LA</v>
      </c>
      <c r="AU98" s="81">
        <v>4</v>
      </c>
      <c r="AV98" s="49">
        <v>1</v>
      </c>
      <c r="AW98" s="50">
        <v>4.545454545454546</v>
      </c>
      <c r="AX98" s="49">
        <v>0</v>
      </c>
      <c r="AY98" s="50">
        <v>0</v>
      </c>
      <c r="AZ98" s="49">
        <v>0</v>
      </c>
      <c r="BA98" s="50">
        <v>0</v>
      </c>
      <c r="BB98" s="49">
        <v>9</v>
      </c>
      <c r="BC98" s="50">
        <v>40.90909090909091</v>
      </c>
      <c r="BD98" s="49">
        <v>22</v>
      </c>
      <c r="BE98" s="49"/>
      <c r="BF98" s="49"/>
      <c r="BG98" s="49"/>
      <c r="BH98" s="49"/>
      <c r="BI98" s="49"/>
      <c r="BJ98" s="49"/>
      <c r="BK98" s="115" t="s">
        <v>2647</v>
      </c>
      <c r="BL98" s="115" t="s">
        <v>2647</v>
      </c>
      <c r="BM98" s="115" t="s">
        <v>3123</v>
      </c>
      <c r="BN98" s="115" t="s">
        <v>3123</v>
      </c>
      <c r="BO98" s="2"/>
      <c r="BP98" s="3"/>
      <c r="BQ98" s="3"/>
      <c r="BR98" s="3"/>
      <c r="BS98" s="3"/>
    </row>
    <row r="99" spans="1:71" ht="15">
      <c r="A99" s="66" t="s">
        <v>317</v>
      </c>
      <c r="B99" s="67"/>
      <c r="C99" s="67"/>
      <c r="D99" s="68">
        <v>150</v>
      </c>
      <c r="E99" s="70"/>
      <c r="F99" s="102" t="str">
        <f>HYPERLINK("https://yt3.ggpht.com/ytc/AOPolaSU07tpCRu1vnr1zRY8lI5wtBOK4UmJt9M6j5WQ=s88-c-k-c0x00ffffff-no-rj")</f>
        <v>https://yt3.ggpht.com/ytc/AOPolaSU07tpCRu1vnr1zRY8lI5wtBOK4UmJt9M6j5WQ=s88-c-k-c0x00ffffff-no-rj</v>
      </c>
      <c r="G99" s="67"/>
      <c r="H99" s="71" t="s">
        <v>1394</v>
      </c>
      <c r="I99" s="72"/>
      <c r="J99" s="72" t="s">
        <v>159</v>
      </c>
      <c r="K99" s="71" t="s">
        <v>1394</v>
      </c>
      <c r="L99" s="75">
        <v>1</v>
      </c>
      <c r="M99" s="76">
        <v>9144.12109375</v>
      </c>
      <c r="N99" s="76">
        <v>6417.6572265625</v>
      </c>
      <c r="O99" s="77"/>
      <c r="P99" s="78"/>
      <c r="Q99" s="78"/>
      <c r="R99" s="88"/>
      <c r="S99" s="49">
        <v>0</v>
      </c>
      <c r="T99" s="49">
        <v>1</v>
      </c>
      <c r="U99" s="50">
        <v>0</v>
      </c>
      <c r="V99" s="50">
        <v>0.056822</v>
      </c>
      <c r="W99" s="50">
        <v>0</v>
      </c>
      <c r="X99" s="50">
        <v>0.001581</v>
      </c>
      <c r="Y99" s="50">
        <v>0</v>
      </c>
      <c r="Z99" s="50">
        <v>0</v>
      </c>
      <c r="AA99" s="73">
        <v>99</v>
      </c>
      <c r="AB99" s="73"/>
      <c r="AC99" s="74"/>
      <c r="AD99" s="81" t="s">
        <v>1394</v>
      </c>
      <c r="AE99" s="81"/>
      <c r="AF99" s="81"/>
      <c r="AG99" s="81"/>
      <c r="AH99" s="81"/>
      <c r="AI99" s="81" t="s">
        <v>2115</v>
      </c>
      <c r="AJ99" s="85">
        <v>44254.186689814815</v>
      </c>
      <c r="AK99" s="83" t="str">
        <f>HYPERLINK("https://yt3.ggpht.com/ytc/AOPolaSU07tpCRu1vnr1zRY8lI5wtBOK4UmJt9M6j5WQ=s88-c-k-c0x00ffffff-no-rj")</f>
        <v>https://yt3.ggpht.com/ytc/AOPolaSU07tpCRu1vnr1zRY8lI5wtBOK4UmJt9M6j5WQ=s88-c-k-c0x00ffffff-no-rj</v>
      </c>
      <c r="AL99" s="81">
        <v>0</v>
      </c>
      <c r="AM99" s="81">
        <v>0</v>
      </c>
      <c r="AN99" s="81">
        <v>8</v>
      </c>
      <c r="AO99" s="81" t="b">
        <v>0</v>
      </c>
      <c r="AP99" s="81">
        <v>0</v>
      </c>
      <c r="AQ99" s="81"/>
      <c r="AR99" s="81"/>
      <c r="AS99" s="81" t="s">
        <v>2571</v>
      </c>
      <c r="AT99" s="83" t="str">
        <f>HYPERLINK("https://www.youtube.com/channel/UCXpFY0tltWLX5LctzkhILsw")</f>
        <v>https://www.youtube.com/channel/UCXpFY0tltWLX5LctzkhILsw</v>
      </c>
      <c r="AU99" s="81">
        <v>4</v>
      </c>
      <c r="AV99" s="49">
        <v>1</v>
      </c>
      <c r="AW99" s="50">
        <v>6.25</v>
      </c>
      <c r="AX99" s="49">
        <v>0</v>
      </c>
      <c r="AY99" s="50">
        <v>0</v>
      </c>
      <c r="AZ99" s="49">
        <v>0</v>
      </c>
      <c r="BA99" s="50">
        <v>0</v>
      </c>
      <c r="BB99" s="49">
        <v>8</v>
      </c>
      <c r="BC99" s="50">
        <v>50</v>
      </c>
      <c r="BD99" s="49">
        <v>16</v>
      </c>
      <c r="BE99" s="49"/>
      <c r="BF99" s="49"/>
      <c r="BG99" s="49"/>
      <c r="BH99" s="49"/>
      <c r="BI99" s="49"/>
      <c r="BJ99" s="49"/>
      <c r="BK99" s="115" t="s">
        <v>2648</v>
      </c>
      <c r="BL99" s="115" t="s">
        <v>2648</v>
      </c>
      <c r="BM99" s="115" t="s">
        <v>3124</v>
      </c>
      <c r="BN99" s="115" t="s">
        <v>3124</v>
      </c>
      <c r="BO99" s="2"/>
      <c r="BP99" s="3"/>
      <c r="BQ99" s="3"/>
      <c r="BR99" s="3"/>
      <c r="BS99" s="3"/>
    </row>
    <row r="100" spans="1:71" ht="15">
      <c r="A100" s="66" t="s">
        <v>318</v>
      </c>
      <c r="B100" s="67"/>
      <c r="C100" s="67"/>
      <c r="D100" s="68">
        <v>150</v>
      </c>
      <c r="E100" s="70"/>
      <c r="F100" s="102" t="str">
        <f>HYPERLINK("https://yt3.ggpht.com/ytc/AOPolaQMYVeup85wHlhR3mAKRSOSekVj3gNR8DqO1foZyw=s88-c-k-c0x00ffffff-no-rj")</f>
        <v>https://yt3.ggpht.com/ytc/AOPolaQMYVeup85wHlhR3mAKRSOSekVj3gNR8DqO1foZyw=s88-c-k-c0x00ffffff-no-rj</v>
      </c>
      <c r="G100" s="67"/>
      <c r="H100" s="71" t="s">
        <v>1395</v>
      </c>
      <c r="I100" s="72"/>
      <c r="J100" s="72" t="s">
        <v>159</v>
      </c>
      <c r="K100" s="71" t="s">
        <v>1395</v>
      </c>
      <c r="L100" s="75">
        <v>1</v>
      </c>
      <c r="M100" s="76">
        <v>7041.44091796875</v>
      </c>
      <c r="N100" s="76">
        <v>5974.56494140625</v>
      </c>
      <c r="O100" s="77"/>
      <c r="P100" s="78"/>
      <c r="Q100" s="78"/>
      <c r="R100" s="88"/>
      <c r="S100" s="49">
        <v>0</v>
      </c>
      <c r="T100" s="49">
        <v>1</v>
      </c>
      <c r="U100" s="50">
        <v>0</v>
      </c>
      <c r="V100" s="50">
        <v>0.056822</v>
      </c>
      <c r="W100" s="50">
        <v>0</v>
      </c>
      <c r="X100" s="50">
        <v>0.001581</v>
      </c>
      <c r="Y100" s="50">
        <v>0</v>
      </c>
      <c r="Z100" s="50">
        <v>0</v>
      </c>
      <c r="AA100" s="73">
        <v>100</v>
      </c>
      <c r="AB100" s="73"/>
      <c r="AC100" s="74"/>
      <c r="AD100" s="81" t="s">
        <v>1395</v>
      </c>
      <c r="AE100" s="81"/>
      <c r="AF100" s="81"/>
      <c r="AG100" s="81"/>
      <c r="AH100" s="81"/>
      <c r="AI100" s="81" t="s">
        <v>2116</v>
      </c>
      <c r="AJ100" s="85">
        <v>43494.17597222222</v>
      </c>
      <c r="AK100" s="83" t="str">
        <f>HYPERLINK("https://yt3.ggpht.com/ytc/AOPolaQMYVeup85wHlhR3mAKRSOSekVj3gNR8DqO1foZyw=s88-c-k-c0x00ffffff-no-rj")</f>
        <v>https://yt3.ggpht.com/ytc/AOPolaQMYVeup85wHlhR3mAKRSOSekVj3gNR8DqO1foZyw=s88-c-k-c0x00ffffff-no-rj</v>
      </c>
      <c r="AL100" s="81">
        <v>282</v>
      </c>
      <c r="AM100" s="81">
        <v>0</v>
      </c>
      <c r="AN100" s="81">
        <v>1</v>
      </c>
      <c r="AO100" s="81" t="b">
        <v>0</v>
      </c>
      <c r="AP100" s="81">
        <v>1</v>
      </c>
      <c r="AQ100" s="81"/>
      <c r="AR100" s="81"/>
      <c r="AS100" s="81" t="s">
        <v>2571</v>
      </c>
      <c r="AT100" s="83" t="str">
        <f>HYPERLINK("https://www.youtube.com/channel/UCwUoMmkhZxBAUh7XwIyZuAg")</f>
        <v>https://www.youtube.com/channel/UCwUoMmkhZxBAUh7XwIyZuAg</v>
      </c>
      <c r="AU100" s="81">
        <v>4</v>
      </c>
      <c r="AV100" s="49">
        <v>0</v>
      </c>
      <c r="AW100" s="50">
        <v>0</v>
      </c>
      <c r="AX100" s="49">
        <v>0</v>
      </c>
      <c r="AY100" s="50">
        <v>0</v>
      </c>
      <c r="AZ100" s="49">
        <v>0</v>
      </c>
      <c r="BA100" s="50">
        <v>0</v>
      </c>
      <c r="BB100" s="49">
        <v>6</v>
      </c>
      <c r="BC100" s="50">
        <v>60</v>
      </c>
      <c r="BD100" s="49">
        <v>10</v>
      </c>
      <c r="BE100" s="49"/>
      <c r="BF100" s="49"/>
      <c r="BG100" s="49"/>
      <c r="BH100" s="49"/>
      <c r="BI100" s="49"/>
      <c r="BJ100" s="49"/>
      <c r="BK100" s="115" t="s">
        <v>2649</v>
      </c>
      <c r="BL100" s="115" t="s">
        <v>2649</v>
      </c>
      <c r="BM100" s="115" t="s">
        <v>3125</v>
      </c>
      <c r="BN100" s="115" t="s">
        <v>3125</v>
      </c>
      <c r="BO100" s="2"/>
      <c r="BP100" s="3"/>
      <c r="BQ100" s="3"/>
      <c r="BR100" s="3"/>
      <c r="BS100" s="3"/>
    </row>
    <row r="101" spans="1:71" ht="15">
      <c r="A101" s="66" t="s">
        <v>319</v>
      </c>
      <c r="B101" s="67"/>
      <c r="C101" s="67"/>
      <c r="D101" s="68">
        <v>150</v>
      </c>
      <c r="E101" s="70"/>
      <c r="F101" s="102" t="str">
        <f>HYPERLINK("https://yt3.ggpht.com/ytc/AOPolaSmD6DrpQftwAh2lXk6EwdP3lNoI_4jWUx19c4ozw=s88-c-k-c0x00ffffff-no-rj")</f>
        <v>https://yt3.ggpht.com/ytc/AOPolaSmD6DrpQftwAh2lXk6EwdP3lNoI_4jWUx19c4ozw=s88-c-k-c0x00ffffff-no-rj</v>
      </c>
      <c r="G101" s="67"/>
      <c r="H101" s="71" t="s">
        <v>1396</v>
      </c>
      <c r="I101" s="72"/>
      <c r="J101" s="72" t="s">
        <v>159</v>
      </c>
      <c r="K101" s="71" t="s">
        <v>1396</v>
      </c>
      <c r="L101" s="75">
        <v>1</v>
      </c>
      <c r="M101" s="76">
        <v>8420.6240234375</v>
      </c>
      <c r="N101" s="76">
        <v>6410.9736328125</v>
      </c>
      <c r="O101" s="77"/>
      <c r="P101" s="78"/>
      <c r="Q101" s="78"/>
      <c r="R101" s="88"/>
      <c r="S101" s="49">
        <v>0</v>
      </c>
      <c r="T101" s="49">
        <v>1</v>
      </c>
      <c r="U101" s="50">
        <v>0</v>
      </c>
      <c r="V101" s="50">
        <v>0.056822</v>
      </c>
      <c r="W101" s="50">
        <v>0</v>
      </c>
      <c r="X101" s="50">
        <v>0.001581</v>
      </c>
      <c r="Y101" s="50">
        <v>0</v>
      </c>
      <c r="Z101" s="50">
        <v>0</v>
      </c>
      <c r="AA101" s="73">
        <v>101</v>
      </c>
      <c r="AB101" s="73"/>
      <c r="AC101" s="74"/>
      <c r="AD101" s="81" t="s">
        <v>1396</v>
      </c>
      <c r="AE101" s="81"/>
      <c r="AF101" s="81"/>
      <c r="AG101" s="81"/>
      <c r="AH101" s="81"/>
      <c r="AI101" s="81" t="s">
        <v>2117</v>
      </c>
      <c r="AJ101" s="85">
        <v>42604.94996527778</v>
      </c>
      <c r="AK101" s="83" t="str">
        <f>HYPERLINK("https://yt3.ggpht.com/ytc/AOPolaSmD6DrpQftwAh2lXk6EwdP3lNoI_4jWUx19c4ozw=s88-c-k-c0x00ffffff-no-rj")</f>
        <v>https://yt3.ggpht.com/ytc/AOPolaSmD6DrpQftwAh2lXk6EwdP3lNoI_4jWUx19c4ozw=s88-c-k-c0x00ffffff-no-rj</v>
      </c>
      <c r="AL101" s="81">
        <v>0</v>
      </c>
      <c r="AM101" s="81">
        <v>0</v>
      </c>
      <c r="AN101" s="81">
        <v>2</v>
      </c>
      <c r="AO101" s="81" t="b">
        <v>0</v>
      </c>
      <c r="AP101" s="81">
        <v>0</v>
      </c>
      <c r="AQ101" s="81"/>
      <c r="AR101" s="81"/>
      <c r="AS101" s="81" t="s">
        <v>2571</v>
      </c>
      <c r="AT101" s="83" t="str">
        <f>HYPERLINK("https://www.youtube.com/channel/UCI7BoLPkH6apL97k50J-Y5w")</f>
        <v>https://www.youtube.com/channel/UCI7BoLPkH6apL97k50J-Y5w</v>
      </c>
      <c r="AU101" s="81">
        <v>4</v>
      </c>
      <c r="AV101" s="49">
        <v>1</v>
      </c>
      <c r="AW101" s="50">
        <v>3.4482758620689653</v>
      </c>
      <c r="AX101" s="49">
        <v>0</v>
      </c>
      <c r="AY101" s="50">
        <v>0</v>
      </c>
      <c r="AZ101" s="49">
        <v>0</v>
      </c>
      <c r="BA101" s="50">
        <v>0</v>
      </c>
      <c r="BB101" s="49">
        <v>12</v>
      </c>
      <c r="BC101" s="50">
        <v>41.37931034482759</v>
      </c>
      <c r="BD101" s="49">
        <v>29</v>
      </c>
      <c r="BE101" s="49"/>
      <c r="BF101" s="49"/>
      <c r="BG101" s="49"/>
      <c r="BH101" s="49"/>
      <c r="BI101" s="49"/>
      <c r="BJ101" s="49"/>
      <c r="BK101" s="115" t="s">
        <v>2650</v>
      </c>
      <c r="BL101" s="115" t="s">
        <v>2650</v>
      </c>
      <c r="BM101" s="115" t="s">
        <v>3126</v>
      </c>
      <c r="BN101" s="115" t="s">
        <v>3126</v>
      </c>
      <c r="BO101" s="2"/>
      <c r="BP101" s="3"/>
      <c r="BQ101" s="3"/>
      <c r="BR101" s="3"/>
      <c r="BS101" s="3"/>
    </row>
    <row r="102" spans="1:71" ht="15">
      <c r="A102" s="66" t="s">
        <v>320</v>
      </c>
      <c r="B102" s="67"/>
      <c r="C102" s="67"/>
      <c r="D102" s="68">
        <v>150</v>
      </c>
      <c r="E102" s="70"/>
      <c r="F102" s="102" t="str">
        <f>HYPERLINK("https://yt3.ggpht.com/ytc/AOPolaSEoCDvTLVSeQAWQC7bm_aAQM-WA6ezdiijhz-3dFM=s88-c-k-c0x00ffffff-no-rj")</f>
        <v>https://yt3.ggpht.com/ytc/AOPolaSEoCDvTLVSeQAWQC7bm_aAQM-WA6ezdiijhz-3dFM=s88-c-k-c0x00ffffff-no-rj</v>
      </c>
      <c r="G102" s="67"/>
      <c r="H102" s="71" t="s">
        <v>1397</v>
      </c>
      <c r="I102" s="72"/>
      <c r="J102" s="72" t="s">
        <v>159</v>
      </c>
      <c r="K102" s="71" t="s">
        <v>1397</v>
      </c>
      <c r="L102" s="75">
        <v>1</v>
      </c>
      <c r="M102" s="76">
        <v>7389.3525390625</v>
      </c>
      <c r="N102" s="76">
        <v>3931.06103515625</v>
      </c>
      <c r="O102" s="77"/>
      <c r="P102" s="78"/>
      <c r="Q102" s="78"/>
      <c r="R102" s="88"/>
      <c r="S102" s="49">
        <v>0</v>
      </c>
      <c r="T102" s="49">
        <v>1</v>
      </c>
      <c r="U102" s="50">
        <v>0</v>
      </c>
      <c r="V102" s="50">
        <v>0.056822</v>
      </c>
      <c r="W102" s="50">
        <v>0</v>
      </c>
      <c r="X102" s="50">
        <v>0.001581</v>
      </c>
      <c r="Y102" s="50">
        <v>0</v>
      </c>
      <c r="Z102" s="50">
        <v>0</v>
      </c>
      <c r="AA102" s="73">
        <v>102</v>
      </c>
      <c r="AB102" s="73"/>
      <c r="AC102" s="74"/>
      <c r="AD102" s="81" t="s">
        <v>1397</v>
      </c>
      <c r="AE102" s="81"/>
      <c r="AF102" s="81"/>
      <c r="AG102" s="81"/>
      <c r="AH102" s="81"/>
      <c r="AI102" s="81" t="s">
        <v>2118</v>
      </c>
      <c r="AJ102" s="85">
        <v>44166.04189814815</v>
      </c>
      <c r="AK102" s="83" t="str">
        <f>HYPERLINK("https://yt3.ggpht.com/ytc/AOPolaSEoCDvTLVSeQAWQC7bm_aAQM-WA6ezdiijhz-3dFM=s88-c-k-c0x00ffffff-no-rj")</f>
        <v>https://yt3.ggpht.com/ytc/AOPolaSEoCDvTLVSeQAWQC7bm_aAQM-WA6ezdiijhz-3dFM=s88-c-k-c0x00ffffff-no-rj</v>
      </c>
      <c r="AL102" s="81">
        <v>0</v>
      </c>
      <c r="AM102" s="81">
        <v>0</v>
      </c>
      <c r="AN102" s="81">
        <v>0</v>
      </c>
      <c r="AO102" s="81" t="b">
        <v>0</v>
      </c>
      <c r="AP102" s="81">
        <v>0</v>
      </c>
      <c r="AQ102" s="81"/>
      <c r="AR102" s="81"/>
      <c r="AS102" s="81" t="s">
        <v>2571</v>
      </c>
      <c r="AT102" s="83" t="str">
        <f>HYPERLINK("https://www.youtube.com/channel/UCjgMPLmajooHkHX18fjLIZw")</f>
        <v>https://www.youtube.com/channel/UCjgMPLmajooHkHX18fjLIZw</v>
      </c>
      <c r="AU102" s="81">
        <v>4</v>
      </c>
      <c r="AV102" s="49">
        <v>0</v>
      </c>
      <c r="AW102" s="50">
        <v>0</v>
      </c>
      <c r="AX102" s="49">
        <v>0</v>
      </c>
      <c r="AY102" s="50">
        <v>0</v>
      </c>
      <c r="AZ102" s="49">
        <v>0</v>
      </c>
      <c r="BA102" s="50">
        <v>0</v>
      </c>
      <c r="BB102" s="49">
        <v>8</v>
      </c>
      <c r="BC102" s="50">
        <v>57.142857142857146</v>
      </c>
      <c r="BD102" s="49">
        <v>14</v>
      </c>
      <c r="BE102" s="49"/>
      <c r="BF102" s="49"/>
      <c r="BG102" s="49"/>
      <c r="BH102" s="49"/>
      <c r="BI102" s="49"/>
      <c r="BJ102" s="49"/>
      <c r="BK102" s="115" t="s">
        <v>2651</v>
      </c>
      <c r="BL102" s="115" t="s">
        <v>2651</v>
      </c>
      <c r="BM102" s="115" t="s">
        <v>3127</v>
      </c>
      <c r="BN102" s="115" t="s">
        <v>3127</v>
      </c>
      <c r="BO102" s="2"/>
      <c r="BP102" s="3"/>
      <c r="BQ102" s="3"/>
      <c r="BR102" s="3"/>
      <c r="BS102" s="3"/>
    </row>
    <row r="103" spans="1:71" ht="15">
      <c r="A103" s="66" t="s">
        <v>321</v>
      </c>
      <c r="B103" s="67"/>
      <c r="C103" s="67"/>
      <c r="D103" s="68">
        <v>150</v>
      </c>
      <c r="E103" s="70"/>
      <c r="F103" s="102" t="str">
        <f>HYPERLINK("https://yt3.ggpht.com/ytc/AOPolaR3sHSc7qwmXuXS_vw9UIRjrukf7YPXZFn3R9cneA=s88-c-k-c0x00ffffff-no-rj")</f>
        <v>https://yt3.ggpht.com/ytc/AOPolaR3sHSc7qwmXuXS_vw9UIRjrukf7YPXZFn3R9cneA=s88-c-k-c0x00ffffff-no-rj</v>
      </c>
      <c r="G103" s="67"/>
      <c r="H103" s="71" t="s">
        <v>1398</v>
      </c>
      <c r="I103" s="72"/>
      <c r="J103" s="72" t="s">
        <v>159</v>
      </c>
      <c r="K103" s="71" t="s">
        <v>1398</v>
      </c>
      <c r="L103" s="75">
        <v>1</v>
      </c>
      <c r="M103" s="76">
        <v>6649.4072265625</v>
      </c>
      <c r="N103" s="76">
        <v>5998.3544921875</v>
      </c>
      <c r="O103" s="77"/>
      <c r="P103" s="78"/>
      <c r="Q103" s="78"/>
      <c r="R103" s="88"/>
      <c r="S103" s="49">
        <v>0</v>
      </c>
      <c r="T103" s="49">
        <v>1</v>
      </c>
      <c r="U103" s="50">
        <v>0</v>
      </c>
      <c r="V103" s="50">
        <v>0.056822</v>
      </c>
      <c r="W103" s="50">
        <v>0</v>
      </c>
      <c r="X103" s="50">
        <v>0.001581</v>
      </c>
      <c r="Y103" s="50">
        <v>0</v>
      </c>
      <c r="Z103" s="50">
        <v>0</v>
      </c>
      <c r="AA103" s="73">
        <v>103</v>
      </c>
      <c r="AB103" s="73"/>
      <c r="AC103" s="74"/>
      <c r="AD103" s="81" t="s">
        <v>1398</v>
      </c>
      <c r="AE103" s="81"/>
      <c r="AF103" s="81"/>
      <c r="AG103" s="81"/>
      <c r="AH103" s="81"/>
      <c r="AI103" s="81" t="s">
        <v>2119</v>
      </c>
      <c r="AJ103" s="85">
        <v>43958.29577546296</v>
      </c>
      <c r="AK103" s="83" t="str">
        <f>HYPERLINK("https://yt3.ggpht.com/ytc/AOPolaR3sHSc7qwmXuXS_vw9UIRjrukf7YPXZFn3R9cneA=s88-c-k-c0x00ffffff-no-rj")</f>
        <v>https://yt3.ggpht.com/ytc/AOPolaR3sHSc7qwmXuXS_vw9UIRjrukf7YPXZFn3R9cneA=s88-c-k-c0x00ffffff-no-rj</v>
      </c>
      <c r="AL103" s="81">
        <v>52</v>
      </c>
      <c r="AM103" s="81">
        <v>0</v>
      </c>
      <c r="AN103" s="81">
        <v>7</v>
      </c>
      <c r="AO103" s="81" t="b">
        <v>0</v>
      </c>
      <c r="AP103" s="81">
        <v>5</v>
      </c>
      <c r="AQ103" s="81"/>
      <c r="AR103" s="81"/>
      <c r="AS103" s="81" t="s">
        <v>2571</v>
      </c>
      <c r="AT103" s="83" t="str">
        <f>HYPERLINK("https://www.youtube.com/channel/UCK6MI5zP7kCf1pv1_d_nJ7g")</f>
        <v>https://www.youtube.com/channel/UCK6MI5zP7kCf1pv1_d_nJ7g</v>
      </c>
      <c r="AU103" s="81">
        <v>4</v>
      </c>
      <c r="AV103" s="49">
        <v>1</v>
      </c>
      <c r="AW103" s="50">
        <v>2.5</v>
      </c>
      <c r="AX103" s="49">
        <v>1</v>
      </c>
      <c r="AY103" s="50">
        <v>2.5</v>
      </c>
      <c r="AZ103" s="49">
        <v>0</v>
      </c>
      <c r="BA103" s="50">
        <v>0</v>
      </c>
      <c r="BB103" s="49">
        <v>22</v>
      </c>
      <c r="BC103" s="50">
        <v>55</v>
      </c>
      <c r="BD103" s="49">
        <v>40</v>
      </c>
      <c r="BE103" s="49"/>
      <c r="BF103" s="49"/>
      <c r="BG103" s="49"/>
      <c r="BH103" s="49"/>
      <c r="BI103" s="49"/>
      <c r="BJ103" s="49"/>
      <c r="BK103" s="115" t="s">
        <v>2652</v>
      </c>
      <c r="BL103" s="115" t="s">
        <v>2652</v>
      </c>
      <c r="BM103" s="115" t="s">
        <v>3128</v>
      </c>
      <c r="BN103" s="115" t="s">
        <v>3128</v>
      </c>
      <c r="BO103" s="2"/>
      <c r="BP103" s="3"/>
      <c r="BQ103" s="3"/>
      <c r="BR103" s="3"/>
      <c r="BS103" s="3"/>
    </row>
    <row r="104" spans="1:71" ht="15">
      <c r="A104" s="66" t="s">
        <v>322</v>
      </c>
      <c r="B104" s="67"/>
      <c r="C104" s="67"/>
      <c r="D104" s="68">
        <v>150</v>
      </c>
      <c r="E104" s="70"/>
      <c r="F104" s="102" t="str">
        <f>HYPERLINK("https://yt3.ggpht.com/ytc/AOPolaT4sDiCfiX5bwdlA5U6MYX-a5fViQ-YMjRL6wmE9g=s88-c-k-c0x00ffffff-no-rj")</f>
        <v>https://yt3.ggpht.com/ytc/AOPolaT4sDiCfiX5bwdlA5U6MYX-a5fViQ-YMjRL6wmE9g=s88-c-k-c0x00ffffff-no-rj</v>
      </c>
      <c r="G104" s="67"/>
      <c r="H104" s="71" t="s">
        <v>1399</v>
      </c>
      <c r="I104" s="72"/>
      <c r="J104" s="72" t="s">
        <v>159</v>
      </c>
      <c r="K104" s="71" t="s">
        <v>1399</v>
      </c>
      <c r="L104" s="75">
        <v>1</v>
      </c>
      <c r="M104" s="76">
        <v>6849.7138671875</v>
      </c>
      <c r="N104" s="76">
        <v>6262.3701171875</v>
      </c>
      <c r="O104" s="77"/>
      <c r="P104" s="78"/>
      <c r="Q104" s="78"/>
      <c r="R104" s="88"/>
      <c r="S104" s="49">
        <v>0</v>
      </c>
      <c r="T104" s="49">
        <v>1</v>
      </c>
      <c r="U104" s="50">
        <v>0</v>
      </c>
      <c r="V104" s="50">
        <v>0.056822</v>
      </c>
      <c r="W104" s="50">
        <v>0</v>
      </c>
      <c r="X104" s="50">
        <v>0.001581</v>
      </c>
      <c r="Y104" s="50">
        <v>0</v>
      </c>
      <c r="Z104" s="50">
        <v>0</v>
      </c>
      <c r="AA104" s="73">
        <v>104</v>
      </c>
      <c r="AB104" s="73"/>
      <c r="AC104" s="74"/>
      <c r="AD104" s="81" t="s">
        <v>1399</v>
      </c>
      <c r="AE104" s="81"/>
      <c r="AF104" s="81"/>
      <c r="AG104" s="81"/>
      <c r="AH104" s="81"/>
      <c r="AI104" s="81" t="s">
        <v>2120</v>
      </c>
      <c r="AJ104" s="85">
        <v>42944.882627314815</v>
      </c>
      <c r="AK104" s="83" t="str">
        <f>HYPERLINK("https://yt3.ggpht.com/ytc/AOPolaT4sDiCfiX5bwdlA5U6MYX-a5fViQ-YMjRL6wmE9g=s88-c-k-c0x00ffffff-no-rj")</f>
        <v>https://yt3.ggpht.com/ytc/AOPolaT4sDiCfiX5bwdlA5U6MYX-a5fViQ-YMjRL6wmE9g=s88-c-k-c0x00ffffff-no-rj</v>
      </c>
      <c r="AL104" s="81">
        <v>112</v>
      </c>
      <c r="AM104" s="81">
        <v>0</v>
      </c>
      <c r="AN104" s="81">
        <v>5</v>
      </c>
      <c r="AO104" s="81" t="b">
        <v>0</v>
      </c>
      <c r="AP104" s="81">
        <v>2</v>
      </c>
      <c r="AQ104" s="81"/>
      <c r="AR104" s="81"/>
      <c r="AS104" s="81" t="s">
        <v>2571</v>
      </c>
      <c r="AT104" s="83" t="str">
        <f>HYPERLINK("https://www.youtube.com/channel/UCIDy2RwI4OpXpxA7vHefKJg")</f>
        <v>https://www.youtube.com/channel/UCIDy2RwI4OpXpxA7vHefKJg</v>
      </c>
      <c r="AU104" s="81">
        <v>4</v>
      </c>
      <c r="AV104" s="49">
        <v>0</v>
      </c>
      <c r="AW104" s="50">
        <v>0</v>
      </c>
      <c r="AX104" s="49">
        <v>1</v>
      </c>
      <c r="AY104" s="50">
        <v>5.555555555555555</v>
      </c>
      <c r="AZ104" s="49">
        <v>0</v>
      </c>
      <c r="BA104" s="50">
        <v>0</v>
      </c>
      <c r="BB104" s="49">
        <v>7</v>
      </c>
      <c r="BC104" s="50">
        <v>38.888888888888886</v>
      </c>
      <c r="BD104" s="49">
        <v>18</v>
      </c>
      <c r="BE104" s="49"/>
      <c r="BF104" s="49"/>
      <c r="BG104" s="49"/>
      <c r="BH104" s="49"/>
      <c r="BI104" s="49"/>
      <c r="BJ104" s="49"/>
      <c r="BK104" s="115" t="s">
        <v>2653</v>
      </c>
      <c r="BL104" s="115" t="s">
        <v>2653</v>
      </c>
      <c r="BM104" s="115" t="s">
        <v>3129</v>
      </c>
      <c r="BN104" s="115" t="s">
        <v>3129</v>
      </c>
      <c r="BO104" s="2"/>
      <c r="BP104" s="3"/>
      <c r="BQ104" s="3"/>
      <c r="BR104" s="3"/>
      <c r="BS104" s="3"/>
    </row>
    <row r="105" spans="1:71" ht="15">
      <c r="A105" s="66" t="s">
        <v>323</v>
      </c>
      <c r="B105" s="67"/>
      <c r="C105" s="67"/>
      <c r="D105" s="68">
        <v>150</v>
      </c>
      <c r="E105" s="70"/>
      <c r="F105" s="102" t="str">
        <f>HYPERLINK("https://yt3.ggpht.com/dNAO0KMt1RxumWE5-QwMrz37mOaNV7Ccqx-VgpmQ3bf4ni-GrC2GtBzpgQFbw3egnuEyT-745w=s88-c-k-c0x00ffffff-no-rj")</f>
        <v>https://yt3.ggpht.com/dNAO0KMt1RxumWE5-QwMrz37mOaNV7Ccqx-VgpmQ3bf4ni-GrC2GtBzpgQFbw3egnuEyT-745w=s88-c-k-c0x00ffffff-no-rj</v>
      </c>
      <c r="G105" s="67"/>
      <c r="H105" s="71" t="s">
        <v>1400</v>
      </c>
      <c r="I105" s="72"/>
      <c r="J105" s="72" t="s">
        <v>159</v>
      </c>
      <c r="K105" s="71" t="s">
        <v>1400</v>
      </c>
      <c r="L105" s="75">
        <v>1</v>
      </c>
      <c r="M105" s="76">
        <v>8422.439453125</v>
      </c>
      <c r="N105" s="76">
        <v>5978.07470703125</v>
      </c>
      <c r="O105" s="77"/>
      <c r="P105" s="78"/>
      <c r="Q105" s="78"/>
      <c r="R105" s="88"/>
      <c r="S105" s="49">
        <v>0</v>
      </c>
      <c r="T105" s="49">
        <v>1</v>
      </c>
      <c r="U105" s="50">
        <v>0</v>
      </c>
      <c r="V105" s="50">
        <v>0.056822</v>
      </c>
      <c r="W105" s="50">
        <v>0</v>
      </c>
      <c r="X105" s="50">
        <v>0.001581</v>
      </c>
      <c r="Y105" s="50">
        <v>0</v>
      </c>
      <c r="Z105" s="50">
        <v>0</v>
      </c>
      <c r="AA105" s="73">
        <v>105</v>
      </c>
      <c r="AB105" s="73"/>
      <c r="AC105" s="74"/>
      <c r="AD105" s="81" t="s">
        <v>1400</v>
      </c>
      <c r="AE105" s="81" t="s">
        <v>1932</v>
      </c>
      <c r="AF105" s="81"/>
      <c r="AG105" s="81"/>
      <c r="AH105" s="81"/>
      <c r="AI105" s="81" t="s">
        <v>2121</v>
      </c>
      <c r="AJ105" s="85">
        <v>44693.88202546296</v>
      </c>
      <c r="AK105" s="83" t="str">
        <f>HYPERLINK("https://yt3.ggpht.com/dNAO0KMt1RxumWE5-QwMrz37mOaNV7Ccqx-VgpmQ3bf4ni-GrC2GtBzpgQFbw3egnuEyT-745w=s88-c-k-c0x00ffffff-no-rj")</f>
        <v>https://yt3.ggpht.com/dNAO0KMt1RxumWE5-QwMrz37mOaNV7Ccqx-VgpmQ3bf4ni-GrC2GtBzpgQFbw3egnuEyT-745w=s88-c-k-c0x00ffffff-no-rj</v>
      </c>
      <c r="AL105" s="81">
        <v>97</v>
      </c>
      <c r="AM105" s="81">
        <v>0</v>
      </c>
      <c r="AN105" s="81">
        <v>1</v>
      </c>
      <c r="AO105" s="81" t="b">
        <v>0</v>
      </c>
      <c r="AP105" s="81">
        <v>8</v>
      </c>
      <c r="AQ105" s="81"/>
      <c r="AR105" s="81"/>
      <c r="AS105" s="81" t="s">
        <v>2571</v>
      </c>
      <c r="AT105" s="83" t="str">
        <f>HYPERLINK("https://www.youtube.com/channel/UCzP9bEmqy6rusl5xAIv-xrA")</f>
        <v>https://www.youtube.com/channel/UCzP9bEmqy6rusl5xAIv-xrA</v>
      </c>
      <c r="AU105" s="81">
        <v>4</v>
      </c>
      <c r="AV105" s="49">
        <v>0</v>
      </c>
      <c r="AW105" s="50">
        <v>0</v>
      </c>
      <c r="AX105" s="49">
        <v>1</v>
      </c>
      <c r="AY105" s="50">
        <v>33.333333333333336</v>
      </c>
      <c r="AZ105" s="49">
        <v>0</v>
      </c>
      <c r="BA105" s="50">
        <v>0</v>
      </c>
      <c r="BB105" s="49">
        <v>0</v>
      </c>
      <c r="BC105" s="50">
        <v>0</v>
      </c>
      <c r="BD105" s="49">
        <v>3</v>
      </c>
      <c r="BE105" s="49"/>
      <c r="BF105" s="49"/>
      <c r="BG105" s="49"/>
      <c r="BH105" s="49"/>
      <c r="BI105" s="49"/>
      <c r="BJ105" s="49"/>
      <c r="BK105" s="115" t="s">
        <v>2654</v>
      </c>
      <c r="BL105" s="115" t="s">
        <v>2654</v>
      </c>
      <c r="BM105" s="115" t="s">
        <v>4477</v>
      </c>
      <c r="BN105" s="115" t="s">
        <v>4477</v>
      </c>
      <c r="BO105" s="2"/>
      <c r="BP105" s="3"/>
      <c r="BQ105" s="3"/>
      <c r="BR105" s="3"/>
      <c r="BS105" s="3"/>
    </row>
    <row r="106" spans="1:71" ht="15">
      <c r="A106" s="66" t="s">
        <v>324</v>
      </c>
      <c r="B106" s="67"/>
      <c r="C106" s="67"/>
      <c r="D106" s="68">
        <v>150</v>
      </c>
      <c r="E106" s="70"/>
      <c r="F106" s="102" t="str">
        <f>HYPERLINK("https://yt3.ggpht.com/ytc/AOPolaRNGuS27ldplpnnhH1nGTBu6Cj36npXMvgRZNWYNA=s88-c-k-c0x00ffffff-no-rj")</f>
        <v>https://yt3.ggpht.com/ytc/AOPolaRNGuS27ldplpnnhH1nGTBu6Cj36npXMvgRZNWYNA=s88-c-k-c0x00ffffff-no-rj</v>
      </c>
      <c r="G106" s="67"/>
      <c r="H106" s="71" t="s">
        <v>1401</v>
      </c>
      <c r="I106" s="72"/>
      <c r="J106" s="72" t="s">
        <v>159</v>
      </c>
      <c r="K106" s="71" t="s">
        <v>1401</v>
      </c>
      <c r="L106" s="75">
        <v>1</v>
      </c>
      <c r="M106" s="76">
        <v>6474.20947265625</v>
      </c>
      <c r="N106" s="76">
        <v>4632.31201171875</v>
      </c>
      <c r="O106" s="77"/>
      <c r="P106" s="78"/>
      <c r="Q106" s="78"/>
      <c r="R106" s="88"/>
      <c r="S106" s="49">
        <v>0</v>
      </c>
      <c r="T106" s="49">
        <v>1</v>
      </c>
      <c r="U106" s="50">
        <v>0</v>
      </c>
      <c r="V106" s="50">
        <v>0.056822</v>
      </c>
      <c r="W106" s="50">
        <v>0</v>
      </c>
      <c r="X106" s="50">
        <v>0.001581</v>
      </c>
      <c r="Y106" s="50">
        <v>0</v>
      </c>
      <c r="Z106" s="50">
        <v>0</v>
      </c>
      <c r="AA106" s="73">
        <v>106</v>
      </c>
      <c r="AB106" s="73"/>
      <c r="AC106" s="74"/>
      <c r="AD106" s="81" t="s">
        <v>1401</v>
      </c>
      <c r="AE106" s="81" t="s">
        <v>1933</v>
      </c>
      <c r="AF106" s="81"/>
      <c r="AG106" s="81"/>
      <c r="AH106" s="81"/>
      <c r="AI106" s="81" t="s">
        <v>2122</v>
      </c>
      <c r="AJ106" s="85">
        <v>41263.0009375</v>
      </c>
      <c r="AK106" s="83" t="str">
        <f>HYPERLINK("https://yt3.ggpht.com/ytc/AOPolaRNGuS27ldplpnnhH1nGTBu6Cj36npXMvgRZNWYNA=s88-c-k-c0x00ffffff-no-rj")</f>
        <v>https://yt3.ggpht.com/ytc/AOPolaRNGuS27ldplpnnhH1nGTBu6Cj36npXMvgRZNWYNA=s88-c-k-c0x00ffffff-no-rj</v>
      </c>
      <c r="AL106" s="81">
        <v>0</v>
      </c>
      <c r="AM106" s="81">
        <v>0</v>
      </c>
      <c r="AN106" s="81">
        <v>9</v>
      </c>
      <c r="AO106" s="81" t="b">
        <v>0</v>
      </c>
      <c r="AP106" s="81">
        <v>0</v>
      </c>
      <c r="AQ106" s="81"/>
      <c r="AR106" s="81"/>
      <c r="AS106" s="81" t="s">
        <v>2571</v>
      </c>
      <c r="AT106" s="83" t="str">
        <f>HYPERLINK("https://www.youtube.com/channel/UCBDmMIl7xaotZ_ZYgIXys1A")</f>
        <v>https://www.youtube.com/channel/UCBDmMIl7xaotZ_ZYgIXys1A</v>
      </c>
      <c r="AU106" s="81">
        <v>4</v>
      </c>
      <c r="AV106" s="49">
        <v>0</v>
      </c>
      <c r="AW106" s="50">
        <v>0</v>
      </c>
      <c r="AX106" s="49">
        <v>0</v>
      </c>
      <c r="AY106" s="50">
        <v>0</v>
      </c>
      <c r="AZ106" s="49">
        <v>0</v>
      </c>
      <c r="BA106" s="50">
        <v>0</v>
      </c>
      <c r="BB106" s="49">
        <v>8</v>
      </c>
      <c r="BC106" s="50">
        <v>42.10526315789474</v>
      </c>
      <c r="BD106" s="49">
        <v>19</v>
      </c>
      <c r="BE106" s="49"/>
      <c r="BF106" s="49"/>
      <c r="BG106" s="49"/>
      <c r="BH106" s="49"/>
      <c r="BI106" s="49"/>
      <c r="BJ106" s="49"/>
      <c r="BK106" s="115" t="s">
        <v>2655</v>
      </c>
      <c r="BL106" s="115" t="s">
        <v>2655</v>
      </c>
      <c r="BM106" s="115" t="s">
        <v>3130</v>
      </c>
      <c r="BN106" s="115" t="s">
        <v>3130</v>
      </c>
      <c r="BO106" s="2"/>
      <c r="BP106" s="3"/>
      <c r="BQ106" s="3"/>
      <c r="BR106" s="3"/>
      <c r="BS106" s="3"/>
    </row>
    <row r="107" spans="1:71" ht="15">
      <c r="A107" s="66" t="s">
        <v>325</v>
      </c>
      <c r="B107" s="67"/>
      <c r="C107" s="67"/>
      <c r="D107" s="68">
        <v>150</v>
      </c>
      <c r="E107" s="70"/>
      <c r="F107" s="102" t="str">
        <f>HYPERLINK("https://yt3.ggpht.com/ytc/AOPolaSB-TAJNH14HFR2X0Gv2N3PxKyUiGFjbwIPWA=s88-c-k-c0x00ffffff-no-rj")</f>
        <v>https://yt3.ggpht.com/ytc/AOPolaSB-TAJNH14HFR2X0Gv2N3PxKyUiGFjbwIPWA=s88-c-k-c0x00ffffff-no-rj</v>
      </c>
      <c r="G107" s="67"/>
      <c r="H107" s="71" t="s">
        <v>1402</v>
      </c>
      <c r="I107" s="72"/>
      <c r="J107" s="72" t="s">
        <v>159</v>
      </c>
      <c r="K107" s="71" t="s">
        <v>1402</v>
      </c>
      <c r="L107" s="75">
        <v>1</v>
      </c>
      <c r="M107" s="76">
        <v>9457.6884765625</v>
      </c>
      <c r="N107" s="76">
        <v>5683.69287109375</v>
      </c>
      <c r="O107" s="77"/>
      <c r="P107" s="78"/>
      <c r="Q107" s="78"/>
      <c r="R107" s="88"/>
      <c r="S107" s="49">
        <v>0</v>
      </c>
      <c r="T107" s="49">
        <v>1</v>
      </c>
      <c r="U107" s="50">
        <v>0</v>
      </c>
      <c r="V107" s="50">
        <v>0.056822</v>
      </c>
      <c r="W107" s="50">
        <v>0</v>
      </c>
      <c r="X107" s="50">
        <v>0.001581</v>
      </c>
      <c r="Y107" s="50">
        <v>0</v>
      </c>
      <c r="Z107" s="50">
        <v>0</v>
      </c>
      <c r="AA107" s="73">
        <v>107</v>
      </c>
      <c r="AB107" s="73"/>
      <c r="AC107" s="74"/>
      <c r="AD107" s="81" t="s">
        <v>1402</v>
      </c>
      <c r="AE107" s="81"/>
      <c r="AF107" s="81"/>
      <c r="AG107" s="81"/>
      <c r="AH107" s="81"/>
      <c r="AI107" s="81" t="s">
        <v>2123</v>
      </c>
      <c r="AJ107" s="85">
        <v>42222.7472337963</v>
      </c>
      <c r="AK107" s="83" t="str">
        <f>HYPERLINK("https://yt3.ggpht.com/ytc/AOPolaSB-TAJNH14HFR2X0Gv2N3PxKyUiGFjbwIPWA=s88-c-k-c0x00ffffff-no-rj")</f>
        <v>https://yt3.ggpht.com/ytc/AOPolaSB-TAJNH14HFR2X0Gv2N3PxKyUiGFjbwIPWA=s88-c-k-c0x00ffffff-no-rj</v>
      </c>
      <c r="AL107" s="81">
        <v>0</v>
      </c>
      <c r="AM107" s="81">
        <v>0</v>
      </c>
      <c r="AN107" s="81">
        <v>0</v>
      </c>
      <c r="AO107" s="81" t="b">
        <v>0</v>
      </c>
      <c r="AP107" s="81">
        <v>0</v>
      </c>
      <c r="AQ107" s="81"/>
      <c r="AR107" s="81"/>
      <c r="AS107" s="81" t="s">
        <v>2571</v>
      </c>
      <c r="AT107" s="83" t="str">
        <f>HYPERLINK("https://www.youtube.com/channel/UCP9Tu8lLXl-cwVLL1_4kV_g")</f>
        <v>https://www.youtube.com/channel/UCP9Tu8lLXl-cwVLL1_4kV_g</v>
      </c>
      <c r="AU107" s="81">
        <v>4</v>
      </c>
      <c r="AV107" s="49">
        <v>3</v>
      </c>
      <c r="AW107" s="50">
        <v>6.122448979591836</v>
      </c>
      <c r="AX107" s="49">
        <v>1</v>
      </c>
      <c r="AY107" s="50">
        <v>2.0408163265306123</v>
      </c>
      <c r="AZ107" s="49">
        <v>0</v>
      </c>
      <c r="BA107" s="50">
        <v>0</v>
      </c>
      <c r="BB107" s="49">
        <v>18</v>
      </c>
      <c r="BC107" s="50">
        <v>36.734693877551024</v>
      </c>
      <c r="BD107" s="49">
        <v>49</v>
      </c>
      <c r="BE107" s="49"/>
      <c r="BF107" s="49"/>
      <c r="BG107" s="49"/>
      <c r="BH107" s="49"/>
      <c r="BI107" s="49"/>
      <c r="BJ107" s="49"/>
      <c r="BK107" s="115" t="s">
        <v>2656</v>
      </c>
      <c r="BL107" s="115" t="s">
        <v>2656</v>
      </c>
      <c r="BM107" s="115" t="s">
        <v>3131</v>
      </c>
      <c r="BN107" s="115" t="s">
        <v>3131</v>
      </c>
      <c r="BO107" s="2"/>
      <c r="BP107" s="3"/>
      <c r="BQ107" s="3"/>
      <c r="BR107" s="3"/>
      <c r="BS107" s="3"/>
    </row>
    <row r="108" spans="1:71" ht="15">
      <c r="A108" s="66" t="s">
        <v>326</v>
      </c>
      <c r="B108" s="67"/>
      <c r="C108" s="67"/>
      <c r="D108" s="68">
        <v>150</v>
      </c>
      <c r="E108" s="70"/>
      <c r="F108" s="102" t="str">
        <f>HYPERLINK("https://yt3.ggpht.com/ytc/AOPolaR6ygFioThxFSOHpgfb8YGzpWpzOFA14xAChQ=s88-c-k-c0x00ffffff-no-rj")</f>
        <v>https://yt3.ggpht.com/ytc/AOPolaR6ygFioThxFSOHpgfb8YGzpWpzOFA14xAChQ=s88-c-k-c0x00ffffff-no-rj</v>
      </c>
      <c r="G108" s="67"/>
      <c r="H108" s="71" t="s">
        <v>1403</v>
      </c>
      <c r="I108" s="72"/>
      <c r="J108" s="72" t="s">
        <v>159</v>
      </c>
      <c r="K108" s="71" t="s">
        <v>1403</v>
      </c>
      <c r="L108" s="75">
        <v>1</v>
      </c>
      <c r="M108" s="76">
        <v>8694.1123046875</v>
      </c>
      <c r="N108" s="76">
        <v>4587.06396484375</v>
      </c>
      <c r="O108" s="77"/>
      <c r="P108" s="78"/>
      <c r="Q108" s="78"/>
      <c r="R108" s="88"/>
      <c r="S108" s="49">
        <v>0</v>
      </c>
      <c r="T108" s="49">
        <v>1</v>
      </c>
      <c r="U108" s="50">
        <v>0</v>
      </c>
      <c r="V108" s="50">
        <v>0.056822</v>
      </c>
      <c r="W108" s="50">
        <v>0</v>
      </c>
      <c r="X108" s="50">
        <v>0.001581</v>
      </c>
      <c r="Y108" s="50">
        <v>0</v>
      </c>
      <c r="Z108" s="50">
        <v>0</v>
      </c>
      <c r="AA108" s="73">
        <v>108</v>
      </c>
      <c r="AB108" s="73"/>
      <c r="AC108" s="74"/>
      <c r="AD108" s="81" t="s">
        <v>1403</v>
      </c>
      <c r="AE108" s="81"/>
      <c r="AF108" s="81"/>
      <c r="AG108" s="81"/>
      <c r="AH108" s="81"/>
      <c r="AI108" s="81" t="s">
        <v>2124</v>
      </c>
      <c r="AJ108" s="85">
        <v>41589.71108796296</v>
      </c>
      <c r="AK108" s="83" t="str">
        <f>HYPERLINK("https://yt3.ggpht.com/ytc/AOPolaR6ygFioThxFSOHpgfb8YGzpWpzOFA14xAChQ=s88-c-k-c0x00ffffff-no-rj")</f>
        <v>https://yt3.ggpht.com/ytc/AOPolaR6ygFioThxFSOHpgfb8YGzpWpzOFA14xAChQ=s88-c-k-c0x00ffffff-no-rj</v>
      </c>
      <c r="AL108" s="81">
        <v>0</v>
      </c>
      <c r="AM108" s="81">
        <v>0</v>
      </c>
      <c r="AN108" s="81">
        <v>3</v>
      </c>
      <c r="AO108" s="81" t="b">
        <v>0</v>
      </c>
      <c r="AP108" s="81">
        <v>0</v>
      </c>
      <c r="AQ108" s="81"/>
      <c r="AR108" s="81"/>
      <c r="AS108" s="81" t="s">
        <v>2571</v>
      </c>
      <c r="AT108" s="83" t="str">
        <f>HYPERLINK("https://www.youtube.com/channel/UC3T6vcfVSrtVBPvF5T_xa0w")</f>
        <v>https://www.youtube.com/channel/UC3T6vcfVSrtVBPvF5T_xa0w</v>
      </c>
      <c r="AU108" s="81">
        <v>4</v>
      </c>
      <c r="AV108" s="49">
        <v>0</v>
      </c>
      <c r="AW108" s="50">
        <v>0</v>
      </c>
      <c r="AX108" s="49">
        <v>0</v>
      </c>
      <c r="AY108" s="50">
        <v>0</v>
      </c>
      <c r="AZ108" s="49">
        <v>0</v>
      </c>
      <c r="BA108" s="50">
        <v>0</v>
      </c>
      <c r="BB108" s="49">
        <v>8</v>
      </c>
      <c r="BC108" s="50">
        <v>32</v>
      </c>
      <c r="BD108" s="49">
        <v>25</v>
      </c>
      <c r="BE108" s="49"/>
      <c r="BF108" s="49"/>
      <c r="BG108" s="49"/>
      <c r="BH108" s="49"/>
      <c r="BI108" s="49"/>
      <c r="BJ108" s="49"/>
      <c r="BK108" s="115" t="s">
        <v>2657</v>
      </c>
      <c r="BL108" s="115" t="s">
        <v>2657</v>
      </c>
      <c r="BM108" s="115" t="s">
        <v>3132</v>
      </c>
      <c r="BN108" s="115" t="s">
        <v>3132</v>
      </c>
      <c r="BO108" s="2"/>
      <c r="BP108" s="3"/>
      <c r="BQ108" s="3"/>
      <c r="BR108" s="3"/>
      <c r="BS108" s="3"/>
    </row>
    <row r="109" spans="1:71" ht="15">
      <c r="A109" s="66" t="s">
        <v>327</v>
      </c>
      <c r="B109" s="67"/>
      <c r="C109" s="67"/>
      <c r="D109" s="68">
        <v>150</v>
      </c>
      <c r="E109" s="70"/>
      <c r="F109" s="102" t="str">
        <f>HYPERLINK("https://yt3.ggpht.com/ytc/AOPolaR5wQmfMvGx_tMXlKG0zHPstIsuiCDnDyz0oQ=s88-c-k-c0x00ffffff-no-rj")</f>
        <v>https://yt3.ggpht.com/ytc/AOPolaR5wQmfMvGx_tMXlKG0zHPstIsuiCDnDyz0oQ=s88-c-k-c0x00ffffff-no-rj</v>
      </c>
      <c r="G109" s="67"/>
      <c r="H109" s="71" t="s">
        <v>1404</v>
      </c>
      <c r="I109" s="72"/>
      <c r="J109" s="72" t="s">
        <v>159</v>
      </c>
      <c r="K109" s="71" t="s">
        <v>1404</v>
      </c>
      <c r="L109" s="75">
        <v>1</v>
      </c>
      <c r="M109" s="76">
        <v>9773.3857421875</v>
      </c>
      <c r="N109" s="76">
        <v>5837.46875</v>
      </c>
      <c r="O109" s="77"/>
      <c r="P109" s="78"/>
      <c r="Q109" s="78"/>
      <c r="R109" s="88"/>
      <c r="S109" s="49">
        <v>0</v>
      </c>
      <c r="T109" s="49">
        <v>1</v>
      </c>
      <c r="U109" s="50">
        <v>0</v>
      </c>
      <c r="V109" s="50">
        <v>0.056822</v>
      </c>
      <c r="W109" s="50">
        <v>0</v>
      </c>
      <c r="X109" s="50">
        <v>0.001581</v>
      </c>
      <c r="Y109" s="50">
        <v>0</v>
      </c>
      <c r="Z109" s="50">
        <v>0</v>
      </c>
      <c r="AA109" s="73">
        <v>109</v>
      </c>
      <c r="AB109" s="73"/>
      <c r="AC109" s="74"/>
      <c r="AD109" s="81" t="s">
        <v>1404</v>
      </c>
      <c r="AE109" s="81"/>
      <c r="AF109" s="81"/>
      <c r="AG109" s="81"/>
      <c r="AH109" s="81"/>
      <c r="AI109" s="81" t="s">
        <v>2125</v>
      </c>
      <c r="AJ109" s="85">
        <v>42909.48571759259</v>
      </c>
      <c r="AK109" s="83" t="str">
        <f>HYPERLINK("https://yt3.ggpht.com/ytc/AOPolaR5wQmfMvGx_tMXlKG0zHPstIsuiCDnDyz0oQ=s88-c-k-c0x00ffffff-no-rj")</f>
        <v>https://yt3.ggpht.com/ytc/AOPolaR5wQmfMvGx_tMXlKG0zHPstIsuiCDnDyz0oQ=s88-c-k-c0x00ffffff-no-rj</v>
      </c>
      <c r="AL109" s="81">
        <v>0</v>
      </c>
      <c r="AM109" s="81">
        <v>0</v>
      </c>
      <c r="AN109" s="81">
        <v>0</v>
      </c>
      <c r="AO109" s="81" t="b">
        <v>0</v>
      </c>
      <c r="AP109" s="81">
        <v>0</v>
      </c>
      <c r="AQ109" s="81"/>
      <c r="AR109" s="81"/>
      <c r="AS109" s="81" t="s">
        <v>2571</v>
      </c>
      <c r="AT109" s="83" t="str">
        <f>HYPERLINK("https://www.youtube.com/channel/UCSVb_doMhFCuWEB-jKFFBwg")</f>
        <v>https://www.youtube.com/channel/UCSVb_doMhFCuWEB-jKFFBwg</v>
      </c>
      <c r="AU109" s="81">
        <v>4</v>
      </c>
      <c r="AV109" s="49">
        <v>0</v>
      </c>
      <c r="AW109" s="50">
        <v>0</v>
      </c>
      <c r="AX109" s="49">
        <v>1</v>
      </c>
      <c r="AY109" s="50">
        <v>100</v>
      </c>
      <c r="AZ109" s="49">
        <v>0</v>
      </c>
      <c r="BA109" s="50">
        <v>0</v>
      </c>
      <c r="BB109" s="49">
        <v>0</v>
      </c>
      <c r="BC109" s="50">
        <v>0</v>
      </c>
      <c r="BD109" s="49">
        <v>1</v>
      </c>
      <c r="BE109" s="49"/>
      <c r="BF109" s="49"/>
      <c r="BG109" s="49"/>
      <c r="BH109" s="49"/>
      <c r="BI109" s="49"/>
      <c r="BJ109" s="49"/>
      <c r="BK109" s="115" t="s">
        <v>884</v>
      </c>
      <c r="BL109" s="115" t="s">
        <v>884</v>
      </c>
      <c r="BM109" s="115" t="s">
        <v>4477</v>
      </c>
      <c r="BN109" s="115" t="s">
        <v>4477</v>
      </c>
      <c r="BO109" s="2"/>
      <c r="BP109" s="3"/>
      <c r="BQ109" s="3"/>
      <c r="BR109" s="3"/>
      <c r="BS109" s="3"/>
    </row>
    <row r="110" spans="1:71" ht="15">
      <c r="A110" s="66" t="s">
        <v>328</v>
      </c>
      <c r="B110" s="67"/>
      <c r="C110" s="67"/>
      <c r="D110" s="68">
        <v>150</v>
      </c>
      <c r="E110" s="70"/>
      <c r="F110" s="102" t="str">
        <f>HYPERLINK("https://yt3.ggpht.com/ytc/AOPolaR5GmdKAXaJ--M9zBD00CCxKmVaKhlLUxYD-zM0=s88-c-k-c0x00ffffff-no-rj")</f>
        <v>https://yt3.ggpht.com/ytc/AOPolaR5GmdKAXaJ--M9zBD00CCxKmVaKhlLUxYD-zM0=s88-c-k-c0x00ffffff-no-rj</v>
      </c>
      <c r="G110" s="67"/>
      <c r="H110" s="71" t="s">
        <v>1405</v>
      </c>
      <c r="I110" s="72"/>
      <c r="J110" s="72" t="s">
        <v>159</v>
      </c>
      <c r="K110" s="71" t="s">
        <v>1405</v>
      </c>
      <c r="L110" s="75">
        <v>1</v>
      </c>
      <c r="M110" s="76">
        <v>6328.8095703125</v>
      </c>
      <c r="N110" s="76">
        <v>5409.79345703125</v>
      </c>
      <c r="O110" s="77"/>
      <c r="P110" s="78"/>
      <c r="Q110" s="78"/>
      <c r="R110" s="88"/>
      <c r="S110" s="49">
        <v>0</v>
      </c>
      <c r="T110" s="49">
        <v>1</v>
      </c>
      <c r="U110" s="50">
        <v>0</v>
      </c>
      <c r="V110" s="50">
        <v>0.056822</v>
      </c>
      <c r="W110" s="50">
        <v>0</v>
      </c>
      <c r="X110" s="50">
        <v>0.001581</v>
      </c>
      <c r="Y110" s="50">
        <v>0</v>
      </c>
      <c r="Z110" s="50">
        <v>0</v>
      </c>
      <c r="AA110" s="73">
        <v>110</v>
      </c>
      <c r="AB110" s="73"/>
      <c r="AC110" s="74"/>
      <c r="AD110" s="81" t="s">
        <v>1405</v>
      </c>
      <c r="AE110" s="81"/>
      <c r="AF110" s="81"/>
      <c r="AG110" s="81"/>
      <c r="AH110" s="81"/>
      <c r="AI110" s="81" t="s">
        <v>2126</v>
      </c>
      <c r="AJ110" s="85">
        <v>43551.137824074074</v>
      </c>
      <c r="AK110" s="83" t="str">
        <f>HYPERLINK("https://yt3.ggpht.com/ytc/AOPolaR5GmdKAXaJ--M9zBD00CCxKmVaKhlLUxYD-zM0=s88-c-k-c0x00ffffff-no-rj")</f>
        <v>https://yt3.ggpht.com/ytc/AOPolaR5GmdKAXaJ--M9zBD00CCxKmVaKhlLUxYD-zM0=s88-c-k-c0x00ffffff-no-rj</v>
      </c>
      <c r="AL110" s="81">
        <v>760</v>
      </c>
      <c r="AM110" s="81">
        <v>0</v>
      </c>
      <c r="AN110" s="81">
        <v>3</v>
      </c>
      <c r="AO110" s="81" t="b">
        <v>0</v>
      </c>
      <c r="AP110" s="81">
        <v>3</v>
      </c>
      <c r="AQ110" s="81"/>
      <c r="AR110" s="81"/>
      <c r="AS110" s="81" t="s">
        <v>2571</v>
      </c>
      <c r="AT110" s="83" t="str">
        <f>HYPERLINK("https://www.youtube.com/channel/UCouml9o85CbzVWdG5kzcueA")</f>
        <v>https://www.youtube.com/channel/UCouml9o85CbzVWdG5kzcueA</v>
      </c>
      <c r="AU110" s="81">
        <v>4</v>
      </c>
      <c r="AV110" s="49">
        <v>0</v>
      </c>
      <c r="AW110" s="50">
        <v>0</v>
      </c>
      <c r="AX110" s="49">
        <v>0</v>
      </c>
      <c r="AY110" s="50">
        <v>0</v>
      </c>
      <c r="AZ110" s="49">
        <v>0</v>
      </c>
      <c r="BA110" s="50">
        <v>0</v>
      </c>
      <c r="BB110" s="49">
        <v>1</v>
      </c>
      <c r="BC110" s="50">
        <v>33.333333333333336</v>
      </c>
      <c r="BD110" s="49">
        <v>3</v>
      </c>
      <c r="BE110" s="49"/>
      <c r="BF110" s="49"/>
      <c r="BG110" s="49"/>
      <c r="BH110" s="49"/>
      <c r="BI110" s="49"/>
      <c r="BJ110" s="49"/>
      <c r="BK110" s="115" t="s">
        <v>2658</v>
      </c>
      <c r="BL110" s="115" t="s">
        <v>2658</v>
      </c>
      <c r="BM110" s="115" t="s">
        <v>4477</v>
      </c>
      <c r="BN110" s="115" t="s">
        <v>4477</v>
      </c>
      <c r="BO110" s="2"/>
      <c r="BP110" s="3"/>
      <c r="BQ110" s="3"/>
      <c r="BR110" s="3"/>
      <c r="BS110" s="3"/>
    </row>
    <row r="111" spans="1:71" ht="15">
      <c r="A111" s="66" t="s">
        <v>329</v>
      </c>
      <c r="B111" s="67"/>
      <c r="C111" s="67"/>
      <c r="D111" s="68">
        <v>150</v>
      </c>
      <c r="E111" s="70"/>
      <c r="F111" s="102" t="str">
        <f>HYPERLINK("https://yt3.ggpht.com/ytc/AOPolaQdMKEkiCZBT61H8RGYbzWehbx0-pcuPzwHrelmZw=s88-c-k-c0x00ffffff-no-rj")</f>
        <v>https://yt3.ggpht.com/ytc/AOPolaQdMKEkiCZBT61H8RGYbzWehbx0-pcuPzwHrelmZw=s88-c-k-c0x00ffffff-no-rj</v>
      </c>
      <c r="G111" s="67"/>
      <c r="H111" s="71" t="s">
        <v>1406</v>
      </c>
      <c r="I111" s="72"/>
      <c r="J111" s="72" t="s">
        <v>159</v>
      </c>
      <c r="K111" s="71" t="s">
        <v>1406</v>
      </c>
      <c r="L111" s="75">
        <v>1</v>
      </c>
      <c r="M111" s="76">
        <v>8996.6513671875</v>
      </c>
      <c r="N111" s="76">
        <v>4033.6123046875</v>
      </c>
      <c r="O111" s="77"/>
      <c r="P111" s="78"/>
      <c r="Q111" s="78"/>
      <c r="R111" s="88"/>
      <c r="S111" s="49">
        <v>0</v>
      </c>
      <c r="T111" s="49">
        <v>1</v>
      </c>
      <c r="U111" s="50">
        <v>0</v>
      </c>
      <c r="V111" s="50">
        <v>0.056822</v>
      </c>
      <c r="W111" s="50">
        <v>0</v>
      </c>
      <c r="X111" s="50">
        <v>0.001581</v>
      </c>
      <c r="Y111" s="50">
        <v>0</v>
      </c>
      <c r="Z111" s="50">
        <v>0</v>
      </c>
      <c r="AA111" s="73">
        <v>111</v>
      </c>
      <c r="AB111" s="73"/>
      <c r="AC111" s="74"/>
      <c r="AD111" s="81" t="s">
        <v>1406</v>
      </c>
      <c r="AE111" s="81"/>
      <c r="AF111" s="81"/>
      <c r="AG111" s="81"/>
      <c r="AH111" s="81"/>
      <c r="AI111" s="81" t="s">
        <v>2127</v>
      </c>
      <c r="AJ111" s="85">
        <v>42683.15607638889</v>
      </c>
      <c r="AK111" s="83" t="str">
        <f>HYPERLINK("https://yt3.ggpht.com/ytc/AOPolaQdMKEkiCZBT61H8RGYbzWehbx0-pcuPzwHrelmZw=s88-c-k-c0x00ffffff-no-rj")</f>
        <v>https://yt3.ggpht.com/ytc/AOPolaQdMKEkiCZBT61H8RGYbzWehbx0-pcuPzwHrelmZw=s88-c-k-c0x00ffffff-no-rj</v>
      </c>
      <c r="AL111" s="81">
        <v>0</v>
      </c>
      <c r="AM111" s="81">
        <v>0</v>
      </c>
      <c r="AN111" s="81">
        <v>1</v>
      </c>
      <c r="AO111" s="81" t="b">
        <v>0</v>
      </c>
      <c r="AP111" s="81">
        <v>0</v>
      </c>
      <c r="AQ111" s="81"/>
      <c r="AR111" s="81"/>
      <c r="AS111" s="81" t="s">
        <v>2571</v>
      </c>
      <c r="AT111" s="83" t="str">
        <f>HYPERLINK("https://www.youtube.com/channel/UCZE8M4UePEf4M89kJqB8Tig")</f>
        <v>https://www.youtube.com/channel/UCZE8M4UePEf4M89kJqB8Tig</v>
      </c>
      <c r="AU111" s="81">
        <v>4</v>
      </c>
      <c r="AV111" s="49">
        <v>0</v>
      </c>
      <c r="AW111" s="50">
        <v>0</v>
      </c>
      <c r="AX111" s="49">
        <v>0</v>
      </c>
      <c r="AY111" s="50">
        <v>0</v>
      </c>
      <c r="AZ111" s="49">
        <v>0</v>
      </c>
      <c r="BA111" s="50">
        <v>0</v>
      </c>
      <c r="BB111" s="49">
        <v>9</v>
      </c>
      <c r="BC111" s="50">
        <v>42.857142857142854</v>
      </c>
      <c r="BD111" s="49">
        <v>21</v>
      </c>
      <c r="BE111" s="49"/>
      <c r="BF111" s="49"/>
      <c r="BG111" s="49"/>
      <c r="BH111" s="49"/>
      <c r="BI111" s="49"/>
      <c r="BJ111" s="49"/>
      <c r="BK111" s="115" t="s">
        <v>2659</v>
      </c>
      <c r="BL111" s="115" t="s">
        <v>2659</v>
      </c>
      <c r="BM111" s="115" t="s">
        <v>3133</v>
      </c>
      <c r="BN111" s="115" t="s">
        <v>3133</v>
      </c>
      <c r="BO111" s="2"/>
      <c r="BP111" s="3"/>
      <c r="BQ111" s="3"/>
      <c r="BR111" s="3"/>
      <c r="BS111" s="3"/>
    </row>
    <row r="112" spans="1:71" ht="15">
      <c r="A112" s="66" t="s">
        <v>330</v>
      </c>
      <c r="B112" s="67"/>
      <c r="C112" s="67"/>
      <c r="D112" s="68">
        <v>150</v>
      </c>
      <c r="E112" s="70"/>
      <c r="F112" s="102" t="str">
        <f>HYPERLINK("https://yt3.ggpht.com/-lsC_uk3hulkn354Fcg2OMCe3D7PzUfQBOO0CUd9uT7-RuFEEgzbZLATo6W7XJKgRNbg4U9d=s88-c-k-c0x00ffffff-no-rj")</f>
        <v>https://yt3.ggpht.com/-lsC_uk3hulkn354Fcg2OMCe3D7PzUfQBOO0CUd9uT7-RuFEEgzbZLATo6W7XJKgRNbg4U9d=s88-c-k-c0x00ffffff-no-rj</v>
      </c>
      <c r="G112" s="67"/>
      <c r="H112" s="71" t="s">
        <v>1407</v>
      </c>
      <c r="I112" s="72"/>
      <c r="J112" s="72" t="s">
        <v>159</v>
      </c>
      <c r="K112" s="71" t="s">
        <v>1407</v>
      </c>
      <c r="L112" s="75">
        <v>1</v>
      </c>
      <c r="M112" s="76">
        <v>7116.64306640625</v>
      </c>
      <c r="N112" s="76">
        <v>6435.837890625</v>
      </c>
      <c r="O112" s="77"/>
      <c r="P112" s="78"/>
      <c r="Q112" s="78"/>
      <c r="R112" s="88"/>
      <c r="S112" s="49">
        <v>0</v>
      </c>
      <c r="T112" s="49">
        <v>1</v>
      </c>
      <c r="U112" s="50">
        <v>0</v>
      </c>
      <c r="V112" s="50">
        <v>0.056822</v>
      </c>
      <c r="W112" s="50">
        <v>0</v>
      </c>
      <c r="X112" s="50">
        <v>0.001581</v>
      </c>
      <c r="Y112" s="50">
        <v>0</v>
      </c>
      <c r="Z112" s="50">
        <v>0</v>
      </c>
      <c r="AA112" s="73">
        <v>112</v>
      </c>
      <c r="AB112" s="73"/>
      <c r="AC112" s="74"/>
      <c r="AD112" s="81" t="s">
        <v>1407</v>
      </c>
      <c r="AE112" s="81" t="s">
        <v>1934</v>
      </c>
      <c r="AF112" s="81"/>
      <c r="AG112" s="81"/>
      <c r="AH112" s="81"/>
      <c r="AI112" s="81" t="s">
        <v>2128</v>
      </c>
      <c r="AJ112" s="85">
        <v>40842.932488425926</v>
      </c>
      <c r="AK112" s="83" t="str">
        <f>HYPERLINK("https://yt3.ggpht.com/-lsC_uk3hulkn354Fcg2OMCe3D7PzUfQBOO0CUd9uT7-RuFEEgzbZLATo6W7XJKgRNbg4U9d=s88-c-k-c0x00ffffff-no-rj")</f>
        <v>https://yt3.ggpht.com/-lsC_uk3hulkn354Fcg2OMCe3D7PzUfQBOO0CUd9uT7-RuFEEgzbZLATo6W7XJKgRNbg4U9d=s88-c-k-c0x00ffffff-no-rj</v>
      </c>
      <c r="AL112" s="81">
        <v>1311</v>
      </c>
      <c r="AM112" s="81">
        <v>0</v>
      </c>
      <c r="AN112" s="81">
        <v>9</v>
      </c>
      <c r="AO112" s="81" t="b">
        <v>0</v>
      </c>
      <c r="AP112" s="81">
        <v>4</v>
      </c>
      <c r="AQ112" s="81"/>
      <c r="AR112" s="81"/>
      <c r="AS112" s="81" t="s">
        <v>2571</v>
      </c>
      <c r="AT112" s="83" t="str">
        <f>HYPERLINK("https://www.youtube.com/channel/UCEqVzBT7SFk-XhatGhDaSqA")</f>
        <v>https://www.youtube.com/channel/UCEqVzBT7SFk-XhatGhDaSqA</v>
      </c>
      <c r="AU112" s="81">
        <v>4</v>
      </c>
      <c r="AV112" s="49">
        <v>0</v>
      </c>
      <c r="AW112" s="50">
        <v>0</v>
      </c>
      <c r="AX112" s="49">
        <v>1</v>
      </c>
      <c r="AY112" s="50">
        <v>2.857142857142857</v>
      </c>
      <c r="AZ112" s="49">
        <v>0</v>
      </c>
      <c r="BA112" s="50">
        <v>0</v>
      </c>
      <c r="BB112" s="49">
        <v>10</v>
      </c>
      <c r="BC112" s="50">
        <v>28.571428571428573</v>
      </c>
      <c r="BD112" s="49">
        <v>35</v>
      </c>
      <c r="BE112" s="49"/>
      <c r="BF112" s="49"/>
      <c r="BG112" s="49"/>
      <c r="BH112" s="49"/>
      <c r="BI112" s="49"/>
      <c r="BJ112" s="49"/>
      <c r="BK112" s="115" t="s">
        <v>2660</v>
      </c>
      <c r="BL112" s="115" t="s">
        <v>2660</v>
      </c>
      <c r="BM112" s="115" t="s">
        <v>3134</v>
      </c>
      <c r="BN112" s="115" t="s">
        <v>3134</v>
      </c>
      <c r="BO112" s="2"/>
      <c r="BP112" s="3"/>
      <c r="BQ112" s="3"/>
      <c r="BR112" s="3"/>
      <c r="BS112" s="3"/>
    </row>
    <row r="113" spans="1:71" ht="15">
      <c r="A113" s="66" t="s">
        <v>331</v>
      </c>
      <c r="B113" s="67"/>
      <c r="C113" s="67"/>
      <c r="D113" s="68">
        <v>150</v>
      </c>
      <c r="E113" s="70"/>
      <c r="F113" s="102" t="str">
        <f>HYPERLINK("https://yt3.ggpht.com/ytc/AOPolaSw3XyWEYXiayeCUEMWMOPu53nDIJFrj8XU=s88-c-k-c0x00ffffff-no-rj")</f>
        <v>https://yt3.ggpht.com/ytc/AOPolaSw3XyWEYXiayeCUEMWMOPu53nDIJFrj8XU=s88-c-k-c0x00ffffff-no-rj</v>
      </c>
      <c r="G113" s="67"/>
      <c r="H113" s="71" t="s">
        <v>1408</v>
      </c>
      <c r="I113" s="72"/>
      <c r="J113" s="72" t="s">
        <v>159</v>
      </c>
      <c r="K113" s="71" t="s">
        <v>1408</v>
      </c>
      <c r="L113" s="75">
        <v>1</v>
      </c>
      <c r="M113" s="76">
        <v>6717.953125</v>
      </c>
      <c r="N113" s="76">
        <v>5658.9599609375</v>
      </c>
      <c r="O113" s="77"/>
      <c r="P113" s="78"/>
      <c r="Q113" s="78"/>
      <c r="R113" s="88"/>
      <c r="S113" s="49">
        <v>0</v>
      </c>
      <c r="T113" s="49">
        <v>1</v>
      </c>
      <c r="U113" s="50">
        <v>0</v>
      </c>
      <c r="V113" s="50">
        <v>0.056822</v>
      </c>
      <c r="W113" s="50">
        <v>0</v>
      </c>
      <c r="X113" s="50">
        <v>0.001581</v>
      </c>
      <c r="Y113" s="50">
        <v>0</v>
      </c>
      <c r="Z113" s="50">
        <v>0</v>
      </c>
      <c r="AA113" s="73">
        <v>113</v>
      </c>
      <c r="AB113" s="73"/>
      <c r="AC113" s="74"/>
      <c r="AD113" s="81" t="s">
        <v>1408</v>
      </c>
      <c r="AE113" s="81"/>
      <c r="AF113" s="81"/>
      <c r="AG113" s="81"/>
      <c r="AH113" s="81"/>
      <c r="AI113" s="81" t="s">
        <v>2129</v>
      </c>
      <c r="AJ113" s="85">
        <v>44291.01113425926</v>
      </c>
      <c r="AK113" s="83" t="str">
        <f>HYPERLINK("https://yt3.ggpht.com/ytc/AOPolaSw3XyWEYXiayeCUEMWMOPu53nDIJFrj8XU=s88-c-k-c0x00ffffff-no-rj")</f>
        <v>https://yt3.ggpht.com/ytc/AOPolaSw3XyWEYXiayeCUEMWMOPu53nDIJFrj8XU=s88-c-k-c0x00ffffff-no-rj</v>
      </c>
      <c r="AL113" s="81">
        <v>0</v>
      </c>
      <c r="AM113" s="81">
        <v>0</v>
      </c>
      <c r="AN113" s="81">
        <v>0</v>
      </c>
      <c r="AO113" s="81" t="b">
        <v>0</v>
      </c>
      <c r="AP113" s="81">
        <v>0</v>
      </c>
      <c r="AQ113" s="81"/>
      <c r="AR113" s="81"/>
      <c r="AS113" s="81" t="s">
        <v>2571</v>
      </c>
      <c r="AT113" s="83" t="str">
        <f>HYPERLINK("https://www.youtube.com/channel/UCu7voL1-c4P9GneVn9hMNBw")</f>
        <v>https://www.youtube.com/channel/UCu7voL1-c4P9GneVn9hMNBw</v>
      </c>
      <c r="AU113" s="81">
        <v>4</v>
      </c>
      <c r="AV113" s="49">
        <v>0</v>
      </c>
      <c r="AW113" s="50">
        <v>0</v>
      </c>
      <c r="AX113" s="49">
        <v>0</v>
      </c>
      <c r="AY113" s="50">
        <v>0</v>
      </c>
      <c r="AZ113" s="49">
        <v>0</v>
      </c>
      <c r="BA113" s="50">
        <v>0</v>
      </c>
      <c r="BB113" s="49">
        <v>6</v>
      </c>
      <c r="BC113" s="50">
        <v>75</v>
      </c>
      <c r="BD113" s="49">
        <v>8</v>
      </c>
      <c r="BE113" s="49"/>
      <c r="BF113" s="49"/>
      <c r="BG113" s="49"/>
      <c r="BH113" s="49"/>
      <c r="BI113" s="49"/>
      <c r="BJ113" s="49"/>
      <c r="BK113" s="115" t="s">
        <v>2661</v>
      </c>
      <c r="BL113" s="115" t="s">
        <v>2661</v>
      </c>
      <c r="BM113" s="115" t="s">
        <v>3135</v>
      </c>
      <c r="BN113" s="115" t="s">
        <v>3135</v>
      </c>
      <c r="BO113" s="2"/>
      <c r="BP113" s="3"/>
      <c r="BQ113" s="3"/>
      <c r="BR113" s="3"/>
      <c r="BS113" s="3"/>
    </row>
    <row r="114" spans="1:71" ht="15">
      <c r="A114" s="66" t="s">
        <v>332</v>
      </c>
      <c r="B114" s="67"/>
      <c r="C114" s="67"/>
      <c r="D114" s="68">
        <v>150</v>
      </c>
      <c r="E114" s="70"/>
      <c r="F114" s="102" t="str">
        <f>HYPERLINK("https://yt3.ggpht.com/ytc/AOPolaS6BUSfETCePgL1JBhm2C4GweoPHHmtK6uoGg=s88-c-k-c0x00ffffff-no-rj")</f>
        <v>https://yt3.ggpht.com/ytc/AOPolaS6BUSfETCePgL1JBhm2C4GweoPHHmtK6uoGg=s88-c-k-c0x00ffffff-no-rj</v>
      </c>
      <c r="G114" s="67"/>
      <c r="H114" s="71" t="s">
        <v>1409</v>
      </c>
      <c r="I114" s="72"/>
      <c r="J114" s="72" t="s">
        <v>159</v>
      </c>
      <c r="K114" s="71" t="s">
        <v>1409</v>
      </c>
      <c r="L114" s="75">
        <v>1</v>
      </c>
      <c r="M114" s="76">
        <v>6508.96142578125</v>
      </c>
      <c r="N114" s="76">
        <v>5180.81494140625</v>
      </c>
      <c r="O114" s="77"/>
      <c r="P114" s="78"/>
      <c r="Q114" s="78"/>
      <c r="R114" s="88"/>
      <c r="S114" s="49">
        <v>0</v>
      </c>
      <c r="T114" s="49">
        <v>1</v>
      </c>
      <c r="U114" s="50">
        <v>0</v>
      </c>
      <c r="V114" s="50">
        <v>0.056822</v>
      </c>
      <c r="W114" s="50">
        <v>0</v>
      </c>
      <c r="X114" s="50">
        <v>0.001581</v>
      </c>
      <c r="Y114" s="50">
        <v>0</v>
      </c>
      <c r="Z114" s="50">
        <v>0</v>
      </c>
      <c r="AA114" s="73">
        <v>114</v>
      </c>
      <c r="AB114" s="73"/>
      <c r="AC114" s="74"/>
      <c r="AD114" s="81" t="s">
        <v>1409</v>
      </c>
      <c r="AE114" s="81"/>
      <c r="AF114" s="81"/>
      <c r="AG114" s="81"/>
      <c r="AH114" s="81"/>
      <c r="AI114" s="81" t="s">
        <v>2130</v>
      </c>
      <c r="AJ114" s="85">
        <v>43858.29736111111</v>
      </c>
      <c r="AK114" s="83" t="str">
        <f>HYPERLINK("https://yt3.ggpht.com/ytc/AOPolaS6BUSfETCePgL1JBhm2C4GweoPHHmtK6uoGg=s88-c-k-c0x00ffffff-no-rj")</f>
        <v>https://yt3.ggpht.com/ytc/AOPolaS6BUSfETCePgL1JBhm2C4GweoPHHmtK6uoGg=s88-c-k-c0x00ffffff-no-rj</v>
      </c>
      <c r="AL114" s="81">
        <v>0</v>
      </c>
      <c r="AM114" s="81">
        <v>0</v>
      </c>
      <c r="AN114" s="81">
        <v>0</v>
      </c>
      <c r="AO114" s="81" t="b">
        <v>0</v>
      </c>
      <c r="AP114" s="81">
        <v>0</v>
      </c>
      <c r="AQ114" s="81"/>
      <c r="AR114" s="81"/>
      <c r="AS114" s="81" t="s">
        <v>2571</v>
      </c>
      <c r="AT114" s="83" t="str">
        <f>HYPERLINK("https://www.youtube.com/channel/UC4esSLpWxO9TjiUbNzUH2DA")</f>
        <v>https://www.youtube.com/channel/UC4esSLpWxO9TjiUbNzUH2DA</v>
      </c>
      <c r="AU114" s="81">
        <v>4</v>
      </c>
      <c r="AV114" s="49">
        <v>0</v>
      </c>
      <c r="AW114" s="50">
        <v>0</v>
      </c>
      <c r="AX114" s="49">
        <v>1</v>
      </c>
      <c r="AY114" s="50">
        <v>100</v>
      </c>
      <c r="AZ114" s="49">
        <v>0</v>
      </c>
      <c r="BA114" s="50">
        <v>0</v>
      </c>
      <c r="BB114" s="49">
        <v>0</v>
      </c>
      <c r="BC114" s="50">
        <v>0</v>
      </c>
      <c r="BD114" s="49">
        <v>1</v>
      </c>
      <c r="BE114" s="49"/>
      <c r="BF114" s="49"/>
      <c r="BG114" s="49"/>
      <c r="BH114" s="49"/>
      <c r="BI114" s="49"/>
      <c r="BJ114" s="49"/>
      <c r="BK114" s="115" t="s">
        <v>884</v>
      </c>
      <c r="BL114" s="115" t="s">
        <v>884</v>
      </c>
      <c r="BM114" s="115" t="s">
        <v>4477</v>
      </c>
      <c r="BN114" s="115" t="s">
        <v>4477</v>
      </c>
      <c r="BO114" s="2"/>
      <c r="BP114" s="3"/>
      <c r="BQ114" s="3"/>
      <c r="BR114" s="3"/>
      <c r="BS114" s="3"/>
    </row>
    <row r="115" spans="1:71" ht="15">
      <c r="A115" s="66" t="s">
        <v>333</v>
      </c>
      <c r="B115" s="67"/>
      <c r="C115" s="67"/>
      <c r="D115" s="68">
        <v>150</v>
      </c>
      <c r="E115" s="70"/>
      <c r="F115" s="102" t="str">
        <f>HYPERLINK("https://yt3.ggpht.com/ytc/AOPolaS-GMfCicgRZ3BXnZV0QDWLBCGJG2P-gxW5m5VK9pf8tyL2BnyZdCnJAoQvtN5K=s88-c-k-c0x00ffffff-no-rj")</f>
        <v>https://yt3.ggpht.com/ytc/AOPolaS-GMfCicgRZ3BXnZV0QDWLBCGJG2P-gxW5m5VK9pf8tyL2BnyZdCnJAoQvtN5K=s88-c-k-c0x00ffffff-no-rj</v>
      </c>
      <c r="G115" s="67"/>
      <c r="H115" s="71" t="s">
        <v>1410</v>
      </c>
      <c r="I115" s="72"/>
      <c r="J115" s="72" t="s">
        <v>159</v>
      </c>
      <c r="K115" s="71" t="s">
        <v>1410</v>
      </c>
      <c r="L115" s="75">
        <v>1</v>
      </c>
      <c r="M115" s="76">
        <v>6440.55810546875</v>
      </c>
      <c r="N115" s="76">
        <v>5763.20263671875</v>
      </c>
      <c r="O115" s="77"/>
      <c r="P115" s="78"/>
      <c r="Q115" s="78"/>
      <c r="R115" s="88"/>
      <c r="S115" s="49">
        <v>0</v>
      </c>
      <c r="T115" s="49">
        <v>1</v>
      </c>
      <c r="U115" s="50">
        <v>0</v>
      </c>
      <c r="V115" s="50">
        <v>0.056822</v>
      </c>
      <c r="W115" s="50">
        <v>0</v>
      </c>
      <c r="X115" s="50">
        <v>0.001581</v>
      </c>
      <c r="Y115" s="50">
        <v>0</v>
      </c>
      <c r="Z115" s="50">
        <v>0</v>
      </c>
      <c r="AA115" s="73">
        <v>115</v>
      </c>
      <c r="AB115" s="73"/>
      <c r="AC115" s="74"/>
      <c r="AD115" s="81" t="s">
        <v>1410</v>
      </c>
      <c r="AE115" s="81" t="s">
        <v>1935</v>
      </c>
      <c r="AF115" s="81"/>
      <c r="AG115" s="81"/>
      <c r="AH115" s="81"/>
      <c r="AI115" s="81" t="s">
        <v>2131</v>
      </c>
      <c r="AJ115" s="85">
        <v>43873.93387731481</v>
      </c>
      <c r="AK115" s="83" t="str">
        <f>HYPERLINK("https://yt3.ggpht.com/ytc/AOPolaS-GMfCicgRZ3BXnZV0QDWLBCGJG2P-gxW5m5VK9pf8tyL2BnyZdCnJAoQvtN5K=s88-c-k-c0x00ffffff-no-rj")</f>
        <v>https://yt3.ggpht.com/ytc/AOPolaS-GMfCicgRZ3BXnZV0QDWLBCGJG2P-gxW5m5VK9pf8tyL2BnyZdCnJAoQvtN5K=s88-c-k-c0x00ffffff-no-rj</v>
      </c>
      <c r="AL115" s="81">
        <v>1171</v>
      </c>
      <c r="AM115" s="81">
        <v>0</v>
      </c>
      <c r="AN115" s="81">
        <v>59</v>
      </c>
      <c r="AO115" s="81" t="b">
        <v>0</v>
      </c>
      <c r="AP115" s="81">
        <v>14</v>
      </c>
      <c r="AQ115" s="81"/>
      <c r="AR115" s="81"/>
      <c r="AS115" s="81" t="s">
        <v>2571</v>
      </c>
      <c r="AT115" s="83" t="str">
        <f>HYPERLINK("https://www.youtube.com/channel/UCt5zQPu8nXjohE7lmfHc_JQ")</f>
        <v>https://www.youtube.com/channel/UCt5zQPu8nXjohE7lmfHc_JQ</v>
      </c>
      <c r="AU115" s="81">
        <v>4</v>
      </c>
      <c r="AV115" s="49">
        <v>0</v>
      </c>
      <c r="AW115" s="50">
        <v>0</v>
      </c>
      <c r="AX115" s="49">
        <v>1</v>
      </c>
      <c r="AY115" s="50">
        <v>3.0303030303030303</v>
      </c>
      <c r="AZ115" s="49">
        <v>0</v>
      </c>
      <c r="BA115" s="50">
        <v>0</v>
      </c>
      <c r="BB115" s="49">
        <v>13</v>
      </c>
      <c r="BC115" s="50">
        <v>39.39393939393939</v>
      </c>
      <c r="BD115" s="49">
        <v>33</v>
      </c>
      <c r="BE115" s="49"/>
      <c r="BF115" s="49"/>
      <c r="BG115" s="49"/>
      <c r="BH115" s="49"/>
      <c r="BI115" s="49"/>
      <c r="BJ115" s="49"/>
      <c r="BK115" s="115" t="s">
        <v>2662</v>
      </c>
      <c r="BL115" s="115" t="s">
        <v>2662</v>
      </c>
      <c r="BM115" s="115" t="s">
        <v>3136</v>
      </c>
      <c r="BN115" s="115" t="s">
        <v>3136</v>
      </c>
      <c r="BO115" s="2"/>
      <c r="BP115" s="3"/>
      <c r="BQ115" s="3"/>
      <c r="BR115" s="3"/>
      <c r="BS115" s="3"/>
    </row>
    <row r="116" spans="1:71" ht="15">
      <c r="A116" s="66" t="s">
        <v>334</v>
      </c>
      <c r="B116" s="67"/>
      <c r="C116" s="67"/>
      <c r="D116" s="68">
        <v>150</v>
      </c>
      <c r="E116" s="70"/>
      <c r="F116" s="102" t="str">
        <f>HYPERLINK("https://yt3.ggpht.com/ytc/AOPolaS4lZoBGsm-iafG53t9hryzlt4KlFxZWiG_-A=s88-c-k-c0x00ffffff-no-rj")</f>
        <v>https://yt3.ggpht.com/ytc/AOPolaS4lZoBGsm-iafG53t9hryzlt4KlFxZWiG_-A=s88-c-k-c0x00ffffff-no-rj</v>
      </c>
      <c r="G116" s="67"/>
      <c r="H116" s="71" t="s">
        <v>1411</v>
      </c>
      <c r="I116" s="72"/>
      <c r="J116" s="72" t="s">
        <v>159</v>
      </c>
      <c r="K116" s="71" t="s">
        <v>1411</v>
      </c>
      <c r="L116" s="75">
        <v>1</v>
      </c>
      <c r="M116" s="76">
        <v>7453.27734375</v>
      </c>
      <c r="N116" s="76">
        <v>5937.77734375</v>
      </c>
      <c r="O116" s="77"/>
      <c r="P116" s="78"/>
      <c r="Q116" s="78"/>
      <c r="R116" s="88"/>
      <c r="S116" s="49">
        <v>0</v>
      </c>
      <c r="T116" s="49">
        <v>1</v>
      </c>
      <c r="U116" s="50">
        <v>0</v>
      </c>
      <c r="V116" s="50">
        <v>0.056822</v>
      </c>
      <c r="W116" s="50">
        <v>0</v>
      </c>
      <c r="X116" s="50">
        <v>0.001581</v>
      </c>
      <c r="Y116" s="50">
        <v>0</v>
      </c>
      <c r="Z116" s="50">
        <v>0</v>
      </c>
      <c r="AA116" s="73">
        <v>116</v>
      </c>
      <c r="AB116" s="73"/>
      <c r="AC116" s="74"/>
      <c r="AD116" s="81" t="s">
        <v>1411</v>
      </c>
      <c r="AE116" s="81"/>
      <c r="AF116" s="81"/>
      <c r="AG116" s="81"/>
      <c r="AH116" s="81"/>
      <c r="AI116" s="81" t="s">
        <v>2132</v>
      </c>
      <c r="AJ116" s="85">
        <v>42551.161875</v>
      </c>
      <c r="AK116" s="83" t="str">
        <f>HYPERLINK("https://yt3.ggpht.com/ytc/AOPolaS4lZoBGsm-iafG53t9hryzlt4KlFxZWiG_-A=s88-c-k-c0x00ffffff-no-rj")</f>
        <v>https://yt3.ggpht.com/ytc/AOPolaS4lZoBGsm-iafG53t9hryzlt4KlFxZWiG_-A=s88-c-k-c0x00ffffff-no-rj</v>
      </c>
      <c r="AL116" s="81">
        <v>0</v>
      </c>
      <c r="AM116" s="81">
        <v>0</v>
      </c>
      <c r="AN116" s="81">
        <v>0</v>
      </c>
      <c r="AO116" s="81" t="b">
        <v>0</v>
      </c>
      <c r="AP116" s="81">
        <v>0</v>
      </c>
      <c r="AQ116" s="81"/>
      <c r="AR116" s="81"/>
      <c r="AS116" s="81" t="s">
        <v>2571</v>
      </c>
      <c r="AT116" s="83" t="str">
        <f>HYPERLINK("https://www.youtube.com/channel/UCmVL9ei5toadpH-wPtYkllg")</f>
        <v>https://www.youtube.com/channel/UCmVL9ei5toadpH-wPtYkllg</v>
      </c>
      <c r="AU116" s="81">
        <v>4</v>
      </c>
      <c r="AV116" s="49">
        <v>0</v>
      </c>
      <c r="AW116" s="50">
        <v>0</v>
      </c>
      <c r="AX116" s="49">
        <v>0</v>
      </c>
      <c r="AY116" s="50">
        <v>0</v>
      </c>
      <c r="AZ116" s="49">
        <v>0</v>
      </c>
      <c r="BA116" s="50">
        <v>0</v>
      </c>
      <c r="BB116" s="49">
        <v>2</v>
      </c>
      <c r="BC116" s="50">
        <v>28.571428571428573</v>
      </c>
      <c r="BD116" s="49">
        <v>7</v>
      </c>
      <c r="BE116" s="49"/>
      <c r="BF116" s="49"/>
      <c r="BG116" s="49"/>
      <c r="BH116" s="49"/>
      <c r="BI116" s="49"/>
      <c r="BJ116" s="49"/>
      <c r="BK116" s="115" t="s">
        <v>2663</v>
      </c>
      <c r="BL116" s="115" t="s">
        <v>2663</v>
      </c>
      <c r="BM116" s="115" t="s">
        <v>3137</v>
      </c>
      <c r="BN116" s="115" t="s">
        <v>3137</v>
      </c>
      <c r="BO116" s="2"/>
      <c r="BP116" s="3"/>
      <c r="BQ116" s="3"/>
      <c r="BR116" s="3"/>
      <c r="BS116" s="3"/>
    </row>
    <row r="117" spans="1:71" ht="15">
      <c r="A117" s="66" t="s">
        <v>335</v>
      </c>
      <c r="B117" s="67"/>
      <c r="C117" s="67"/>
      <c r="D117" s="68">
        <v>150</v>
      </c>
      <c r="E117" s="70"/>
      <c r="F117" s="102" t="str">
        <f>HYPERLINK("https://yt3.ggpht.com/ytc/AOPolaRRsgZHuO4DjD9xOYqhPq7qDZJBl8gZWr3Ao2dG=s88-c-k-c0x00ffffff-no-rj")</f>
        <v>https://yt3.ggpht.com/ytc/AOPolaRRsgZHuO4DjD9xOYqhPq7qDZJBl8gZWr3Ao2dG=s88-c-k-c0x00ffffff-no-rj</v>
      </c>
      <c r="G117" s="67"/>
      <c r="H117" s="71" t="s">
        <v>1412</v>
      </c>
      <c r="I117" s="72"/>
      <c r="J117" s="72" t="s">
        <v>159</v>
      </c>
      <c r="K117" s="71" t="s">
        <v>1412</v>
      </c>
      <c r="L117" s="75">
        <v>1</v>
      </c>
      <c r="M117" s="76">
        <v>7209.8525390625</v>
      </c>
      <c r="N117" s="76">
        <v>4450.09716796875</v>
      </c>
      <c r="O117" s="77"/>
      <c r="P117" s="78"/>
      <c r="Q117" s="78"/>
      <c r="R117" s="88"/>
      <c r="S117" s="49">
        <v>0</v>
      </c>
      <c r="T117" s="49">
        <v>1</v>
      </c>
      <c r="U117" s="50">
        <v>0</v>
      </c>
      <c r="V117" s="50">
        <v>0.056822</v>
      </c>
      <c r="W117" s="50">
        <v>0</v>
      </c>
      <c r="X117" s="50">
        <v>0.001581</v>
      </c>
      <c r="Y117" s="50">
        <v>0</v>
      </c>
      <c r="Z117" s="50">
        <v>0</v>
      </c>
      <c r="AA117" s="73">
        <v>117</v>
      </c>
      <c r="AB117" s="73"/>
      <c r="AC117" s="74"/>
      <c r="AD117" s="81" t="s">
        <v>1412</v>
      </c>
      <c r="AE117" s="81" t="s">
        <v>1936</v>
      </c>
      <c r="AF117" s="81"/>
      <c r="AG117" s="81"/>
      <c r="AH117" s="81"/>
      <c r="AI117" s="81" t="s">
        <v>2133</v>
      </c>
      <c r="AJ117" s="85">
        <v>42249.33237268519</v>
      </c>
      <c r="AK117" s="83" t="str">
        <f>HYPERLINK("https://yt3.ggpht.com/ytc/AOPolaRRsgZHuO4DjD9xOYqhPq7qDZJBl8gZWr3Ao2dG=s88-c-k-c0x00ffffff-no-rj")</f>
        <v>https://yt3.ggpht.com/ytc/AOPolaRRsgZHuO4DjD9xOYqhPq7qDZJBl8gZWr3Ao2dG=s88-c-k-c0x00ffffff-no-rj</v>
      </c>
      <c r="AL117" s="81">
        <v>94932</v>
      </c>
      <c r="AM117" s="81">
        <v>0</v>
      </c>
      <c r="AN117" s="81">
        <v>473</v>
      </c>
      <c r="AO117" s="81" t="b">
        <v>0</v>
      </c>
      <c r="AP117" s="81">
        <v>5</v>
      </c>
      <c r="AQ117" s="81"/>
      <c r="AR117" s="81"/>
      <c r="AS117" s="81" t="s">
        <v>2571</v>
      </c>
      <c r="AT117" s="83" t="str">
        <f>HYPERLINK("https://www.youtube.com/channel/UCtZODGfQZAGMps0UTzAZ26Q")</f>
        <v>https://www.youtube.com/channel/UCtZODGfQZAGMps0UTzAZ26Q</v>
      </c>
      <c r="AU117" s="81">
        <v>4</v>
      </c>
      <c r="AV117" s="49">
        <v>1</v>
      </c>
      <c r="AW117" s="50">
        <v>2.9411764705882355</v>
      </c>
      <c r="AX117" s="49">
        <v>0</v>
      </c>
      <c r="AY117" s="50">
        <v>0</v>
      </c>
      <c r="AZ117" s="49">
        <v>0</v>
      </c>
      <c r="BA117" s="50">
        <v>0</v>
      </c>
      <c r="BB117" s="49">
        <v>10</v>
      </c>
      <c r="BC117" s="50">
        <v>29.41176470588235</v>
      </c>
      <c r="BD117" s="49">
        <v>34</v>
      </c>
      <c r="BE117" s="49"/>
      <c r="BF117" s="49"/>
      <c r="BG117" s="49"/>
      <c r="BH117" s="49"/>
      <c r="BI117" s="49"/>
      <c r="BJ117" s="49"/>
      <c r="BK117" s="115" t="s">
        <v>2664</v>
      </c>
      <c r="BL117" s="115" t="s">
        <v>2664</v>
      </c>
      <c r="BM117" s="115" t="s">
        <v>3138</v>
      </c>
      <c r="BN117" s="115" t="s">
        <v>3138</v>
      </c>
      <c r="BO117" s="2"/>
      <c r="BP117" s="3"/>
      <c r="BQ117" s="3"/>
      <c r="BR117" s="3"/>
      <c r="BS117" s="3"/>
    </row>
    <row r="118" spans="1:71" ht="15">
      <c r="A118" s="66" t="s">
        <v>336</v>
      </c>
      <c r="B118" s="67"/>
      <c r="C118" s="67"/>
      <c r="D118" s="68">
        <v>150</v>
      </c>
      <c r="E118" s="70"/>
      <c r="F118" s="102" t="str">
        <f>HYPERLINK("https://yt3.ggpht.com/ytc/AOPolaRVUDgu4ilz4Y09_ECg_NN4fy3cAV1lbbW3Bt_3=s88-c-k-c0x00ffffff-no-rj")</f>
        <v>https://yt3.ggpht.com/ytc/AOPolaRVUDgu4ilz4Y09_ECg_NN4fy3cAV1lbbW3Bt_3=s88-c-k-c0x00ffffff-no-rj</v>
      </c>
      <c r="G118" s="67"/>
      <c r="H118" s="71" t="s">
        <v>1413</v>
      </c>
      <c r="I118" s="72"/>
      <c r="J118" s="72" t="s">
        <v>159</v>
      </c>
      <c r="K118" s="71" t="s">
        <v>1413</v>
      </c>
      <c r="L118" s="75">
        <v>1</v>
      </c>
      <c r="M118" s="76">
        <v>8772.5537109375</v>
      </c>
      <c r="N118" s="76">
        <v>6573.826171875</v>
      </c>
      <c r="O118" s="77"/>
      <c r="P118" s="78"/>
      <c r="Q118" s="78"/>
      <c r="R118" s="88"/>
      <c r="S118" s="49">
        <v>0</v>
      </c>
      <c r="T118" s="49">
        <v>1</v>
      </c>
      <c r="U118" s="50">
        <v>0</v>
      </c>
      <c r="V118" s="50">
        <v>0.056822</v>
      </c>
      <c r="W118" s="50">
        <v>0</v>
      </c>
      <c r="X118" s="50">
        <v>0.001581</v>
      </c>
      <c r="Y118" s="50">
        <v>0</v>
      </c>
      <c r="Z118" s="50">
        <v>0</v>
      </c>
      <c r="AA118" s="73">
        <v>118</v>
      </c>
      <c r="AB118" s="73"/>
      <c r="AC118" s="74"/>
      <c r="AD118" s="81" t="s">
        <v>1413</v>
      </c>
      <c r="AE118" s="81"/>
      <c r="AF118" s="81"/>
      <c r="AG118" s="81"/>
      <c r="AH118" s="81"/>
      <c r="AI118" s="81" t="s">
        <v>2134</v>
      </c>
      <c r="AJ118" s="85">
        <v>43920.75675925926</v>
      </c>
      <c r="AK118" s="83" t="str">
        <f>HYPERLINK("https://yt3.ggpht.com/ytc/AOPolaRVUDgu4ilz4Y09_ECg_NN4fy3cAV1lbbW3Bt_3=s88-c-k-c0x00ffffff-no-rj")</f>
        <v>https://yt3.ggpht.com/ytc/AOPolaRVUDgu4ilz4Y09_ECg_NN4fy3cAV1lbbW3Bt_3=s88-c-k-c0x00ffffff-no-rj</v>
      </c>
      <c r="AL118" s="81">
        <v>0</v>
      </c>
      <c r="AM118" s="81">
        <v>0</v>
      </c>
      <c r="AN118" s="81">
        <v>0</v>
      </c>
      <c r="AO118" s="81" t="b">
        <v>0</v>
      </c>
      <c r="AP118" s="81">
        <v>0</v>
      </c>
      <c r="AQ118" s="81"/>
      <c r="AR118" s="81"/>
      <c r="AS118" s="81" t="s">
        <v>2571</v>
      </c>
      <c r="AT118" s="83" t="str">
        <f>HYPERLINK("https://www.youtube.com/channel/UChT8AEosnNpVqK9F8LEViEg")</f>
        <v>https://www.youtube.com/channel/UChT8AEosnNpVqK9F8LEViEg</v>
      </c>
      <c r="AU118" s="81">
        <v>4</v>
      </c>
      <c r="AV118" s="49">
        <v>0</v>
      </c>
      <c r="AW118" s="50">
        <v>0</v>
      </c>
      <c r="AX118" s="49">
        <v>0</v>
      </c>
      <c r="AY118" s="50">
        <v>0</v>
      </c>
      <c r="AZ118" s="49">
        <v>0</v>
      </c>
      <c r="BA118" s="50">
        <v>0</v>
      </c>
      <c r="BB118" s="49">
        <v>6</v>
      </c>
      <c r="BC118" s="50">
        <v>28.571428571428573</v>
      </c>
      <c r="BD118" s="49">
        <v>21</v>
      </c>
      <c r="BE118" s="49"/>
      <c r="BF118" s="49"/>
      <c r="BG118" s="49"/>
      <c r="BH118" s="49"/>
      <c r="BI118" s="49"/>
      <c r="BJ118" s="49"/>
      <c r="BK118" s="115" t="s">
        <v>2665</v>
      </c>
      <c r="BL118" s="115" t="s">
        <v>2665</v>
      </c>
      <c r="BM118" s="115" t="s">
        <v>3139</v>
      </c>
      <c r="BN118" s="115" t="s">
        <v>3139</v>
      </c>
      <c r="BO118" s="2"/>
      <c r="BP118" s="3"/>
      <c r="BQ118" s="3"/>
      <c r="BR118" s="3"/>
      <c r="BS118" s="3"/>
    </row>
    <row r="119" spans="1:71" ht="15">
      <c r="A119" s="66" t="s">
        <v>337</v>
      </c>
      <c r="B119" s="67"/>
      <c r="C119" s="67"/>
      <c r="D119" s="68">
        <v>150</v>
      </c>
      <c r="E119" s="70"/>
      <c r="F119" s="102" t="str">
        <f>HYPERLINK("https://yt3.ggpht.com/ytc/AOPolaT5kFA8cfIeMEGWJkyrHSIkHOJeKNDpKoXEvMMAMg=s88-c-k-c0x00ffffff-no-rj")</f>
        <v>https://yt3.ggpht.com/ytc/AOPolaT5kFA8cfIeMEGWJkyrHSIkHOJeKNDpKoXEvMMAMg=s88-c-k-c0x00ffffff-no-rj</v>
      </c>
      <c r="G119" s="67"/>
      <c r="H119" s="71" t="s">
        <v>1414</v>
      </c>
      <c r="I119" s="72"/>
      <c r="J119" s="72" t="s">
        <v>159</v>
      </c>
      <c r="K119" s="71" t="s">
        <v>1414</v>
      </c>
      <c r="L119" s="75">
        <v>1</v>
      </c>
      <c r="M119" s="76">
        <v>7595.79931640625</v>
      </c>
      <c r="N119" s="76">
        <v>6641.2490234375</v>
      </c>
      <c r="O119" s="77"/>
      <c r="P119" s="78"/>
      <c r="Q119" s="78"/>
      <c r="R119" s="88"/>
      <c r="S119" s="49">
        <v>0</v>
      </c>
      <c r="T119" s="49">
        <v>1</v>
      </c>
      <c r="U119" s="50">
        <v>0</v>
      </c>
      <c r="V119" s="50">
        <v>0.056822</v>
      </c>
      <c r="W119" s="50">
        <v>0</v>
      </c>
      <c r="X119" s="50">
        <v>0.001581</v>
      </c>
      <c r="Y119" s="50">
        <v>0</v>
      </c>
      <c r="Z119" s="50">
        <v>0</v>
      </c>
      <c r="AA119" s="73">
        <v>119</v>
      </c>
      <c r="AB119" s="73"/>
      <c r="AC119" s="74"/>
      <c r="AD119" s="81" t="s">
        <v>1414</v>
      </c>
      <c r="AE119" s="81"/>
      <c r="AF119" s="81"/>
      <c r="AG119" s="81"/>
      <c r="AH119" s="81"/>
      <c r="AI119" s="81" t="s">
        <v>2135</v>
      </c>
      <c r="AJ119" s="85">
        <v>40435.66501157408</v>
      </c>
      <c r="AK119" s="83" t="str">
        <f>HYPERLINK("https://yt3.ggpht.com/ytc/AOPolaT5kFA8cfIeMEGWJkyrHSIkHOJeKNDpKoXEvMMAMg=s88-c-k-c0x00ffffff-no-rj")</f>
        <v>https://yt3.ggpht.com/ytc/AOPolaT5kFA8cfIeMEGWJkyrHSIkHOJeKNDpKoXEvMMAMg=s88-c-k-c0x00ffffff-no-rj</v>
      </c>
      <c r="AL119" s="81">
        <v>48</v>
      </c>
      <c r="AM119" s="81">
        <v>0</v>
      </c>
      <c r="AN119" s="81">
        <v>3</v>
      </c>
      <c r="AO119" s="81" t="b">
        <v>0</v>
      </c>
      <c r="AP119" s="81">
        <v>2</v>
      </c>
      <c r="AQ119" s="81"/>
      <c r="AR119" s="81"/>
      <c r="AS119" s="81" t="s">
        <v>2571</v>
      </c>
      <c r="AT119" s="83" t="str">
        <f>HYPERLINK("https://www.youtube.com/channel/UC69m6Zrv3h2B-v2d9C4PUHQ")</f>
        <v>https://www.youtube.com/channel/UC69m6Zrv3h2B-v2d9C4PUHQ</v>
      </c>
      <c r="AU119" s="81">
        <v>4</v>
      </c>
      <c r="AV119" s="49">
        <v>0</v>
      </c>
      <c r="AW119" s="50">
        <v>0</v>
      </c>
      <c r="AX119" s="49">
        <v>0</v>
      </c>
      <c r="AY119" s="50">
        <v>0</v>
      </c>
      <c r="AZ119" s="49">
        <v>0</v>
      </c>
      <c r="BA119" s="50">
        <v>0</v>
      </c>
      <c r="BB119" s="49">
        <v>4</v>
      </c>
      <c r="BC119" s="50">
        <v>44.44444444444444</v>
      </c>
      <c r="BD119" s="49">
        <v>9</v>
      </c>
      <c r="BE119" s="49"/>
      <c r="BF119" s="49"/>
      <c r="BG119" s="49"/>
      <c r="BH119" s="49"/>
      <c r="BI119" s="49"/>
      <c r="BJ119" s="49"/>
      <c r="BK119" s="115" t="s">
        <v>2666</v>
      </c>
      <c r="BL119" s="115" t="s">
        <v>2666</v>
      </c>
      <c r="BM119" s="115" t="s">
        <v>3140</v>
      </c>
      <c r="BN119" s="115" t="s">
        <v>3140</v>
      </c>
      <c r="BO119" s="2"/>
      <c r="BP119" s="3"/>
      <c r="BQ119" s="3"/>
      <c r="BR119" s="3"/>
      <c r="BS119" s="3"/>
    </row>
    <row r="120" spans="1:71" ht="15">
      <c r="A120" s="66" t="s">
        <v>338</v>
      </c>
      <c r="B120" s="67"/>
      <c r="C120" s="67"/>
      <c r="D120" s="68">
        <v>150</v>
      </c>
      <c r="E120" s="70"/>
      <c r="F120" s="102" t="str">
        <f>HYPERLINK("https://yt3.ggpht.com/ytc/AOPolaTe2ssa2eOCYD3c_AK0s6vroxEz3U4TM9Na0Rbu=s88-c-k-c0x00ffffff-no-rj")</f>
        <v>https://yt3.ggpht.com/ytc/AOPolaTe2ssa2eOCYD3c_AK0s6vroxEz3U4TM9Na0Rbu=s88-c-k-c0x00ffffff-no-rj</v>
      </c>
      <c r="G120" s="67"/>
      <c r="H120" s="71" t="s">
        <v>1415</v>
      </c>
      <c r="I120" s="72"/>
      <c r="J120" s="72" t="s">
        <v>159</v>
      </c>
      <c r="K120" s="71" t="s">
        <v>1415</v>
      </c>
      <c r="L120" s="75">
        <v>1</v>
      </c>
      <c r="M120" s="76">
        <v>6886.88232421875</v>
      </c>
      <c r="N120" s="76">
        <v>5383.44140625</v>
      </c>
      <c r="O120" s="77"/>
      <c r="P120" s="78"/>
      <c r="Q120" s="78"/>
      <c r="R120" s="88"/>
      <c r="S120" s="49">
        <v>0</v>
      </c>
      <c r="T120" s="49">
        <v>1</v>
      </c>
      <c r="U120" s="50">
        <v>0</v>
      </c>
      <c r="V120" s="50">
        <v>0.056822</v>
      </c>
      <c r="W120" s="50">
        <v>0</v>
      </c>
      <c r="X120" s="50">
        <v>0.001581</v>
      </c>
      <c r="Y120" s="50">
        <v>0</v>
      </c>
      <c r="Z120" s="50">
        <v>0</v>
      </c>
      <c r="AA120" s="73">
        <v>120</v>
      </c>
      <c r="AB120" s="73"/>
      <c r="AC120" s="74"/>
      <c r="AD120" s="81" t="s">
        <v>1415</v>
      </c>
      <c r="AE120" s="81"/>
      <c r="AF120" s="81"/>
      <c r="AG120" s="81"/>
      <c r="AH120" s="81"/>
      <c r="AI120" s="81" t="s">
        <v>2136</v>
      </c>
      <c r="AJ120" s="85">
        <v>44044.3215625</v>
      </c>
      <c r="AK120" s="83" t="str">
        <f>HYPERLINK("https://yt3.ggpht.com/ytc/AOPolaTe2ssa2eOCYD3c_AK0s6vroxEz3U4TM9Na0Rbu=s88-c-k-c0x00ffffff-no-rj")</f>
        <v>https://yt3.ggpht.com/ytc/AOPolaTe2ssa2eOCYD3c_AK0s6vroxEz3U4TM9Na0Rbu=s88-c-k-c0x00ffffff-no-rj</v>
      </c>
      <c r="AL120" s="81">
        <v>0</v>
      </c>
      <c r="AM120" s="81">
        <v>0</v>
      </c>
      <c r="AN120" s="81">
        <v>1</v>
      </c>
      <c r="AO120" s="81" t="b">
        <v>0</v>
      </c>
      <c r="AP120" s="81">
        <v>0</v>
      </c>
      <c r="AQ120" s="81"/>
      <c r="AR120" s="81"/>
      <c r="AS120" s="81" t="s">
        <v>2571</v>
      </c>
      <c r="AT120" s="83" t="str">
        <f>HYPERLINK("https://www.youtube.com/channel/UCVrxqJMnaZ4DonYjn-TzZtA")</f>
        <v>https://www.youtube.com/channel/UCVrxqJMnaZ4DonYjn-TzZtA</v>
      </c>
      <c r="AU120" s="81">
        <v>4</v>
      </c>
      <c r="AV120" s="49">
        <v>1</v>
      </c>
      <c r="AW120" s="50">
        <v>3.3333333333333335</v>
      </c>
      <c r="AX120" s="49">
        <v>1</v>
      </c>
      <c r="AY120" s="50">
        <v>3.3333333333333335</v>
      </c>
      <c r="AZ120" s="49">
        <v>0</v>
      </c>
      <c r="BA120" s="50">
        <v>0</v>
      </c>
      <c r="BB120" s="49">
        <v>8</v>
      </c>
      <c r="BC120" s="50">
        <v>26.666666666666668</v>
      </c>
      <c r="BD120" s="49">
        <v>30</v>
      </c>
      <c r="BE120" s="49"/>
      <c r="BF120" s="49"/>
      <c r="BG120" s="49"/>
      <c r="BH120" s="49"/>
      <c r="BI120" s="49"/>
      <c r="BJ120" s="49"/>
      <c r="BK120" s="115" t="s">
        <v>2667</v>
      </c>
      <c r="BL120" s="115" t="s">
        <v>2667</v>
      </c>
      <c r="BM120" s="115" t="s">
        <v>3141</v>
      </c>
      <c r="BN120" s="115" t="s">
        <v>3141</v>
      </c>
      <c r="BO120" s="2"/>
      <c r="BP120" s="3"/>
      <c r="BQ120" s="3"/>
      <c r="BR120" s="3"/>
      <c r="BS120" s="3"/>
    </row>
    <row r="121" spans="1:71" ht="15">
      <c r="A121" s="66" t="s">
        <v>339</v>
      </c>
      <c r="B121" s="67"/>
      <c r="C121" s="67"/>
      <c r="D121" s="68">
        <v>150</v>
      </c>
      <c r="E121" s="70"/>
      <c r="F121" s="102" t="str">
        <f>HYPERLINK("https://yt3.ggpht.com/ytc/AOPolaRGWZetCdo9wFyzc3XwkhHhKGtfa10kwTGIlQ=s88-c-k-c0x00ffffff-no-rj")</f>
        <v>https://yt3.ggpht.com/ytc/AOPolaRGWZetCdo9wFyzc3XwkhHhKGtfa10kwTGIlQ=s88-c-k-c0x00ffffff-no-rj</v>
      </c>
      <c r="G121" s="67"/>
      <c r="H121" s="71" t="s">
        <v>1416</v>
      </c>
      <c r="I121" s="72"/>
      <c r="J121" s="72" t="s">
        <v>159</v>
      </c>
      <c r="K121" s="71" t="s">
        <v>1416</v>
      </c>
      <c r="L121" s="75">
        <v>1</v>
      </c>
      <c r="M121" s="76">
        <v>8010.041015625</v>
      </c>
      <c r="N121" s="76">
        <v>3792.72412109375</v>
      </c>
      <c r="O121" s="77"/>
      <c r="P121" s="78"/>
      <c r="Q121" s="78"/>
      <c r="R121" s="88"/>
      <c r="S121" s="49">
        <v>0</v>
      </c>
      <c r="T121" s="49">
        <v>1</v>
      </c>
      <c r="U121" s="50">
        <v>0</v>
      </c>
      <c r="V121" s="50">
        <v>0.056822</v>
      </c>
      <c r="W121" s="50">
        <v>0</v>
      </c>
      <c r="X121" s="50">
        <v>0.001581</v>
      </c>
      <c r="Y121" s="50">
        <v>0</v>
      </c>
      <c r="Z121" s="50">
        <v>0</v>
      </c>
      <c r="AA121" s="73">
        <v>121</v>
      </c>
      <c r="AB121" s="73"/>
      <c r="AC121" s="74"/>
      <c r="AD121" s="81" t="s">
        <v>1416</v>
      </c>
      <c r="AE121" s="81"/>
      <c r="AF121" s="81"/>
      <c r="AG121" s="81"/>
      <c r="AH121" s="81"/>
      <c r="AI121" s="81" t="s">
        <v>2137</v>
      </c>
      <c r="AJ121" s="85">
        <v>44166.10273148148</v>
      </c>
      <c r="AK121" s="83" t="str">
        <f>HYPERLINK("https://yt3.ggpht.com/ytc/AOPolaRGWZetCdo9wFyzc3XwkhHhKGtfa10kwTGIlQ=s88-c-k-c0x00ffffff-no-rj")</f>
        <v>https://yt3.ggpht.com/ytc/AOPolaRGWZetCdo9wFyzc3XwkhHhKGtfa10kwTGIlQ=s88-c-k-c0x00ffffff-no-rj</v>
      </c>
      <c r="AL121" s="81">
        <v>0</v>
      </c>
      <c r="AM121" s="81">
        <v>0</v>
      </c>
      <c r="AN121" s="81">
        <v>0</v>
      </c>
      <c r="AO121" s="81" t="b">
        <v>0</v>
      </c>
      <c r="AP121" s="81">
        <v>0</v>
      </c>
      <c r="AQ121" s="81"/>
      <c r="AR121" s="81"/>
      <c r="AS121" s="81" t="s">
        <v>2571</v>
      </c>
      <c r="AT121" s="83" t="str">
        <f>HYPERLINK("https://www.youtube.com/channel/UCPVMvl2anCY-LedUJBXzqKQ")</f>
        <v>https://www.youtube.com/channel/UCPVMvl2anCY-LedUJBXzqKQ</v>
      </c>
      <c r="AU121" s="81">
        <v>4</v>
      </c>
      <c r="AV121" s="49">
        <v>0</v>
      </c>
      <c r="AW121" s="50">
        <v>0</v>
      </c>
      <c r="AX121" s="49">
        <v>1</v>
      </c>
      <c r="AY121" s="50">
        <v>6.666666666666667</v>
      </c>
      <c r="AZ121" s="49">
        <v>0</v>
      </c>
      <c r="BA121" s="50">
        <v>0</v>
      </c>
      <c r="BB121" s="49">
        <v>5</v>
      </c>
      <c r="BC121" s="50">
        <v>33.333333333333336</v>
      </c>
      <c r="BD121" s="49">
        <v>15</v>
      </c>
      <c r="BE121" s="49"/>
      <c r="BF121" s="49"/>
      <c r="BG121" s="49"/>
      <c r="BH121" s="49"/>
      <c r="BI121" s="49"/>
      <c r="BJ121" s="49"/>
      <c r="BK121" s="115" t="s">
        <v>2668</v>
      </c>
      <c r="BL121" s="115" t="s">
        <v>2668</v>
      </c>
      <c r="BM121" s="115" t="s">
        <v>3142</v>
      </c>
      <c r="BN121" s="115" t="s">
        <v>3142</v>
      </c>
      <c r="BO121" s="2"/>
      <c r="BP121" s="3"/>
      <c r="BQ121" s="3"/>
      <c r="BR121" s="3"/>
      <c r="BS121" s="3"/>
    </row>
    <row r="122" spans="1:71" ht="15">
      <c r="A122" s="66" t="s">
        <v>340</v>
      </c>
      <c r="B122" s="67"/>
      <c r="C122" s="67"/>
      <c r="D122" s="68">
        <v>150</v>
      </c>
      <c r="E122" s="70"/>
      <c r="F122" s="102" t="str">
        <f>HYPERLINK("https://yt3.ggpht.com/ytc/AOPolaToWeZS1eGjgoiwtFlucs2b1Ww4pI91kbcyBg=s88-c-k-c0x00ffffff-no-rj")</f>
        <v>https://yt3.ggpht.com/ytc/AOPolaToWeZS1eGjgoiwtFlucs2b1Ww4pI91kbcyBg=s88-c-k-c0x00ffffff-no-rj</v>
      </c>
      <c r="G122" s="67"/>
      <c r="H122" s="71" t="s">
        <v>1417</v>
      </c>
      <c r="I122" s="72"/>
      <c r="J122" s="72" t="s">
        <v>159</v>
      </c>
      <c r="K122" s="71" t="s">
        <v>1417</v>
      </c>
      <c r="L122" s="75">
        <v>1</v>
      </c>
      <c r="M122" s="76">
        <v>8683.875</v>
      </c>
      <c r="N122" s="76">
        <v>5252.41796875</v>
      </c>
      <c r="O122" s="77"/>
      <c r="P122" s="78"/>
      <c r="Q122" s="78"/>
      <c r="R122" s="88"/>
      <c r="S122" s="49">
        <v>0</v>
      </c>
      <c r="T122" s="49">
        <v>1</v>
      </c>
      <c r="U122" s="50">
        <v>0</v>
      </c>
      <c r="V122" s="50">
        <v>0.056822</v>
      </c>
      <c r="W122" s="50">
        <v>0</v>
      </c>
      <c r="X122" s="50">
        <v>0.001581</v>
      </c>
      <c r="Y122" s="50">
        <v>0</v>
      </c>
      <c r="Z122" s="50">
        <v>0</v>
      </c>
      <c r="AA122" s="73">
        <v>122</v>
      </c>
      <c r="AB122" s="73"/>
      <c r="AC122" s="74"/>
      <c r="AD122" s="81" t="s">
        <v>1417</v>
      </c>
      <c r="AE122" s="81"/>
      <c r="AF122" s="81"/>
      <c r="AG122" s="81"/>
      <c r="AH122" s="81"/>
      <c r="AI122" s="81" t="s">
        <v>2138</v>
      </c>
      <c r="AJ122" s="85">
        <v>41348.21592592593</v>
      </c>
      <c r="AK122" s="83" t="str">
        <f>HYPERLINK("https://yt3.ggpht.com/ytc/AOPolaToWeZS1eGjgoiwtFlucs2b1Ww4pI91kbcyBg=s88-c-k-c0x00ffffff-no-rj")</f>
        <v>https://yt3.ggpht.com/ytc/AOPolaToWeZS1eGjgoiwtFlucs2b1Ww4pI91kbcyBg=s88-c-k-c0x00ffffff-no-rj</v>
      </c>
      <c r="AL122" s="81">
        <v>0</v>
      </c>
      <c r="AM122" s="81">
        <v>0</v>
      </c>
      <c r="AN122" s="81">
        <v>0</v>
      </c>
      <c r="AO122" s="81" t="b">
        <v>0</v>
      </c>
      <c r="AP122" s="81">
        <v>0</v>
      </c>
      <c r="AQ122" s="81"/>
      <c r="AR122" s="81"/>
      <c r="AS122" s="81" t="s">
        <v>2571</v>
      </c>
      <c r="AT122" s="83" t="str">
        <f>HYPERLINK("https://www.youtube.com/channel/UCZ3KHdE7i632s9TVW19yu0Q")</f>
        <v>https://www.youtube.com/channel/UCZ3KHdE7i632s9TVW19yu0Q</v>
      </c>
      <c r="AU122" s="81">
        <v>4</v>
      </c>
      <c r="AV122" s="49">
        <v>0</v>
      </c>
      <c r="AW122" s="50">
        <v>0</v>
      </c>
      <c r="AX122" s="49">
        <v>0</v>
      </c>
      <c r="AY122" s="50">
        <v>0</v>
      </c>
      <c r="AZ122" s="49">
        <v>0</v>
      </c>
      <c r="BA122" s="50">
        <v>0</v>
      </c>
      <c r="BB122" s="49">
        <v>2</v>
      </c>
      <c r="BC122" s="50">
        <v>33.333333333333336</v>
      </c>
      <c r="BD122" s="49">
        <v>6</v>
      </c>
      <c r="BE122" s="49"/>
      <c r="BF122" s="49"/>
      <c r="BG122" s="49"/>
      <c r="BH122" s="49"/>
      <c r="BI122" s="49"/>
      <c r="BJ122" s="49"/>
      <c r="BK122" s="115" t="s">
        <v>2669</v>
      </c>
      <c r="BL122" s="115" t="s">
        <v>2669</v>
      </c>
      <c r="BM122" s="115" t="s">
        <v>3143</v>
      </c>
      <c r="BN122" s="115" t="s">
        <v>3143</v>
      </c>
      <c r="BO122" s="2"/>
      <c r="BP122" s="3"/>
      <c r="BQ122" s="3"/>
      <c r="BR122" s="3"/>
      <c r="BS122" s="3"/>
    </row>
    <row r="123" spans="1:71" ht="15">
      <c r="A123" s="66" t="s">
        <v>341</v>
      </c>
      <c r="B123" s="67"/>
      <c r="C123" s="67"/>
      <c r="D123" s="68">
        <v>150</v>
      </c>
      <c r="E123" s="70"/>
      <c r="F123" s="102" t="str">
        <f>HYPERLINK("https://yt3.ggpht.com/ytc/AOPolaQyzsUQrZ6jcp4DU01GmDfIoOlXkbnYYM7cRw=s88-c-k-c0x00ffffff-no-rj")</f>
        <v>https://yt3.ggpht.com/ytc/AOPolaQyzsUQrZ6jcp4DU01GmDfIoOlXkbnYYM7cRw=s88-c-k-c0x00ffffff-no-rj</v>
      </c>
      <c r="G123" s="67"/>
      <c r="H123" s="71" t="s">
        <v>1418</v>
      </c>
      <c r="I123" s="72"/>
      <c r="J123" s="72" t="s">
        <v>159</v>
      </c>
      <c r="K123" s="71" t="s">
        <v>1418</v>
      </c>
      <c r="L123" s="75">
        <v>1</v>
      </c>
      <c r="M123" s="76">
        <v>9807.009765625</v>
      </c>
      <c r="N123" s="76">
        <v>5300.09423828125</v>
      </c>
      <c r="O123" s="77"/>
      <c r="P123" s="78"/>
      <c r="Q123" s="78"/>
      <c r="R123" s="88"/>
      <c r="S123" s="49">
        <v>0</v>
      </c>
      <c r="T123" s="49">
        <v>1</v>
      </c>
      <c r="U123" s="50">
        <v>0</v>
      </c>
      <c r="V123" s="50">
        <v>0.056822</v>
      </c>
      <c r="W123" s="50">
        <v>0</v>
      </c>
      <c r="X123" s="50">
        <v>0.001581</v>
      </c>
      <c r="Y123" s="50">
        <v>0</v>
      </c>
      <c r="Z123" s="50">
        <v>0</v>
      </c>
      <c r="AA123" s="73">
        <v>123</v>
      </c>
      <c r="AB123" s="73"/>
      <c r="AC123" s="74"/>
      <c r="AD123" s="81" t="s">
        <v>1418</v>
      </c>
      <c r="AE123" s="81"/>
      <c r="AF123" s="81"/>
      <c r="AG123" s="81"/>
      <c r="AH123" s="81"/>
      <c r="AI123" s="81" t="s">
        <v>2139</v>
      </c>
      <c r="AJ123" s="85">
        <v>41521.746666666666</v>
      </c>
      <c r="AK123" s="83" t="str">
        <f>HYPERLINK("https://yt3.ggpht.com/ytc/AOPolaQyzsUQrZ6jcp4DU01GmDfIoOlXkbnYYM7cRw=s88-c-k-c0x00ffffff-no-rj")</f>
        <v>https://yt3.ggpht.com/ytc/AOPolaQyzsUQrZ6jcp4DU01GmDfIoOlXkbnYYM7cRw=s88-c-k-c0x00ffffff-no-rj</v>
      </c>
      <c r="AL123" s="81">
        <v>0</v>
      </c>
      <c r="AM123" s="81">
        <v>0</v>
      </c>
      <c r="AN123" s="81">
        <v>0</v>
      </c>
      <c r="AO123" s="81" t="b">
        <v>0</v>
      </c>
      <c r="AP123" s="81">
        <v>0</v>
      </c>
      <c r="AQ123" s="81"/>
      <c r="AR123" s="81"/>
      <c r="AS123" s="81" t="s">
        <v>2571</v>
      </c>
      <c r="AT123" s="83" t="str">
        <f>HYPERLINK("https://www.youtube.com/channel/UCNlS14JjzEr-TJrW6OGwsMw")</f>
        <v>https://www.youtube.com/channel/UCNlS14JjzEr-TJrW6OGwsMw</v>
      </c>
      <c r="AU123" s="81">
        <v>4</v>
      </c>
      <c r="AV123" s="49">
        <v>0</v>
      </c>
      <c r="AW123" s="50">
        <v>0</v>
      </c>
      <c r="AX123" s="49">
        <v>1</v>
      </c>
      <c r="AY123" s="50">
        <v>9.090909090909092</v>
      </c>
      <c r="AZ123" s="49">
        <v>0</v>
      </c>
      <c r="BA123" s="50">
        <v>0</v>
      </c>
      <c r="BB123" s="49">
        <v>2</v>
      </c>
      <c r="BC123" s="50">
        <v>18.181818181818183</v>
      </c>
      <c r="BD123" s="49">
        <v>11</v>
      </c>
      <c r="BE123" s="49"/>
      <c r="BF123" s="49"/>
      <c r="BG123" s="49"/>
      <c r="BH123" s="49"/>
      <c r="BI123" s="49"/>
      <c r="BJ123" s="49"/>
      <c r="BK123" s="115" t="s">
        <v>2670</v>
      </c>
      <c r="BL123" s="115" t="s">
        <v>2670</v>
      </c>
      <c r="BM123" s="115" t="s">
        <v>3144</v>
      </c>
      <c r="BN123" s="115" t="s">
        <v>3144</v>
      </c>
      <c r="BO123" s="2"/>
      <c r="BP123" s="3"/>
      <c r="BQ123" s="3"/>
      <c r="BR123" s="3"/>
      <c r="BS123" s="3"/>
    </row>
    <row r="124" spans="1:71" ht="15">
      <c r="A124" s="66" t="s">
        <v>342</v>
      </c>
      <c r="B124" s="67"/>
      <c r="C124" s="67"/>
      <c r="D124" s="68">
        <v>150</v>
      </c>
      <c r="E124" s="70"/>
      <c r="F124" s="102" t="str">
        <f>HYPERLINK("https://yt3.ggpht.com/ytc/AOPolaQbuCBMqiqoYfH6bPoPU2zfdbvobLC0X3H-Juh33g=s88-c-k-c0x00ffffff-no-rj")</f>
        <v>https://yt3.ggpht.com/ytc/AOPolaQbuCBMqiqoYfH6bPoPU2zfdbvobLC0X3H-Juh33g=s88-c-k-c0x00ffffff-no-rj</v>
      </c>
      <c r="G124" s="67"/>
      <c r="H124" s="71" t="s">
        <v>1419</v>
      </c>
      <c r="I124" s="72"/>
      <c r="J124" s="72" t="s">
        <v>159</v>
      </c>
      <c r="K124" s="71" t="s">
        <v>1419</v>
      </c>
      <c r="L124" s="75">
        <v>1</v>
      </c>
      <c r="M124" s="76">
        <v>7582.2900390625</v>
      </c>
      <c r="N124" s="76">
        <v>4280.9345703125</v>
      </c>
      <c r="O124" s="77"/>
      <c r="P124" s="78"/>
      <c r="Q124" s="78"/>
      <c r="R124" s="88"/>
      <c r="S124" s="49">
        <v>0</v>
      </c>
      <c r="T124" s="49">
        <v>1</v>
      </c>
      <c r="U124" s="50">
        <v>0</v>
      </c>
      <c r="V124" s="50">
        <v>0.056822</v>
      </c>
      <c r="W124" s="50">
        <v>0</v>
      </c>
      <c r="X124" s="50">
        <v>0.001581</v>
      </c>
      <c r="Y124" s="50">
        <v>0</v>
      </c>
      <c r="Z124" s="50">
        <v>0</v>
      </c>
      <c r="AA124" s="73">
        <v>124</v>
      </c>
      <c r="AB124" s="73"/>
      <c r="AC124" s="74"/>
      <c r="AD124" s="81" t="s">
        <v>1419</v>
      </c>
      <c r="AE124" s="81"/>
      <c r="AF124" s="81"/>
      <c r="AG124" s="81"/>
      <c r="AH124" s="81"/>
      <c r="AI124" s="81" t="s">
        <v>2140</v>
      </c>
      <c r="AJ124" s="85">
        <v>42140.94767361111</v>
      </c>
      <c r="AK124" s="83" t="str">
        <f>HYPERLINK("https://yt3.ggpht.com/ytc/AOPolaQbuCBMqiqoYfH6bPoPU2zfdbvobLC0X3H-Juh33g=s88-c-k-c0x00ffffff-no-rj")</f>
        <v>https://yt3.ggpht.com/ytc/AOPolaQbuCBMqiqoYfH6bPoPU2zfdbvobLC0X3H-Juh33g=s88-c-k-c0x00ffffff-no-rj</v>
      </c>
      <c r="AL124" s="81">
        <v>0</v>
      </c>
      <c r="AM124" s="81">
        <v>0</v>
      </c>
      <c r="AN124" s="81">
        <v>6</v>
      </c>
      <c r="AO124" s="81" t="b">
        <v>0</v>
      </c>
      <c r="AP124" s="81">
        <v>0</v>
      </c>
      <c r="AQ124" s="81"/>
      <c r="AR124" s="81"/>
      <c r="AS124" s="81" t="s">
        <v>2571</v>
      </c>
      <c r="AT124" s="83" t="str">
        <f>HYPERLINK("https://www.youtube.com/channel/UC2LW9R5gb-5gidvUTkIIDjQ")</f>
        <v>https://www.youtube.com/channel/UC2LW9R5gb-5gidvUTkIIDjQ</v>
      </c>
      <c r="AU124" s="81">
        <v>4</v>
      </c>
      <c r="AV124" s="49">
        <v>0</v>
      </c>
      <c r="AW124" s="50">
        <v>0</v>
      </c>
      <c r="AX124" s="49">
        <v>0</v>
      </c>
      <c r="AY124" s="50">
        <v>0</v>
      </c>
      <c r="AZ124" s="49">
        <v>0</v>
      </c>
      <c r="BA124" s="50">
        <v>0</v>
      </c>
      <c r="BB124" s="49">
        <v>4</v>
      </c>
      <c r="BC124" s="50">
        <v>57.142857142857146</v>
      </c>
      <c r="BD124" s="49">
        <v>7</v>
      </c>
      <c r="BE124" s="49"/>
      <c r="BF124" s="49"/>
      <c r="BG124" s="49"/>
      <c r="BH124" s="49"/>
      <c r="BI124" s="49"/>
      <c r="BJ124" s="49"/>
      <c r="BK124" s="115" t="s">
        <v>2671</v>
      </c>
      <c r="BL124" s="115" t="s">
        <v>2671</v>
      </c>
      <c r="BM124" s="115" t="s">
        <v>3145</v>
      </c>
      <c r="BN124" s="115" t="s">
        <v>3145</v>
      </c>
      <c r="BO124" s="2"/>
      <c r="BP124" s="3"/>
      <c r="BQ124" s="3"/>
      <c r="BR124" s="3"/>
      <c r="BS124" s="3"/>
    </row>
    <row r="125" spans="1:71" ht="15">
      <c r="A125" s="66" t="s">
        <v>343</v>
      </c>
      <c r="B125" s="67"/>
      <c r="C125" s="67"/>
      <c r="D125" s="68">
        <v>150</v>
      </c>
      <c r="E125" s="70"/>
      <c r="F125" s="102" t="str">
        <f>HYPERLINK("https://yt3.ggpht.com/ytc/AOPolaS2554LOQSKfS2QqBeuedUaHPfEBUK6HbS5ROx9mQ=s88-c-k-c0x00ffffff-no-rj")</f>
        <v>https://yt3.ggpht.com/ytc/AOPolaS2554LOQSKfS2QqBeuedUaHPfEBUK6HbS5ROx9mQ=s88-c-k-c0x00ffffff-no-rj</v>
      </c>
      <c r="G125" s="67"/>
      <c r="H125" s="71" t="s">
        <v>1420</v>
      </c>
      <c r="I125" s="72"/>
      <c r="J125" s="72" t="s">
        <v>159</v>
      </c>
      <c r="K125" s="71" t="s">
        <v>1420</v>
      </c>
      <c r="L125" s="75">
        <v>1</v>
      </c>
      <c r="M125" s="76">
        <v>9537.2275390625</v>
      </c>
      <c r="N125" s="76">
        <v>6035.4697265625</v>
      </c>
      <c r="O125" s="77"/>
      <c r="P125" s="78"/>
      <c r="Q125" s="78"/>
      <c r="R125" s="88"/>
      <c r="S125" s="49">
        <v>0</v>
      </c>
      <c r="T125" s="49">
        <v>1</v>
      </c>
      <c r="U125" s="50">
        <v>0</v>
      </c>
      <c r="V125" s="50">
        <v>0.056822</v>
      </c>
      <c r="W125" s="50">
        <v>0</v>
      </c>
      <c r="X125" s="50">
        <v>0.001581</v>
      </c>
      <c r="Y125" s="50">
        <v>0</v>
      </c>
      <c r="Z125" s="50">
        <v>0</v>
      </c>
      <c r="AA125" s="73">
        <v>125</v>
      </c>
      <c r="AB125" s="73"/>
      <c r="AC125" s="74"/>
      <c r="AD125" s="81" t="s">
        <v>1420</v>
      </c>
      <c r="AE125" s="81" t="s">
        <v>1937</v>
      </c>
      <c r="AF125" s="81"/>
      <c r="AG125" s="81"/>
      <c r="AH125" s="81"/>
      <c r="AI125" s="81" t="s">
        <v>2141</v>
      </c>
      <c r="AJ125" s="85">
        <v>44024.69119212963</v>
      </c>
      <c r="AK125" s="83" t="str">
        <f>HYPERLINK("https://yt3.ggpht.com/ytc/AOPolaS2554LOQSKfS2QqBeuedUaHPfEBUK6HbS5ROx9mQ=s88-c-k-c0x00ffffff-no-rj")</f>
        <v>https://yt3.ggpht.com/ytc/AOPolaS2554LOQSKfS2QqBeuedUaHPfEBUK6HbS5ROx9mQ=s88-c-k-c0x00ffffff-no-rj</v>
      </c>
      <c r="AL125" s="81">
        <v>48887</v>
      </c>
      <c r="AM125" s="81">
        <v>0</v>
      </c>
      <c r="AN125" s="81">
        <v>940</v>
      </c>
      <c r="AO125" s="81" t="b">
        <v>0</v>
      </c>
      <c r="AP125" s="81">
        <v>21</v>
      </c>
      <c r="AQ125" s="81"/>
      <c r="AR125" s="81"/>
      <c r="AS125" s="81" t="s">
        <v>2571</v>
      </c>
      <c r="AT125" s="83" t="str">
        <f>HYPERLINK("https://www.youtube.com/channel/UCv0eWd61ebucIyWAfoJMtpQ")</f>
        <v>https://www.youtube.com/channel/UCv0eWd61ebucIyWAfoJMtpQ</v>
      </c>
      <c r="AU125" s="81">
        <v>4</v>
      </c>
      <c r="AV125" s="49">
        <v>0</v>
      </c>
      <c r="AW125" s="50">
        <v>0</v>
      </c>
      <c r="AX125" s="49">
        <v>0</v>
      </c>
      <c r="AY125" s="50">
        <v>0</v>
      </c>
      <c r="AZ125" s="49">
        <v>0</v>
      </c>
      <c r="BA125" s="50">
        <v>0</v>
      </c>
      <c r="BB125" s="49">
        <v>3</v>
      </c>
      <c r="BC125" s="50">
        <v>60</v>
      </c>
      <c r="BD125" s="49">
        <v>5</v>
      </c>
      <c r="BE125" s="49"/>
      <c r="BF125" s="49"/>
      <c r="BG125" s="49"/>
      <c r="BH125" s="49"/>
      <c r="BI125" s="49"/>
      <c r="BJ125" s="49"/>
      <c r="BK125" s="115" t="s">
        <v>2672</v>
      </c>
      <c r="BL125" s="115" t="s">
        <v>2672</v>
      </c>
      <c r="BM125" s="115" t="s">
        <v>3146</v>
      </c>
      <c r="BN125" s="115" t="s">
        <v>3146</v>
      </c>
      <c r="BO125" s="2"/>
      <c r="BP125" s="3"/>
      <c r="BQ125" s="3"/>
      <c r="BR125" s="3"/>
      <c r="BS125" s="3"/>
    </row>
    <row r="126" spans="1:71" ht="15">
      <c r="A126" s="66" t="s">
        <v>344</v>
      </c>
      <c r="B126" s="67"/>
      <c r="C126" s="67"/>
      <c r="D126" s="68">
        <v>150</v>
      </c>
      <c r="E126" s="70"/>
      <c r="F126" s="102" t="str">
        <f>HYPERLINK("https://yt3.ggpht.com/ytc/AOPolaSsZDOfrahmsgw74Cs8QUotn9MPmq0hMTpePbDFHg=s88-c-k-c0x00ffffff-no-rj")</f>
        <v>https://yt3.ggpht.com/ytc/AOPolaSsZDOfrahmsgw74Cs8QUotn9MPmq0hMTpePbDFHg=s88-c-k-c0x00ffffff-no-rj</v>
      </c>
      <c r="G126" s="67"/>
      <c r="H126" s="71" t="s">
        <v>1421</v>
      </c>
      <c r="I126" s="72"/>
      <c r="J126" s="72" t="s">
        <v>159</v>
      </c>
      <c r="K126" s="71" t="s">
        <v>1421</v>
      </c>
      <c r="L126" s="75">
        <v>1</v>
      </c>
      <c r="M126" s="76">
        <v>7932.85302734375</v>
      </c>
      <c r="N126" s="76">
        <v>6061.634765625</v>
      </c>
      <c r="O126" s="77"/>
      <c r="P126" s="78"/>
      <c r="Q126" s="78"/>
      <c r="R126" s="88"/>
      <c r="S126" s="49">
        <v>0</v>
      </c>
      <c r="T126" s="49">
        <v>1</v>
      </c>
      <c r="U126" s="50">
        <v>0</v>
      </c>
      <c r="V126" s="50">
        <v>0.056822</v>
      </c>
      <c r="W126" s="50">
        <v>0</v>
      </c>
      <c r="X126" s="50">
        <v>0.001581</v>
      </c>
      <c r="Y126" s="50">
        <v>0</v>
      </c>
      <c r="Z126" s="50">
        <v>0</v>
      </c>
      <c r="AA126" s="73">
        <v>126</v>
      </c>
      <c r="AB126" s="73"/>
      <c r="AC126" s="74"/>
      <c r="AD126" s="81" t="s">
        <v>1421</v>
      </c>
      <c r="AE126" s="81"/>
      <c r="AF126" s="81"/>
      <c r="AG126" s="81"/>
      <c r="AH126" s="81"/>
      <c r="AI126" s="81" t="s">
        <v>2142</v>
      </c>
      <c r="AJ126" s="85">
        <v>41193.409108796295</v>
      </c>
      <c r="AK126" s="83" t="str">
        <f>HYPERLINK("https://yt3.ggpht.com/ytc/AOPolaSsZDOfrahmsgw74Cs8QUotn9MPmq0hMTpePbDFHg=s88-c-k-c0x00ffffff-no-rj")</f>
        <v>https://yt3.ggpht.com/ytc/AOPolaSsZDOfrahmsgw74Cs8QUotn9MPmq0hMTpePbDFHg=s88-c-k-c0x00ffffff-no-rj</v>
      </c>
      <c r="AL126" s="81">
        <v>0</v>
      </c>
      <c r="AM126" s="81">
        <v>0</v>
      </c>
      <c r="AN126" s="81">
        <v>0</v>
      </c>
      <c r="AO126" s="81" t="b">
        <v>0</v>
      </c>
      <c r="AP126" s="81">
        <v>0</v>
      </c>
      <c r="AQ126" s="81"/>
      <c r="AR126" s="81"/>
      <c r="AS126" s="81" t="s">
        <v>2571</v>
      </c>
      <c r="AT126" s="83" t="str">
        <f>HYPERLINK("https://www.youtube.com/channel/UCSxRMp0eMJXXZQkROuHKjpw")</f>
        <v>https://www.youtube.com/channel/UCSxRMp0eMJXXZQkROuHKjpw</v>
      </c>
      <c r="AU126" s="81">
        <v>4</v>
      </c>
      <c r="AV126" s="49">
        <v>0</v>
      </c>
      <c r="AW126" s="50">
        <v>0</v>
      </c>
      <c r="AX126" s="49">
        <v>1</v>
      </c>
      <c r="AY126" s="50">
        <v>14.285714285714286</v>
      </c>
      <c r="AZ126" s="49">
        <v>0</v>
      </c>
      <c r="BA126" s="50">
        <v>0</v>
      </c>
      <c r="BB126" s="49">
        <v>3</v>
      </c>
      <c r="BC126" s="50">
        <v>42.857142857142854</v>
      </c>
      <c r="BD126" s="49">
        <v>7</v>
      </c>
      <c r="BE126" s="49"/>
      <c r="BF126" s="49"/>
      <c r="BG126" s="49"/>
      <c r="BH126" s="49"/>
      <c r="BI126" s="49"/>
      <c r="BJ126" s="49"/>
      <c r="BK126" s="115" t="s">
        <v>2673</v>
      </c>
      <c r="BL126" s="115" t="s">
        <v>2673</v>
      </c>
      <c r="BM126" s="115" t="s">
        <v>3147</v>
      </c>
      <c r="BN126" s="115" t="s">
        <v>3147</v>
      </c>
      <c r="BO126" s="2"/>
      <c r="BP126" s="3"/>
      <c r="BQ126" s="3"/>
      <c r="BR126" s="3"/>
      <c r="BS126" s="3"/>
    </row>
    <row r="127" spans="1:71" ht="15">
      <c r="A127" s="66" t="s">
        <v>345</v>
      </c>
      <c r="B127" s="67"/>
      <c r="C127" s="67"/>
      <c r="D127" s="68">
        <v>150</v>
      </c>
      <c r="E127" s="70"/>
      <c r="F127" s="102" t="str">
        <f>HYPERLINK("https://yt3.ggpht.com/ytc/AOPolaRXEfKZ3Uqsgz72mTZrQ1arDw_ZhPxthIZwR0-B=s88-c-k-c0x00ffffff-no-rj")</f>
        <v>https://yt3.ggpht.com/ytc/AOPolaRXEfKZ3Uqsgz72mTZrQ1arDw_ZhPxthIZwR0-B=s88-c-k-c0x00ffffff-no-rj</v>
      </c>
      <c r="G127" s="67"/>
      <c r="H127" s="71" t="s">
        <v>1422</v>
      </c>
      <c r="I127" s="72"/>
      <c r="J127" s="72" t="s">
        <v>159</v>
      </c>
      <c r="K127" s="71" t="s">
        <v>1422</v>
      </c>
      <c r="L127" s="75">
        <v>1</v>
      </c>
      <c r="M127" s="76">
        <v>8368.876953125</v>
      </c>
      <c r="N127" s="76">
        <v>6680.3662109375</v>
      </c>
      <c r="O127" s="77"/>
      <c r="P127" s="78"/>
      <c r="Q127" s="78"/>
      <c r="R127" s="88"/>
      <c r="S127" s="49">
        <v>0</v>
      </c>
      <c r="T127" s="49">
        <v>1</v>
      </c>
      <c r="U127" s="50">
        <v>0</v>
      </c>
      <c r="V127" s="50">
        <v>0.056822</v>
      </c>
      <c r="W127" s="50">
        <v>0</v>
      </c>
      <c r="X127" s="50">
        <v>0.001581</v>
      </c>
      <c r="Y127" s="50">
        <v>0</v>
      </c>
      <c r="Z127" s="50">
        <v>0</v>
      </c>
      <c r="AA127" s="73">
        <v>127</v>
      </c>
      <c r="AB127" s="73"/>
      <c r="AC127" s="74"/>
      <c r="AD127" s="81" t="s">
        <v>1422</v>
      </c>
      <c r="AE127" s="81"/>
      <c r="AF127" s="81"/>
      <c r="AG127" s="81"/>
      <c r="AH127" s="81"/>
      <c r="AI127" s="81" t="s">
        <v>2143</v>
      </c>
      <c r="AJ127" s="85">
        <v>41691.79325231481</v>
      </c>
      <c r="AK127" s="83" t="str">
        <f>HYPERLINK("https://yt3.ggpht.com/ytc/AOPolaRXEfKZ3Uqsgz72mTZrQ1arDw_ZhPxthIZwR0-B=s88-c-k-c0x00ffffff-no-rj")</f>
        <v>https://yt3.ggpht.com/ytc/AOPolaRXEfKZ3Uqsgz72mTZrQ1arDw_ZhPxthIZwR0-B=s88-c-k-c0x00ffffff-no-rj</v>
      </c>
      <c r="AL127" s="81">
        <v>0</v>
      </c>
      <c r="AM127" s="81">
        <v>0</v>
      </c>
      <c r="AN127" s="81">
        <v>289</v>
      </c>
      <c r="AO127" s="81" t="b">
        <v>0</v>
      </c>
      <c r="AP127" s="81">
        <v>0</v>
      </c>
      <c r="AQ127" s="81"/>
      <c r="AR127" s="81"/>
      <c r="AS127" s="81" t="s">
        <v>2571</v>
      </c>
      <c r="AT127" s="83" t="str">
        <f>HYPERLINK("https://www.youtube.com/channel/UC2Scn57r4CIqOhGvYWMQ8YA")</f>
        <v>https://www.youtube.com/channel/UC2Scn57r4CIqOhGvYWMQ8YA</v>
      </c>
      <c r="AU127" s="81">
        <v>4</v>
      </c>
      <c r="AV127" s="49">
        <v>0</v>
      </c>
      <c r="AW127" s="50">
        <v>0</v>
      </c>
      <c r="AX127" s="49">
        <v>0</v>
      </c>
      <c r="AY127" s="50">
        <v>0</v>
      </c>
      <c r="AZ127" s="49">
        <v>0</v>
      </c>
      <c r="BA127" s="50">
        <v>0</v>
      </c>
      <c r="BB127" s="49">
        <v>2</v>
      </c>
      <c r="BC127" s="50">
        <v>40</v>
      </c>
      <c r="BD127" s="49">
        <v>5</v>
      </c>
      <c r="BE127" s="49"/>
      <c r="BF127" s="49"/>
      <c r="BG127" s="49"/>
      <c r="BH127" s="49"/>
      <c r="BI127" s="49"/>
      <c r="BJ127" s="49"/>
      <c r="BK127" s="115" t="s">
        <v>2674</v>
      </c>
      <c r="BL127" s="115" t="s">
        <v>2674</v>
      </c>
      <c r="BM127" s="115" t="s">
        <v>3148</v>
      </c>
      <c r="BN127" s="115" t="s">
        <v>3148</v>
      </c>
      <c r="BO127" s="2"/>
      <c r="BP127" s="3"/>
      <c r="BQ127" s="3"/>
      <c r="BR127" s="3"/>
      <c r="BS127" s="3"/>
    </row>
    <row r="128" spans="1:71" ht="15">
      <c r="A128" s="66" t="s">
        <v>346</v>
      </c>
      <c r="B128" s="67"/>
      <c r="C128" s="67"/>
      <c r="D128" s="68">
        <v>150</v>
      </c>
      <c r="E128" s="70"/>
      <c r="F128" s="102" t="str">
        <f>HYPERLINK("https://yt3.ggpht.com/ytc/AOPolaSm_ZD-GoM2ccZ54IIz9xooFYk4DaD7d_wToObgcA=s88-c-k-c0x00ffffff-no-rj")</f>
        <v>https://yt3.ggpht.com/ytc/AOPolaSm_ZD-GoM2ccZ54IIz9xooFYk4DaD7d_wToObgcA=s88-c-k-c0x00ffffff-no-rj</v>
      </c>
      <c r="G128" s="67"/>
      <c r="H128" s="71" t="s">
        <v>1423</v>
      </c>
      <c r="I128" s="72"/>
      <c r="J128" s="72" t="s">
        <v>159</v>
      </c>
      <c r="K128" s="71" t="s">
        <v>1423</v>
      </c>
      <c r="L128" s="75">
        <v>1</v>
      </c>
      <c r="M128" s="76">
        <v>9592.5517578125</v>
      </c>
      <c r="N128" s="76">
        <v>4627.51904296875</v>
      </c>
      <c r="O128" s="77"/>
      <c r="P128" s="78"/>
      <c r="Q128" s="78"/>
      <c r="R128" s="88"/>
      <c r="S128" s="49">
        <v>0</v>
      </c>
      <c r="T128" s="49">
        <v>1</v>
      </c>
      <c r="U128" s="50">
        <v>0</v>
      </c>
      <c r="V128" s="50">
        <v>0.056822</v>
      </c>
      <c r="W128" s="50">
        <v>0</v>
      </c>
      <c r="X128" s="50">
        <v>0.001581</v>
      </c>
      <c r="Y128" s="50">
        <v>0</v>
      </c>
      <c r="Z128" s="50">
        <v>0</v>
      </c>
      <c r="AA128" s="73">
        <v>128</v>
      </c>
      <c r="AB128" s="73"/>
      <c r="AC128" s="74"/>
      <c r="AD128" s="81" t="s">
        <v>1423</v>
      </c>
      <c r="AE128" s="81" t="s">
        <v>1938</v>
      </c>
      <c r="AF128" s="81"/>
      <c r="AG128" s="81"/>
      <c r="AH128" s="81"/>
      <c r="AI128" s="81" t="s">
        <v>2144</v>
      </c>
      <c r="AJ128" s="85">
        <v>41324.691875</v>
      </c>
      <c r="AK128" s="83" t="str">
        <f>HYPERLINK("https://yt3.ggpht.com/ytc/AOPolaSm_ZD-GoM2ccZ54IIz9xooFYk4DaD7d_wToObgcA=s88-c-k-c0x00ffffff-no-rj")</f>
        <v>https://yt3.ggpht.com/ytc/AOPolaSm_ZD-GoM2ccZ54IIz9xooFYk4DaD7d_wToObgcA=s88-c-k-c0x00ffffff-no-rj</v>
      </c>
      <c r="AL128" s="81">
        <v>12483</v>
      </c>
      <c r="AM128" s="81">
        <v>0</v>
      </c>
      <c r="AN128" s="81">
        <v>34</v>
      </c>
      <c r="AO128" s="81" t="b">
        <v>0</v>
      </c>
      <c r="AP128" s="81">
        <v>3</v>
      </c>
      <c r="AQ128" s="81"/>
      <c r="AR128" s="81"/>
      <c r="AS128" s="81" t="s">
        <v>2571</v>
      </c>
      <c r="AT128" s="83" t="str">
        <f>HYPERLINK("https://www.youtube.com/channel/UCLne-2Dwcu1Siyrw0ctni1g")</f>
        <v>https://www.youtube.com/channel/UCLne-2Dwcu1Siyrw0ctni1g</v>
      </c>
      <c r="AU128" s="81">
        <v>4</v>
      </c>
      <c r="AV128" s="49">
        <v>0</v>
      </c>
      <c r="AW128" s="50">
        <v>0</v>
      </c>
      <c r="AX128" s="49">
        <v>0</v>
      </c>
      <c r="AY128" s="50">
        <v>0</v>
      </c>
      <c r="AZ128" s="49">
        <v>0</v>
      </c>
      <c r="BA128" s="50">
        <v>0</v>
      </c>
      <c r="BB128" s="49">
        <v>4</v>
      </c>
      <c r="BC128" s="50">
        <v>57.142857142857146</v>
      </c>
      <c r="BD128" s="49">
        <v>7</v>
      </c>
      <c r="BE128" s="49"/>
      <c r="BF128" s="49"/>
      <c r="BG128" s="49"/>
      <c r="BH128" s="49"/>
      <c r="BI128" s="49"/>
      <c r="BJ128" s="49"/>
      <c r="BK128" s="115" t="s">
        <v>2675</v>
      </c>
      <c r="BL128" s="115" t="s">
        <v>2675</v>
      </c>
      <c r="BM128" s="115" t="s">
        <v>3149</v>
      </c>
      <c r="BN128" s="115" t="s">
        <v>3149</v>
      </c>
      <c r="BO128" s="2"/>
      <c r="BP128" s="3"/>
      <c r="BQ128" s="3"/>
      <c r="BR128" s="3"/>
      <c r="BS128" s="3"/>
    </row>
    <row r="129" spans="1:71" ht="15">
      <c r="A129" s="66" t="s">
        <v>347</v>
      </c>
      <c r="B129" s="67"/>
      <c r="C129" s="67"/>
      <c r="D129" s="68">
        <v>150</v>
      </c>
      <c r="E129" s="70"/>
      <c r="F129" s="102" t="str">
        <f>HYPERLINK("https://yt3.ggpht.com/ytc/AOPolaT2xRO3Y2diKxxEzXdt8Nu3sjBhIbo0HfrmpEfBNcjjZFieFkcnZtc0qTvahY8v=s88-c-k-c0x00ffffff-no-rj")</f>
        <v>https://yt3.ggpht.com/ytc/AOPolaT2xRO3Y2diKxxEzXdt8Nu3sjBhIbo0HfrmpEfBNcjjZFieFkcnZtc0qTvahY8v=s88-c-k-c0x00ffffff-no-rj</v>
      </c>
      <c r="G129" s="67"/>
      <c r="H129" s="71" t="s">
        <v>1424</v>
      </c>
      <c r="I129" s="72"/>
      <c r="J129" s="72" t="s">
        <v>159</v>
      </c>
      <c r="K129" s="71" t="s">
        <v>1424</v>
      </c>
      <c r="L129" s="75">
        <v>1</v>
      </c>
      <c r="M129" s="76">
        <v>6340.45068359375</v>
      </c>
      <c r="N129" s="76">
        <v>4984.208984375</v>
      </c>
      <c r="O129" s="77"/>
      <c r="P129" s="78"/>
      <c r="Q129" s="78"/>
      <c r="R129" s="88"/>
      <c r="S129" s="49">
        <v>0</v>
      </c>
      <c r="T129" s="49">
        <v>1</v>
      </c>
      <c r="U129" s="50">
        <v>0</v>
      </c>
      <c r="V129" s="50">
        <v>0.056822</v>
      </c>
      <c r="W129" s="50">
        <v>0</v>
      </c>
      <c r="X129" s="50">
        <v>0.001581</v>
      </c>
      <c r="Y129" s="50">
        <v>0</v>
      </c>
      <c r="Z129" s="50">
        <v>0</v>
      </c>
      <c r="AA129" s="73">
        <v>129</v>
      </c>
      <c r="AB129" s="73"/>
      <c r="AC129" s="74"/>
      <c r="AD129" s="81" t="s">
        <v>1424</v>
      </c>
      <c r="AE129" s="81"/>
      <c r="AF129" s="81"/>
      <c r="AG129" s="81"/>
      <c r="AH129" s="81"/>
      <c r="AI129" s="81" t="s">
        <v>2145</v>
      </c>
      <c r="AJ129" s="85">
        <v>44369.92209490741</v>
      </c>
      <c r="AK129" s="83" t="str">
        <f>HYPERLINK("https://yt3.ggpht.com/ytc/AOPolaT2xRO3Y2diKxxEzXdt8Nu3sjBhIbo0HfrmpEfBNcjjZFieFkcnZtc0qTvahY8v=s88-c-k-c0x00ffffff-no-rj")</f>
        <v>https://yt3.ggpht.com/ytc/AOPolaT2xRO3Y2diKxxEzXdt8Nu3sjBhIbo0HfrmpEfBNcjjZFieFkcnZtc0qTvahY8v=s88-c-k-c0x00ffffff-no-rj</v>
      </c>
      <c r="AL129" s="81">
        <v>0</v>
      </c>
      <c r="AM129" s="81">
        <v>0</v>
      </c>
      <c r="AN129" s="81">
        <v>0</v>
      </c>
      <c r="AO129" s="81" t="b">
        <v>0</v>
      </c>
      <c r="AP129" s="81">
        <v>0</v>
      </c>
      <c r="AQ129" s="81"/>
      <c r="AR129" s="81"/>
      <c r="AS129" s="81" t="s">
        <v>2571</v>
      </c>
      <c r="AT129" s="83" t="str">
        <f>HYPERLINK("https://www.youtube.com/channel/UCnxa_lKgkn-5bd1GdQnVcbw")</f>
        <v>https://www.youtube.com/channel/UCnxa_lKgkn-5bd1GdQnVcbw</v>
      </c>
      <c r="AU129" s="81">
        <v>4</v>
      </c>
      <c r="AV129" s="49">
        <v>1</v>
      </c>
      <c r="AW129" s="50">
        <v>5.882352941176471</v>
      </c>
      <c r="AX129" s="49">
        <v>0</v>
      </c>
      <c r="AY129" s="50">
        <v>0</v>
      </c>
      <c r="AZ129" s="49">
        <v>0</v>
      </c>
      <c r="BA129" s="50">
        <v>0</v>
      </c>
      <c r="BB129" s="49">
        <v>8</v>
      </c>
      <c r="BC129" s="50">
        <v>47.05882352941177</v>
      </c>
      <c r="BD129" s="49">
        <v>17</v>
      </c>
      <c r="BE129" s="49"/>
      <c r="BF129" s="49"/>
      <c r="BG129" s="49"/>
      <c r="BH129" s="49"/>
      <c r="BI129" s="49"/>
      <c r="BJ129" s="49"/>
      <c r="BK129" s="115" t="s">
        <v>2676</v>
      </c>
      <c r="BL129" s="115" t="s">
        <v>2676</v>
      </c>
      <c r="BM129" s="115" t="s">
        <v>3150</v>
      </c>
      <c r="BN129" s="115" t="s">
        <v>3150</v>
      </c>
      <c r="BO129" s="2"/>
      <c r="BP129" s="3"/>
      <c r="BQ129" s="3"/>
      <c r="BR129" s="3"/>
      <c r="BS129" s="3"/>
    </row>
    <row r="130" spans="1:71" ht="15">
      <c r="A130" s="66" t="s">
        <v>348</v>
      </c>
      <c r="B130" s="67"/>
      <c r="C130" s="67"/>
      <c r="D130" s="68">
        <v>150</v>
      </c>
      <c r="E130" s="70"/>
      <c r="F130" s="102" t="str">
        <f>HYPERLINK("https://yt3.ggpht.com/ytc/AOPolaTkGTpb08JbHNTfiaH0aseqT6caAE_p7hn8NvYNvQ=s88-c-k-c0x00ffffff-no-rj")</f>
        <v>https://yt3.ggpht.com/ytc/AOPolaTkGTpb08JbHNTfiaH0aseqT6caAE_p7hn8NvYNvQ=s88-c-k-c0x00ffffff-no-rj</v>
      </c>
      <c r="G130" s="67"/>
      <c r="H130" s="71" t="s">
        <v>1425</v>
      </c>
      <c r="I130" s="72"/>
      <c r="J130" s="72" t="s">
        <v>159</v>
      </c>
      <c r="K130" s="71" t="s">
        <v>1425</v>
      </c>
      <c r="L130" s="75">
        <v>1</v>
      </c>
      <c r="M130" s="76">
        <v>9381.921875</v>
      </c>
      <c r="N130" s="76">
        <v>5307.6044921875</v>
      </c>
      <c r="O130" s="77"/>
      <c r="P130" s="78"/>
      <c r="Q130" s="78"/>
      <c r="R130" s="88"/>
      <c r="S130" s="49">
        <v>0</v>
      </c>
      <c r="T130" s="49">
        <v>1</v>
      </c>
      <c r="U130" s="50">
        <v>0</v>
      </c>
      <c r="V130" s="50">
        <v>0.056822</v>
      </c>
      <c r="W130" s="50">
        <v>0</v>
      </c>
      <c r="X130" s="50">
        <v>0.001581</v>
      </c>
      <c r="Y130" s="50">
        <v>0</v>
      </c>
      <c r="Z130" s="50">
        <v>0</v>
      </c>
      <c r="AA130" s="73">
        <v>130</v>
      </c>
      <c r="AB130" s="73"/>
      <c r="AC130" s="74"/>
      <c r="AD130" s="81" t="s">
        <v>1425</v>
      </c>
      <c r="AE130" s="81"/>
      <c r="AF130" s="81"/>
      <c r="AG130" s="81"/>
      <c r="AH130" s="81"/>
      <c r="AI130" s="81" t="s">
        <v>2146</v>
      </c>
      <c r="AJ130" s="85">
        <v>41792.28386574074</v>
      </c>
      <c r="AK130" s="83" t="str">
        <f>HYPERLINK("https://yt3.ggpht.com/ytc/AOPolaTkGTpb08JbHNTfiaH0aseqT6caAE_p7hn8NvYNvQ=s88-c-k-c0x00ffffff-no-rj")</f>
        <v>https://yt3.ggpht.com/ytc/AOPolaTkGTpb08JbHNTfiaH0aseqT6caAE_p7hn8NvYNvQ=s88-c-k-c0x00ffffff-no-rj</v>
      </c>
      <c r="AL130" s="81">
        <v>22</v>
      </c>
      <c r="AM130" s="81">
        <v>0</v>
      </c>
      <c r="AN130" s="81">
        <v>1</v>
      </c>
      <c r="AO130" s="81" t="b">
        <v>0</v>
      </c>
      <c r="AP130" s="81">
        <v>2</v>
      </c>
      <c r="AQ130" s="81"/>
      <c r="AR130" s="81"/>
      <c r="AS130" s="81" t="s">
        <v>2571</v>
      </c>
      <c r="AT130" s="83" t="str">
        <f>HYPERLINK("https://www.youtube.com/channel/UCaADxgyKUnUXwuFN2LVwz-Q")</f>
        <v>https://www.youtube.com/channel/UCaADxgyKUnUXwuFN2LVwz-Q</v>
      </c>
      <c r="AU130" s="81">
        <v>4</v>
      </c>
      <c r="AV130" s="49">
        <v>4</v>
      </c>
      <c r="AW130" s="50">
        <v>10.256410256410257</v>
      </c>
      <c r="AX130" s="49">
        <v>0</v>
      </c>
      <c r="AY130" s="50">
        <v>0</v>
      </c>
      <c r="AZ130" s="49">
        <v>0</v>
      </c>
      <c r="BA130" s="50">
        <v>0</v>
      </c>
      <c r="BB130" s="49">
        <v>14</v>
      </c>
      <c r="BC130" s="50">
        <v>35.8974358974359</v>
      </c>
      <c r="BD130" s="49">
        <v>39</v>
      </c>
      <c r="BE130" s="49"/>
      <c r="BF130" s="49"/>
      <c r="BG130" s="49"/>
      <c r="BH130" s="49"/>
      <c r="BI130" s="49"/>
      <c r="BJ130" s="49"/>
      <c r="BK130" s="115" t="s">
        <v>2677</v>
      </c>
      <c r="BL130" s="115" t="s">
        <v>2677</v>
      </c>
      <c r="BM130" s="115" t="s">
        <v>3151</v>
      </c>
      <c r="BN130" s="115" t="s">
        <v>3151</v>
      </c>
      <c r="BO130" s="2"/>
      <c r="BP130" s="3"/>
      <c r="BQ130" s="3"/>
      <c r="BR130" s="3"/>
      <c r="BS130" s="3"/>
    </row>
    <row r="131" spans="1:71" ht="15">
      <c r="A131" s="66" t="s">
        <v>349</v>
      </c>
      <c r="B131" s="67"/>
      <c r="C131" s="67"/>
      <c r="D131" s="68">
        <v>150</v>
      </c>
      <c r="E131" s="70"/>
      <c r="F131" s="102" t="str">
        <f>HYPERLINK("https://yt3.ggpht.com/ytc/AOPolaT8FIwxfG2TGwbcElyohMHSwDuJB7p6hhL95wxIPg=s88-c-k-c0x00ffffff-no-rj")</f>
        <v>https://yt3.ggpht.com/ytc/AOPolaT8FIwxfG2TGwbcElyohMHSwDuJB7p6hhL95wxIPg=s88-c-k-c0x00ffffff-no-rj</v>
      </c>
      <c r="G131" s="67"/>
      <c r="H131" s="71" t="s">
        <v>1426</v>
      </c>
      <c r="I131" s="72"/>
      <c r="J131" s="72" t="s">
        <v>159</v>
      </c>
      <c r="K131" s="71" t="s">
        <v>1426</v>
      </c>
      <c r="L131" s="75">
        <v>1</v>
      </c>
      <c r="M131" s="76">
        <v>7903.71044921875</v>
      </c>
      <c r="N131" s="76">
        <v>5602.0830078125</v>
      </c>
      <c r="O131" s="77"/>
      <c r="P131" s="78"/>
      <c r="Q131" s="78"/>
      <c r="R131" s="88"/>
      <c r="S131" s="49">
        <v>0</v>
      </c>
      <c r="T131" s="49">
        <v>1</v>
      </c>
      <c r="U131" s="50">
        <v>0</v>
      </c>
      <c r="V131" s="50">
        <v>0.056822</v>
      </c>
      <c r="W131" s="50">
        <v>0</v>
      </c>
      <c r="X131" s="50">
        <v>0.001581</v>
      </c>
      <c r="Y131" s="50">
        <v>0</v>
      </c>
      <c r="Z131" s="50">
        <v>0</v>
      </c>
      <c r="AA131" s="73">
        <v>131</v>
      </c>
      <c r="AB131" s="73"/>
      <c r="AC131" s="74"/>
      <c r="AD131" s="81" t="s">
        <v>1426</v>
      </c>
      <c r="AE131" s="81"/>
      <c r="AF131" s="81"/>
      <c r="AG131" s="81"/>
      <c r="AH131" s="81"/>
      <c r="AI131" s="81" t="s">
        <v>2147</v>
      </c>
      <c r="AJ131" s="85">
        <v>43815.112708333334</v>
      </c>
      <c r="AK131" s="83" t="str">
        <f>HYPERLINK("https://yt3.ggpht.com/ytc/AOPolaT8FIwxfG2TGwbcElyohMHSwDuJB7p6hhL95wxIPg=s88-c-k-c0x00ffffff-no-rj")</f>
        <v>https://yt3.ggpht.com/ytc/AOPolaT8FIwxfG2TGwbcElyohMHSwDuJB7p6hhL95wxIPg=s88-c-k-c0x00ffffff-no-rj</v>
      </c>
      <c r="AL131" s="81">
        <v>0</v>
      </c>
      <c r="AM131" s="81">
        <v>0</v>
      </c>
      <c r="AN131" s="81">
        <v>0</v>
      </c>
      <c r="AO131" s="81" t="b">
        <v>0</v>
      </c>
      <c r="AP131" s="81">
        <v>0</v>
      </c>
      <c r="AQ131" s="81"/>
      <c r="AR131" s="81"/>
      <c r="AS131" s="81" t="s">
        <v>2571</v>
      </c>
      <c r="AT131" s="83" t="str">
        <f>HYPERLINK("https://www.youtube.com/channel/UC6cp7zrrdqllBO4l0AivscA")</f>
        <v>https://www.youtube.com/channel/UC6cp7zrrdqllBO4l0AivscA</v>
      </c>
      <c r="AU131" s="81">
        <v>4</v>
      </c>
      <c r="AV131" s="49">
        <v>0</v>
      </c>
      <c r="AW131" s="50">
        <v>0</v>
      </c>
      <c r="AX131" s="49">
        <v>1</v>
      </c>
      <c r="AY131" s="50">
        <v>14.285714285714286</v>
      </c>
      <c r="AZ131" s="49">
        <v>0</v>
      </c>
      <c r="BA131" s="50">
        <v>0</v>
      </c>
      <c r="BB131" s="49">
        <v>1</v>
      </c>
      <c r="BC131" s="50">
        <v>14.285714285714286</v>
      </c>
      <c r="BD131" s="49">
        <v>7</v>
      </c>
      <c r="BE131" s="49"/>
      <c r="BF131" s="49"/>
      <c r="BG131" s="49"/>
      <c r="BH131" s="49"/>
      <c r="BI131" s="49"/>
      <c r="BJ131" s="49"/>
      <c r="BK131" s="115" t="s">
        <v>2678</v>
      </c>
      <c r="BL131" s="115" t="s">
        <v>2678</v>
      </c>
      <c r="BM131" s="115" t="s">
        <v>3152</v>
      </c>
      <c r="BN131" s="115" t="s">
        <v>3152</v>
      </c>
      <c r="BO131" s="2"/>
      <c r="BP131" s="3"/>
      <c r="BQ131" s="3"/>
      <c r="BR131" s="3"/>
      <c r="BS131" s="3"/>
    </row>
    <row r="132" spans="1:71" ht="15">
      <c r="A132" s="66" t="s">
        <v>350</v>
      </c>
      <c r="B132" s="67"/>
      <c r="C132" s="67"/>
      <c r="D132" s="68">
        <v>150</v>
      </c>
      <c r="E132" s="70"/>
      <c r="F132" s="102" t="str">
        <f>HYPERLINK("https://yt3.ggpht.com/ytc/AOPolaSslOftdSi1ImvdbRhXsgI0lcMlU4fLqgHEFgJhvYguA_yvfbsQdFFBdYCQ4RBH=s88-c-k-c0x00ffffff-no-rj")</f>
        <v>https://yt3.ggpht.com/ytc/AOPolaSslOftdSi1ImvdbRhXsgI0lcMlU4fLqgHEFgJhvYguA_yvfbsQdFFBdYCQ4RBH=s88-c-k-c0x00ffffff-no-rj</v>
      </c>
      <c r="G132" s="67"/>
      <c r="H132" s="71" t="s">
        <v>1427</v>
      </c>
      <c r="I132" s="72"/>
      <c r="J132" s="72" t="s">
        <v>159</v>
      </c>
      <c r="K132" s="71" t="s">
        <v>1427</v>
      </c>
      <c r="L132" s="75">
        <v>1</v>
      </c>
      <c r="M132" s="76">
        <v>9360.080078125</v>
      </c>
      <c r="N132" s="76">
        <v>4916.2080078125</v>
      </c>
      <c r="O132" s="77"/>
      <c r="P132" s="78"/>
      <c r="Q132" s="78"/>
      <c r="R132" s="88"/>
      <c r="S132" s="49">
        <v>0</v>
      </c>
      <c r="T132" s="49">
        <v>1</v>
      </c>
      <c r="U132" s="50">
        <v>0</v>
      </c>
      <c r="V132" s="50">
        <v>0.056822</v>
      </c>
      <c r="W132" s="50">
        <v>0</v>
      </c>
      <c r="X132" s="50">
        <v>0.001581</v>
      </c>
      <c r="Y132" s="50">
        <v>0</v>
      </c>
      <c r="Z132" s="50">
        <v>0</v>
      </c>
      <c r="AA132" s="73">
        <v>132</v>
      </c>
      <c r="AB132" s="73"/>
      <c r="AC132" s="74"/>
      <c r="AD132" s="81" t="s">
        <v>1427</v>
      </c>
      <c r="AE132" s="81"/>
      <c r="AF132" s="81"/>
      <c r="AG132" s="81"/>
      <c r="AH132" s="81"/>
      <c r="AI132" s="81" t="s">
        <v>2148</v>
      </c>
      <c r="AJ132" s="85">
        <v>44662.11027777778</v>
      </c>
      <c r="AK132" s="83" t="str">
        <f>HYPERLINK("https://yt3.ggpht.com/ytc/AOPolaSslOftdSi1ImvdbRhXsgI0lcMlU4fLqgHEFgJhvYguA_yvfbsQdFFBdYCQ4RBH=s88-c-k-c0x00ffffff-no-rj")</f>
        <v>https://yt3.ggpht.com/ytc/AOPolaSslOftdSi1ImvdbRhXsgI0lcMlU4fLqgHEFgJhvYguA_yvfbsQdFFBdYCQ4RBH=s88-c-k-c0x00ffffff-no-rj</v>
      </c>
      <c r="AL132" s="81">
        <v>10</v>
      </c>
      <c r="AM132" s="81">
        <v>0</v>
      </c>
      <c r="AN132" s="81">
        <v>1</v>
      </c>
      <c r="AO132" s="81" t="b">
        <v>0</v>
      </c>
      <c r="AP132" s="81">
        <v>1</v>
      </c>
      <c r="AQ132" s="81"/>
      <c r="AR132" s="81"/>
      <c r="AS132" s="81" t="s">
        <v>2571</v>
      </c>
      <c r="AT132" s="83" t="str">
        <f>HYPERLINK("https://www.youtube.com/channel/UCVeDDa6DKTBrhfRip6SI3VA")</f>
        <v>https://www.youtube.com/channel/UCVeDDa6DKTBrhfRip6SI3VA</v>
      </c>
      <c r="AU132" s="81">
        <v>4</v>
      </c>
      <c r="AV132" s="49">
        <v>2</v>
      </c>
      <c r="AW132" s="50">
        <v>6.896551724137931</v>
      </c>
      <c r="AX132" s="49">
        <v>1</v>
      </c>
      <c r="AY132" s="50">
        <v>3.4482758620689653</v>
      </c>
      <c r="AZ132" s="49">
        <v>0</v>
      </c>
      <c r="BA132" s="50">
        <v>0</v>
      </c>
      <c r="BB132" s="49">
        <v>9</v>
      </c>
      <c r="BC132" s="50">
        <v>31.03448275862069</v>
      </c>
      <c r="BD132" s="49">
        <v>29</v>
      </c>
      <c r="BE132" s="49"/>
      <c r="BF132" s="49"/>
      <c r="BG132" s="49"/>
      <c r="BH132" s="49"/>
      <c r="BI132" s="49"/>
      <c r="BJ132" s="49"/>
      <c r="BK132" s="115" t="s">
        <v>2679</v>
      </c>
      <c r="BL132" s="115" t="s">
        <v>2679</v>
      </c>
      <c r="BM132" s="115" t="s">
        <v>3153</v>
      </c>
      <c r="BN132" s="115" t="s">
        <v>3153</v>
      </c>
      <c r="BO132" s="2"/>
      <c r="BP132" s="3"/>
      <c r="BQ132" s="3"/>
      <c r="BR132" s="3"/>
      <c r="BS132" s="3"/>
    </row>
    <row r="133" spans="1:71" ht="15">
      <c r="A133" s="66" t="s">
        <v>351</v>
      </c>
      <c r="B133" s="67"/>
      <c r="C133" s="67"/>
      <c r="D133" s="68">
        <v>150</v>
      </c>
      <c r="E133" s="70"/>
      <c r="F133" s="102" t="str">
        <f>HYPERLINK("https://yt3.ggpht.com/OrQkPfsm9c4mmDStO7nZzOE9WPEj3Wy1mwgE9jWzcBqfVjBMyj2JkOZ8RocBcXZ1UusHJGSp4g=s88-c-k-c0x00ffffff-no-rj")</f>
        <v>https://yt3.ggpht.com/OrQkPfsm9c4mmDStO7nZzOE9WPEj3Wy1mwgE9jWzcBqfVjBMyj2JkOZ8RocBcXZ1UusHJGSp4g=s88-c-k-c0x00ffffff-no-rj</v>
      </c>
      <c r="G133" s="67"/>
      <c r="H133" s="71" t="s">
        <v>1428</v>
      </c>
      <c r="I133" s="72"/>
      <c r="J133" s="72" t="s">
        <v>159</v>
      </c>
      <c r="K133" s="71" t="s">
        <v>1428</v>
      </c>
      <c r="L133" s="75">
        <v>1</v>
      </c>
      <c r="M133" s="76">
        <v>6737.1181640625</v>
      </c>
      <c r="N133" s="76">
        <v>4492.8544921875</v>
      </c>
      <c r="O133" s="77"/>
      <c r="P133" s="78"/>
      <c r="Q133" s="78"/>
      <c r="R133" s="88"/>
      <c r="S133" s="49">
        <v>0</v>
      </c>
      <c r="T133" s="49">
        <v>1</v>
      </c>
      <c r="U133" s="50">
        <v>0</v>
      </c>
      <c r="V133" s="50">
        <v>0.056822</v>
      </c>
      <c r="W133" s="50">
        <v>0</v>
      </c>
      <c r="X133" s="50">
        <v>0.001581</v>
      </c>
      <c r="Y133" s="50">
        <v>0</v>
      </c>
      <c r="Z133" s="50">
        <v>0</v>
      </c>
      <c r="AA133" s="73">
        <v>133</v>
      </c>
      <c r="AB133" s="73"/>
      <c r="AC133" s="74"/>
      <c r="AD133" s="81" t="s">
        <v>1428</v>
      </c>
      <c r="AE133" s="81" t="s">
        <v>1939</v>
      </c>
      <c r="AF133" s="81"/>
      <c r="AG133" s="81"/>
      <c r="AH133" s="81"/>
      <c r="AI133" s="81" t="s">
        <v>2149</v>
      </c>
      <c r="AJ133" s="85">
        <v>44293.22416666667</v>
      </c>
      <c r="AK133" s="83" t="str">
        <f>HYPERLINK("https://yt3.ggpht.com/OrQkPfsm9c4mmDStO7nZzOE9WPEj3Wy1mwgE9jWzcBqfVjBMyj2JkOZ8RocBcXZ1UusHJGSp4g=s88-c-k-c0x00ffffff-no-rj")</f>
        <v>https://yt3.ggpht.com/OrQkPfsm9c4mmDStO7nZzOE9WPEj3Wy1mwgE9jWzcBqfVjBMyj2JkOZ8RocBcXZ1UusHJGSp4g=s88-c-k-c0x00ffffff-no-rj</v>
      </c>
      <c r="AL133" s="81">
        <v>1123</v>
      </c>
      <c r="AM133" s="81">
        <v>0</v>
      </c>
      <c r="AN133" s="81">
        <v>1</v>
      </c>
      <c r="AO133" s="81" t="b">
        <v>0</v>
      </c>
      <c r="AP133" s="81">
        <v>7</v>
      </c>
      <c r="AQ133" s="81"/>
      <c r="AR133" s="81"/>
      <c r="AS133" s="81" t="s">
        <v>2571</v>
      </c>
      <c r="AT133" s="83" t="str">
        <f>HYPERLINK("https://www.youtube.com/channel/UCtJOHJjvLN2Nr2uSHoQuuAg")</f>
        <v>https://www.youtube.com/channel/UCtJOHJjvLN2Nr2uSHoQuuAg</v>
      </c>
      <c r="AU133" s="81">
        <v>4</v>
      </c>
      <c r="AV133" s="49">
        <v>0</v>
      </c>
      <c r="AW133" s="50">
        <v>0</v>
      </c>
      <c r="AX133" s="49">
        <v>0</v>
      </c>
      <c r="AY133" s="50">
        <v>0</v>
      </c>
      <c r="AZ133" s="49">
        <v>0</v>
      </c>
      <c r="BA133" s="50">
        <v>0</v>
      </c>
      <c r="BB133" s="49">
        <v>1</v>
      </c>
      <c r="BC133" s="50">
        <v>100</v>
      </c>
      <c r="BD133" s="49">
        <v>1</v>
      </c>
      <c r="BE133" s="49"/>
      <c r="BF133" s="49"/>
      <c r="BG133" s="49"/>
      <c r="BH133" s="49"/>
      <c r="BI133" s="49"/>
      <c r="BJ133" s="49"/>
      <c r="BK133" s="115" t="s">
        <v>2680</v>
      </c>
      <c r="BL133" s="115" t="s">
        <v>2680</v>
      </c>
      <c r="BM133" s="115" t="s">
        <v>4477</v>
      </c>
      <c r="BN133" s="115" t="s">
        <v>4477</v>
      </c>
      <c r="BO133" s="2"/>
      <c r="BP133" s="3"/>
      <c r="BQ133" s="3"/>
      <c r="BR133" s="3"/>
      <c r="BS133" s="3"/>
    </row>
    <row r="134" spans="1:71" ht="15">
      <c r="A134" s="66" t="s">
        <v>352</v>
      </c>
      <c r="B134" s="67"/>
      <c r="C134" s="67"/>
      <c r="D134" s="68">
        <v>150</v>
      </c>
      <c r="E134" s="70"/>
      <c r="F134" s="102" t="str">
        <f>HYPERLINK("https://yt3.ggpht.com/ytc/AOPolaTZmib4A5J1M3T1LCZKYzQKNPJSL04_5e18oA=s88-c-k-c0x00ffffff-no-rj")</f>
        <v>https://yt3.ggpht.com/ytc/AOPolaTZmib4A5J1M3T1LCZKYzQKNPJSL04_5e18oA=s88-c-k-c0x00ffffff-no-rj</v>
      </c>
      <c r="G134" s="67"/>
      <c r="H134" s="71" t="s">
        <v>1429</v>
      </c>
      <c r="I134" s="72"/>
      <c r="J134" s="72" t="s">
        <v>159</v>
      </c>
      <c r="K134" s="71" t="s">
        <v>1429</v>
      </c>
      <c r="L134" s="75">
        <v>1</v>
      </c>
      <c r="M134" s="76">
        <v>9289.158203125</v>
      </c>
      <c r="N134" s="76">
        <v>4149.3115234375</v>
      </c>
      <c r="O134" s="77"/>
      <c r="P134" s="78"/>
      <c r="Q134" s="78"/>
      <c r="R134" s="88"/>
      <c r="S134" s="49">
        <v>0</v>
      </c>
      <c r="T134" s="49">
        <v>1</v>
      </c>
      <c r="U134" s="50">
        <v>0</v>
      </c>
      <c r="V134" s="50">
        <v>0.056822</v>
      </c>
      <c r="W134" s="50">
        <v>0</v>
      </c>
      <c r="X134" s="50">
        <v>0.001581</v>
      </c>
      <c r="Y134" s="50">
        <v>0</v>
      </c>
      <c r="Z134" s="50">
        <v>0</v>
      </c>
      <c r="AA134" s="73">
        <v>134</v>
      </c>
      <c r="AB134" s="73"/>
      <c r="AC134" s="74"/>
      <c r="AD134" s="81" t="s">
        <v>1429</v>
      </c>
      <c r="AE134" s="81"/>
      <c r="AF134" s="81"/>
      <c r="AG134" s="81"/>
      <c r="AH134" s="81"/>
      <c r="AI134" s="81" t="s">
        <v>2150</v>
      </c>
      <c r="AJ134" s="85">
        <v>41898.69032407407</v>
      </c>
      <c r="AK134" s="83" t="str">
        <f>HYPERLINK("https://yt3.ggpht.com/ytc/AOPolaTZmib4A5J1M3T1LCZKYzQKNPJSL04_5e18oA=s88-c-k-c0x00ffffff-no-rj")</f>
        <v>https://yt3.ggpht.com/ytc/AOPolaTZmib4A5J1M3T1LCZKYzQKNPJSL04_5e18oA=s88-c-k-c0x00ffffff-no-rj</v>
      </c>
      <c r="AL134" s="81">
        <v>233</v>
      </c>
      <c r="AM134" s="81">
        <v>0</v>
      </c>
      <c r="AN134" s="81">
        <v>14</v>
      </c>
      <c r="AO134" s="81" t="b">
        <v>0</v>
      </c>
      <c r="AP134" s="81">
        <v>1</v>
      </c>
      <c r="AQ134" s="81"/>
      <c r="AR134" s="81"/>
      <c r="AS134" s="81" t="s">
        <v>2571</v>
      </c>
      <c r="AT134" s="83" t="str">
        <f>HYPERLINK("https://www.youtube.com/channel/UCaXkZLtAuNJpRG3qMNC24Sw")</f>
        <v>https://www.youtube.com/channel/UCaXkZLtAuNJpRG3qMNC24Sw</v>
      </c>
      <c r="AU134" s="81">
        <v>4</v>
      </c>
      <c r="AV134" s="49">
        <v>0</v>
      </c>
      <c r="AW134" s="50">
        <v>0</v>
      </c>
      <c r="AX134" s="49">
        <v>4</v>
      </c>
      <c r="AY134" s="50">
        <v>100</v>
      </c>
      <c r="AZ134" s="49">
        <v>0</v>
      </c>
      <c r="BA134" s="50">
        <v>0</v>
      </c>
      <c r="BB134" s="49">
        <v>0</v>
      </c>
      <c r="BC134" s="50">
        <v>0</v>
      </c>
      <c r="BD134" s="49">
        <v>4</v>
      </c>
      <c r="BE134" s="49"/>
      <c r="BF134" s="49"/>
      <c r="BG134" s="49"/>
      <c r="BH134" s="49"/>
      <c r="BI134" s="49"/>
      <c r="BJ134" s="49"/>
      <c r="BK134" s="115" t="s">
        <v>2681</v>
      </c>
      <c r="BL134" s="115" t="s">
        <v>2681</v>
      </c>
      <c r="BM134" s="115" t="s">
        <v>3154</v>
      </c>
      <c r="BN134" s="115" t="s">
        <v>3154</v>
      </c>
      <c r="BO134" s="2"/>
      <c r="BP134" s="3"/>
      <c r="BQ134" s="3"/>
      <c r="BR134" s="3"/>
      <c r="BS134" s="3"/>
    </row>
    <row r="135" spans="1:71" ht="15">
      <c r="A135" s="66" t="s">
        <v>353</v>
      </c>
      <c r="B135" s="67"/>
      <c r="C135" s="67"/>
      <c r="D135" s="68">
        <v>150</v>
      </c>
      <c r="E135" s="70"/>
      <c r="F135" s="102" t="str">
        <f>HYPERLINK("https://yt3.ggpht.com/J3GMxPGkVqZ2sBKrTc2mc6j8HwQHo6LpcXSgP1yxPv05AL5Ir-CjtSvhhHmXVEnQqPgon8N_tg=s88-c-k-c0x00ffffff-no-rj")</f>
        <v>https://yt3.ggpht.com/J3GMxPGkVqZ2sBKrTc2mc6j8HwQHo6LpcXSgP1yxPv05AL5Ir-CjtSvhhHmXVEnQqPgon8N_tg=s88-c-k-c0x00ffffff-no-rj</v>
      </c>
      <c r="G135" s="67"/>
      <c r="H135" s="71" t="s">
        <v>1430</v>
      </c>
      <c r="I135" s="72"/>
      <c r="J135" s="72" t="s">
        <v>159</v>
      </c>
      <c r="K135" s="71" t="s">
        <v>1430</v>
      </c>
      <c r="L135" s="75">
        <v>1</v>
      </c>
      <c r="M135" s="76">
        <v>8910.908203125</v>
      </c>
      <c r="N135" s="76">
        <v>4881.31298828125</v>
      </c>
      <c r="O135" s="77"/>
      <c r="P135" s="78"/>
      <c r="Q135" s="78"/>
      <c r="R135" s="88"/>
      <c r="S135" s="49">
        <v>0</v>
      </c>
      <c r="T135" s="49">
        <v>1</v>
      </c>
      <c r="U135" s="50">
        <v>0</v>
      </c>
      <c r="V135" s="50">
        <v>0.056822</v>
      </c>
      <c r="W135" s="50">
        <v>0</v>
      </c>
      <c r="X135" s="50">
        <v>0.001581</v>
      </c>
      <c r="Y135" s="50">
        <v>0</v>
      </c>
      <c r="Z135" s="50">
        <v>0</v>
      </c>
      <c r="AA135" s="73">
        <v>135</v>
      </c>
      <c r="AB135" s="73"/>
      <c r="AC135" s="74"/>
      <c r="AD135" s="81" t="s">
        <v>1430</v>
      </c>
      <c r="AE135" s="81"/>
      <c r="AF135" s="81"/>
      <c r="AG135" s="81"/>
      <c r="AH135" s="81"/>
      <c r="AI135" s="81" t="s">
        <v>2151</v>
      </c>
      <c r="AJ135" s="85">
        <v>41603.901412037034</v>
      </c>
      <c r="AK135" s="83" t="str">
        <f>HYPERLINK("https://yt3.ggpht.com/J3GMxPGkVqZ2sBKrTc2mc6j8HwQHo6LpcXSgP1yxPv05AL5Ir-CjtSvhhHmXVEnQqPgon8N_tg=s88-c-k-c0x00ffffff-no-rj")</f>
        <v>https://yt3.ggpht.com/J3GMxPGkVqZ2sBKrTc2mc6j8HwQHo6LpcXSgP1yxPv05AL5Ir-CjtSvhhHmXVEnQqPgon8N_tg=s88-c-k-c0x00ffffff-no-rj</v>
      </c>
      <c r="AL135" s="81">
        <v>0</v>
      </c>
      <c r="AM135" s="81">
        <v>0</v>
      </c>
      <c r="AN135" s="81">
        <v>7</v>
      </c>
      <c r="AO135" s="81" t="b">
        <v>0</v>
      </c>
      <c r="AP135" s="81">
        <v>0</v>
      </c>
      <c r="AQ135" s="81"/>
      <c r="AR135" s="81"/>
      <c r="AS135" s="81" t="s">
        <v>2571</v>
      </c>
      <c r="AT135" s="83" t="str">
        <f>HYPERLINK("https://www.youtube.com/channel/UCEs5q4l_JeY7j4JZedv-OZQ")</f>
        <v>https://www.youtube.com/channel/UCEs5q4l_JeY7j4JZedv-OZQ</v>
      </c>
      <c r="AU135" s="81">
        <v>4</v>
      </c>
      <c r="AV135" s="49">
        <v>2</v>
      </c>
      <c r="AW135" s="50">
        <v>12.5</v>
      </c>
      <c r="AX135" s="49">
        <v>0</v>
      </c>
      <c r="AY135" s="50">
        <v>0</v>
      </c>
      <c r="AZ135" s="49">
        <v>0</v>
      </c>
      <c r="BA135" s="50">
        <v>0</v>
      </c>
      <c r="BB135" s="49">
        <v>6</v>
      </c>
      <c r="BC135" s="50">
        <v>37.5</v>
      </c>
      <c r="BD135" s="49">
        <v>16</v>
      </c>
      <c r="BE135" s="49"/>
      <c r="BF135" s="49"/>
      <c r="BG135" s="49"/>
      <c r="BH135" s="49"/>
      <c r="BI135" s="49"/>
      <c r="BJ135" s="49"/>
      <c r="BK135" s="115" t="s">
        <v>2682</v>
      </c>
      <c r="BL135" s="115" t="s">
        <v>2682</v>
      </c>
      <c r="BM135" s="115" t="s">
        <v>3155</v>
      </c>
      <c r="BN135" s="115" t="s">
        <v>3155</v>
      </c>
      <c r="BO135" s="2"/>
      <c r="BP135" s="3"/>
      <c r="BQ135" s="3"/>
      <c r="BR135" s="3"/>
      <c r="BS135" s="3"/>
    </row>
    <row r="136" spans="1:71" ht="15">
      <c r="A136" s="66" t="s">
        <v>354</v>
      </c>
      <c r="B136" s="67"/>
      <c r="C136" s="67"/>
      <c r="D136" s="68">
        <v>150</v>
      </c>
      <c r="E136" s="70"/>
      <c r="F136" s="102" t="str">
        <f>HYPERLINK("https://yt3.ggpht.com/ytc/AOPolaRxK9zEiCwXHvGq_uVFBS0MFcv2dXOu_TaKhg=s88-c-k-c0x00ffffff-no-rj")</f>
        <v>https://yt3.ggpht.com/ytc/AOPolaRxK9zEiCwXHvGq_uVFBS0MFcv2dXOu_TaKhg=s88-c-k-c0x00ffffff-no-rj</v>
      </c>
      <c r="G136" s="67"/>
      <c r="H136" s="71" t="s">
        <v>1431</v>
      </c>
      <c r="I136" s="72"/>
      <c r="J136" s="72" t="s">
        <v>159</v>
      </c>
      <c r="K136" s="71" t="s">
        <v>1431</v>
      </c>
      <c r="L136" s="75">
        <v>1</v>
      </c>
      <c r="M136" s="76">
        <v>9585.6865234375</v>
      </c>
      <c r="N136" s="76">
        <v>4392.44580078125</v>
      </c>
      <c r="O136" s="77"/>
      <c r="P136" s="78"/>
      <c r="Q136" s="78"/>
      <c r="R136" s="88"/>
      <c r="S136" s="49">
        <v>0</v>
      </c>
      <c r="T136" s="49">
        <v>1</v>
      </c>
      <c r="U136" s="50">
        <v>0</v>
      </c>
      <c r="V136" s="50">
        <v>0.056822</v>
      </c>
      <c r="W136" s="50">
        <v>0</v>
      </c>
      <c r="X136" s="50">
        <v>0.001581</v>
      </c>
      <c r="Y136" s="50">
        <v>0</v>
      </c>
      <c r="Z136" s="50">
        <v>0</v>
      </c>
      <c r="AA136" s="73">
        <v>136</v>
      </c>
      <c r="AB136" s="73"/>
      <c r="AC136" s="74"/>
      <c r="AD136" s="81" t="s">
        <v>1431</v>
      </c>
      <c r="AE136" s="81"/>
      <c r="AF136" s="81"/>
      <c r="AG136" s="81"/>
      <c r="AH136" s="81"/>
      <c r="AI136" s="81" t="s">
        <v>2152</v>
      </c>
      <c r="AJ136" s="85">
        <v>43566.93300925926</v>
      </c>
      <c r="AK136" s="83" t="str">
        <f>HYPERLINK("https://yt3.ggpht.com/ytc/AOPolaRxK9zEiCwXHvGq_uVFBS0MFcv2dXOu_TaKhg=s88-c-k-c0x00ffffff-no-rj")</f>
        <v>https://yt3.ggpht.com/ytc/AOPolaRxK9zEiCwXHvGq_uVFBS0MFcv2dXOu_TaKhg=s88-c-k-c0x00ffffff-no-rj</v>
      </c>
      <c r="AL136" s="81">
        <v>0</v>
      </c>
      <c r="AM136" s="81">
        <v>0</v>
      </c>
      <c r="AN136" s="81">
        <v>0</v>
      </c>
      <c r="AO136" s="81" t="b">
        <v>0</v>
      </c>
      <c r="AP136" s="81">
        <v>0</v>
      </c>
      <c r="AQ136" s="81"/>
      <c r="AR136" s="81"/>
      <c r="AS136" s="81" t="s">
        <v>2571</v>
      </c>
      <c r="AT136" s="83" t="str">
        <f>HYPERLINK("https://www.youtube.com/channel/UCTzjUM-hWvthzBk2XyblLLw")</f>
        <v>https://www.youtube.com/channel/UCTzjUM-hWvthzBk2XyblLLw</v>
      </c>
      <c r="AU136" s="81">
        <v>4</v>
      </c>
      <c r="AV136" s="49">
        <v>3</v>
      </c>
      <c r="AW136" s="50">
        <v>1.7543859649122806</v>
      </c>
      <c r="AX136" s="49">
        <v>1</v>
      </c>
      <c r="AY136" s="50">
        <v>0.5847953216374269</v>
      </c>
      <c r="AZ136" s="49">
        <v>0</v>
      </c>
      <c r="BA136" s="50">
        <v>0</v>
      </c>
      <c r="BB136" s="49">
        <v>76</v>
      </c>
      <c r="BC136" s="50">
        <v>44.44444444444444</v>
      </c>
      <c r="BD136" s="49">
        <v>171</v>
      </c>
      <c r="BE136" s="49"/>
      <c r="BF136" s="49"/>
      <c r="BG136" s="49"/>
      <c r="BH136" s="49"/>
      <c r="BI136" s="49"/>
      <c r="BJ136" s="49"/>
      <c r="BK136" s="115" t="s">
        <v>2683</v>
      </c>
      <c r="BL136" s="115" t="s">
        <v>2683</v>
      </c>
      <c r="BM136" s="115" t="s">
        <v>3156</v>
      </c>
      <c r="BN136" s="115" t="s">
        <v>3156</v>
      </c>
      <c r="BO136" s="2"/>
      <c r="BP136" s="3"/>
      <c r="BQ136" s="3"/>
      <c r="BR136" s="3"/>
      <c r="BS136" s="3"/>
    </row>
    <row r="137" spans="1:71" ht="15">
      <c r="A137" s="66" t="s">
        <v>356</v>
      </c>
      <c r="B137" s="67"/>
      <c r="C137" s="67"/>
      <c r="D137" s="68">
        <v>150</v>
      </c>
      <c r="E137" s="70"/>
      <c r="F137" s="102" t="str">
        <f>HYPERLINK("https://yt3.ggpht.com/ytc/AOPolaQ-DJ33eqqjv_9dJm5glU3amZlmZTkEU8P2sg=s88-c-k-c0x00ffffff-no-rj")</f>
        <v>https://yt3.ggpht.com/ytc/AOPolaQ-DJ33eqqjv_9dJm5glU3amZlmZTkEU8P2sg=s88-c-k-c0x00ffffff-no-rj</v>
      </c>
      <c r="G137" s="67"/>
      <c r="H137" s="71" t="s">
        <v>1432</v>
      </c>
      <c r="I137" s="72"/>
      <c r="J137" s="72" t="s">
        <v>159</v>
      </c>
      <c r="K137" s="71" t="s">
        <v>1432</v>
      </c>
      <c r="L137" s="75">
        <v>1</v>
      </c>
      <c r="M137" s="76">
        <v>7398.5146484375</v>
      </c>
      <c r="N137" s="76">
        <v>6351.75146484375</v>
      </c>
      <c r="O137" s="77"/>
      <c r="P137" s="78"/>
      <c r="Q137" s="78"/>
      <c r="R137" s="88"/>
      <c r="S137" s="49">
        <v>0</v>
      </c>
      <c r="T137" s="49">
        <v>1</v>
      </c>
      <c r="U137" s="50">
        <v>0</v>
      </c>
      <c r="V137" s="50">
        <v>0.056822</v>
      </c>
      <c r="W137" s="50">
        <v>0</v>
      </c>
      <c r="X137" s="50">
        <v>0.001581</v>
      </c>
      <c r="Y137" s="50">
        <v>0</v>
      </c>
      <c r="Z137" s="50">
        <v>0</v>
      </c>
      <c r="AA137" s="73">
        <v>137</v>
      </c>
      <c r="AB137" s="73"/>
      <c r="AC137" s="74"/>
      <c r="AD137" s="81" t="s">
        <v>1432</v>
      </c>
      <c r="AE137" s="81"/>
      <c r="AF137" s="81"/>
      <c r="AG137" s="81"/>
      <c r="AH137" s="81"/>
      <c r="AI137" s="81" t="s">
        <v>2153</v>
      </c>
      <c r="AJ137" s="85">
        <v>42558.63759259259</v>
      </c>
      <c r="AK137" s="83" t="str">
        <f>HYPERLINK("https://yt3.ggpht.com/ytc/AOPolaQ-DJ33eqqjv_9dJm5glU3amZlmZTkEU8P2sg=s88-c-k-c0x00ffffff-no-rj")</f>
        <v>https://yt3.ggpht.com/ytc/AOPolaQ-DJ33eqqjv_9dJm5glU3amZlmZTkEU8P2sg=s88-c-k-c0x00ffffff-no-rj</v>
      </c>
      <c r="AL137" s="81">
        <v>0</v>
      </c>
      <c r="AM137" s="81">
        <v>0</v>
      </c>
      <c r="AN137" s="81">
        <v>1</v>
      </c>
      <c r="AO137" s="81" t="b">
        <v>0</v>
      </c>
      <c r="AP137" s="81">
        <v>0</v>
      </c>
      <c r="AQ137" s="81"/>
      <c r="AR137" s="81"/>
      <c r="AS137" s="81" t="s">
        <v>2571</v>
      </c>
      <c r="AT137" s="83" t="str">
        <f>HYPERLINK("https://www.youtube.com/channel/UCxyxqitAALrWZmTqCApIPhw")</f>
        <v>https://www.youtube.com/channel/UCxyxqitAALrWZmTqCApIPhw</v>
      </c>
      <c r="AU137" s="81">
        <v>4</v>
      </c>
      <c r="AV137" s="49">
        <v>0</v>
      </c>
      <c r="AW137" s="50">
        <v>0</v>
      </c>
      <c r="AX137" s="49">
        <v>0</v>
      </c>
      <c r="AY137" s="50">
        <v>0</v>
      </c>
      <c r="AZ137" s="49">
        <v>0</v>
      </c>
      <c r="BA137" s="50">
        <v>0</v>
      </c>
      <c r="BB137" s="49">
        <v>9</v>
      </c>
      <c r="BC137" s="50">
        <v>60</v>
      </c>
      <c r="BD137" s="49">
        <v>15</v>
      </c>
      <c r="BE137" s="49"/>
      <c r="BF137" s="49"/>
      <c r="BG137" s="49"/>
      <c r="BH137" s="49"/>
      <c r="BI137" s="49"/>
      <c r="BJ137" s="49"/>
      <c r="BK137" s="115" t="s">
        <v>2684</v>
      </c>
      <c r="BL137" s="115" t="s">
        <v>2684</v>
      </c>
      <c r="BM137" s="115" t="s">
        <v>3157</v>
      </c>
      <c r="BN137" s="115" t="s">
        <v>3157</v>
      </c>
      <c r="BO137" s="2"/>
      <c r="BP137" s="3"/>
      <c r="BQ137" s="3"/>
      <c r="BR137" s="3"/>
      <c r="BS137" s="3"/>
    </row>
    <row r="138" spans="1:71" ht="15">
      <c r="A138" s="66" t="s">
        <v>357</v>
      </c>
      <c r="B138" s="67"/>
      <c r="C138" s="67"/>
      <c r="D138" s="68">
        <v>150</v>
      </c>
      <c r="E138" s="70"/>
      <c r="F138" s="102" t="str">
        <f>HYPERLINK("https://yt3.ggpht.com/ytc/AOPolaRIgHvq04hCWK8wq-wPOveWyLnheJPlxrJOeA=s88-c-k-c0x00ffffff-no-rj")</f>
        <v>https://yt3.ggpht.com/ytc/AOPolaRIgHvq04hCWK8wq-wPOveWyLnheJPlxrJOeA=s88-c-k-c0x00ffffff-no-rj</v>
      </c>
      <c r="G138" s="67"/>
      <c r="H138" s="71" t="s">
        <v>1433</v>
      </c>
      <c r="I138" s="72"/>
      <c r="J138" s="72" t="s">
        <v>159</v>
      </c>
      <c r="K138" s="71" t="s">
        <v>1433</v>
      </c>
      <c r="L138" s="75">
        <v>1</v>
      </c>
      <c r="M138" s="76">
        <v>5444.48974609375</v>
      </c>
      <c r="N138" s="76">
        <v>7892.9541015625</v>
      </c>
      <c r="O138" s="77"/>
      <c r="P138" s="78"/>
      <c r="Q138" s="78"/>
      <c r="R138" s="88"/>
      <c r="S138" s="49">
        <v>0</v>
      </c>
      <c r="T138" s="49">
        <v>1</v>
      </c>
      <c r="U138" s="50">
        <v>0</v>
      </c>
      <c r="V138" s="50">
        <v>0.177728</v>
      </c>
      <c r="W138" s="50">
        <v>0.049759</v>
      </c>
      <c r="X138" s="50">
        <v>0.001579</v>
      </c>
      <c r="Y138" s="50">
        <v>0</v>
      </c>
      <c r="Z138" s="50">
        <v>0</v>
      </c>
      <c r="AA138" s="73">
        <v>138</v>
      </c>
      <c r="AB138" s="73"/>
      <c r="AC138" s="74"/>
      <c r="AD138" s="81" t="s">
        <v>1433</v>
      </c>
      <c r="AE138" s="81"/>
      <c r="AF138" s="81"/>
      <c r="AG138" s="81"/>
      <c r="AH138" s="81"/>
      <c r="AI138" s="81" t="s">
        <v>2154</v>
      </c>
      <c r="AJ138" s="85">
        <v>41064.98947916667</v>
      </c>
      <c r="AK138" s="83" t="str">
        <f>HYPERLINK("https://yt3.ggpht.com/ytc/AOPolaRIgHvq04hCWK8wq-wPOveWyLnheJPlxrJOeA=s88-c-k-c0x00ffffff-no-rj")</f>
        <v>https://yt3.ggpht.com/ytc/AOPolaRIgHvq04hCWK8wq-wPOveWyLnheJPlxrJOeA=s88-c-k-c0x00ffffff-no-rj</v>
      </c>
      <c r="AL138" s="81">
        <v>0</v>
      </c>
      <c r="AM138" s="81">
        <v>0</v>
      </c>
      <c r="AN138" s="81">
        <v>2</v>
      </c>
      <c r="AO138" s="81" t="b">
        <v>0</v>
      </c>
      <c r="AP138" s="81">
        <v>0</v>
      </c>
      <c r="AQ138" s="81"/>
      <c r="AR138" s="81"/>
      <c r="AS138" s="81" t="s">
        <v>2571</v>
      </c>
      <c r="AT138" s="83" t="str">
        <f>HYPERLINK("https://www.youtube.com/channel/UCgQ78yJHT2hWhoXC0LTkX2Q")</f>
        <v>https://www.youtube.com/channel/UCgQ78yJHT2hWhoXC0LTkX2Q</v>
      </c>
      <c r="AU138" s="81">
        <v>1</v>
      </c>
      <c r="AV138" s="49">
        <v>0</v>
      </c>
      <c r="AW138" s="50">
        <v>0</v>
      </c>
      <c r="AX138" s="49">
        <v>0</v>
      </c>
      <c r="AY138" s="50">
        <v>0</v>
      </c>
      <c r="AZ138" s="49">
        <v>0</v>
      </c>
      <c r="BA138" s="50">
        <v>0</v>
      </c>
      <c r="BB138" s="49">
        <v>2</v>
      </c>
      <c r="BC138" s="50">
        <v>16.666666666666668</v>
      </c>
      <c r="BD138" s="49">
        <v>12</v>
      </c>
      <c r="BE138" s="49"/>
      <c r="BF138" s="49"/>
      <c r="BG138" s="49"/>
      <c r="BH138" s="49"/>
      <c r="BI138" s="49"/>
      <c r="BJ138" s="49"/>
      <c r="BK138" s="115" t="s">
        <v>2685</v>
      </c>
      <c r="BL138" s="115" t="s">
        <v>2685</v>
      </c>
      <c r="BM138" s="115" t="s">
        <v>3158</v>
      </c>
      <c r="BN138" s="115" t="s">
        <v>3158</v>
      </c>
      <c r="BO138" s="2"/>
      <c r="BP138" s="3"/>
      <c r="BQ138" s="3"/>
      <c r="BR138" s="3"/>
      <c r="BS138" s="3"/>
    </row>
    <row r="139" spans="1:71" ht="15">
      <c r="A139" s="66" t="s">
        <v>636</v>
      </c>
      <c r="B139" s="67"/>
      <c r="C139" s="67"/>
      <c r="D139" s="68">
        <v>1000</v>
      </c>
      <c r="E139" s="70"/>
      <c r="F139" s="102" t="str">
        <f>HYPERLINK("https://yt3.ggpht.com/l_qlqNIeJH-oR9WiWj42GhLmpsKl4l2oGR-SQER1xqhGnIjvD6u9VPjcVqjDCbeeC0ui3wv8=s88-c-k-c0x00ffffff-no-rj")</f>
        <v>https://yt3.ggpht.com/l_qlqNIeJH-oR9WiWj42GhLmpsKl4l2oGR-SQER1xqhGnIjvD6u9VPjcVqjDCbeeC0ui3wv8=s88-c-k-c0x00ffffff-no-rj</v>
      </c>
      <c r="G139" s="67"/>
      <c r="H139" s="71" t="s">
        <v>1892</v>
      </c>
      <c r="I139" s="72"/>
      <c r="J139" s="72" t="s">
        <v>75</v>
      </c>
      <c r="K139" s="71" t="s">
        <v>1892</v>
      </c>
      <c r="L139" s="75">
        <v>9999</v>
      </c>
      <c r="M139" s="76">
        <v>3201.616455078125</v>
      </c>
      <c r="N139" s="76">
        <v>7162.58056640625</v>
      </c>
      <c r="O139" s="77"/>
      <c r="P139" s="78"/>
      <c r="Q139" s="78"/>
      <c r="R139" s="88"/>
      <c r="S139" s="49">
        <v>196</v>
      </c>
      <c r="T139" s="49">
        <v>1</v>
      </c>
      <c r="U139" s="50">
        <v>37830</v>
      </c>
      <c r="V139" s="50">
        <v>0.354545</v>
      </c>
      <c r="W139" s="50">
        <v>0.719162</v>
      </c>
      <c r="X139" s="50">
        <v>0.047771</v>
      </c>
      <c r="Y139" s="50">
        <v>0</v>
      </c>
      <c r="Z139" s="50">
        <v>0</v>
      </c>
      <c r="AA139" s="73">
        <v>139</v>
      </c>
      <c r="AB139" s="73"/>
      <c r="AC139" s="74"/>
      <c r="AD139" s="81" t="s">
        <v>1892</v>
      </c>
      <c r="AE139" s="81" t="s">
        <v>1940</v>
      </c>
      <c r="AF139" s="81"/>
      <c r="AG139" s="81"/>
      <c r="AH139" s="81"/>
      <c r="AI139" s="81" t="s">
        <v>2155</v>
      </c>
      <c r="AJ139" s="85">
        <v>42517.05462962963</v>
      </c>
      <c r="AK139" s="83" t="str">
        <f>HYPERLINK("https://yt3.ggpht.com/l_qlqNIeJH-oR9WiWj42GhLmpsKl4l2oGR-SQER1xqhGnIjvD6u9VPjcVqjDCbeeC0ui3wv8=s88-c-k-c0x00ffffff-no-rj")</f>
        <v>https://yt3.ggpht.com/l_qlqNIeJH-oR9WiWj42GhLmpsKl4l2oGR-SQER1xqhGnIjvD6u9VPjcVqjDCbeeC0ui3wv8=s88-c-k-c0x00ffffff-no-rj</v>
      </c>
      <c r="AL139" s="81">
        <v>78568710</v>
      </c>
      <c r="AM139" s="81">
        <v>0</v>
      </c>
      <c r="AN139" s="81">
        <v>533000</v>
      </c>
      <c r="AO139" s="81" t="b">
        <v>0</v>
      </c>
      <c r="AP139" s="81">
        <v>385</v>
      </c>
      <c r="AQ139" s="81"/>
      <c r="AR139" s="81"/>
      <c r="AS139" s="81" t="s">
        <v>2571</v>
      </c>
      <c r="AT139" s="83" t="str">
        <f>HYPERLINK("https://www.youtube.com/channel/UCqYI3lmZgTsRs202mY15QfA")</f>
        <v>https://www.youtube.com/channel/UCqYI3lmZgTsRs202mY15QfA</v>
      </c>
      <c r="AU139" s="81">
        <v>1</v>
      </c>
      <c r="AV139" s="49"/>
      <c r="AW139" s="50"/>
      <c r="AX139" s="49"/>
      <c r="AY139" s="50"/>
      <c r="AZ139" s="49"/>
      <c r="BA139" s="50"/>
      <c r="BB139" s="49"/>
      <c r="BC139" s="50"/>
      <c r="BD139" s="49"/>
      <c r="BE139" s="49"/>
      <c r="BF139" s="49"/>
      <c r="BG139" s="49"/>
      <c r="BH139" s="49"/>
      <c r="BI139" s="49"/>
      <c r="BJ139" s="49"/>
      <c r="BK139" s="115" t="s">
        <v>4477</v>
      </c>
      <c r="BL139" s="115" t="s">
        <v>4477</v>
      </c>
      <c r="BM139" s="115" t="s">
        <v>4477</v>
      </c>
      <c r="BN139" s="115" t="s">
        <v>4477</v>
      </c>
      <c r="BO139" s="2"/>
      <c r="BP139" s="3"/>
      <c r="BQ139" s="3"/>
      <c r="BR139" s="3"/>
      <c r="BS139" s="3"/>
    </row>
    <row r="140" spans="1:71" ht="15">
      <c r="A140" s="66" t="s">
        <v>358</v>
      </c>
      <c r="B140" s="67"/>
      <c r="C140" s="67"/>
      <c r="D140" s="68">
        <v>150</v>
      </c>
      <c r="E140" s="70"/>
      <c r="F140" s="102" t="str">
        <f>HYPERLINK("https://yt3.ggpht.com/ytc/AOPolaSQpKurINHJdRSbPDBmwpOWrm6zzlJX-JdKKG2mzDs=s88-c-k-c0x00ffffff-no-rj")</f>
        <v>https://yt3.ggpht.com/ytc/AOPolaSQpKurINHJdRSbPDBmwpOWrm6zzlJX-JdKKG2mzDs=s88-c-k-c0x00ffffff-no-rj</v>
      </c>
      <c r="G140" s="67"/>
      <c r="H140" s="71" t="s">
        <v>1434</v>
      </c>
      <c r="I140" s="72"/>
      <c r="J140" s="72" t="s">
        <v>159</v>
      </c>
      <c r="K140" s="71" t="s">
        <v>1434</v>
      </c>
      <c r="L140" s="75">
        <v>1</v>
      </c>
      <c r="M140" s="76">
        <v>3129.53515625</v>
      </c>
      <c r="N140" s="76">
        <v>5034.27294921875</v>
      </c>
      <c r="O140" s="77"/>
      <c r="P140" s="78"/>
      <c r="Q140" s="78"/>
      <c r="R140" s="88"/>
      <c r="S140" s="49">
        <v>0</v>
      </c>
      <c r="T140" s="49">
        <v>1</v>
      </c>
      <c r="U140" s="50">
        <v>0</v>
      </c>
      <c r="V140" s="50">
        <v>0.177728</v>
      </c>
      <c r="W140" s="50">
        <v>0.049759</v>
      </c>
      <c r="X140" s="50">
        <v>0.001579</v>
      </c>
      <c r="Y140" s="50">
        <v>0</v>
      </c>
      <c r="Z140" s="50">
        <v>0</v>
      </c>
      <c r="AA140" s="73">
        <v>140</v>
      </c>
      <c r="AB140" s="73"/>
      <c r="AC140" s="74"/>
      <c r="AD140" s="81" t="s">
        <v>1434</v>
      </c>
      <c r="AE140" s="81" t="s">
        <v>1941</v>
      </c>
      <c r="AF140" s="81"/>
      <c r="AG140" s="81"/>
      <c r="AH140" s="81"/>
      <c r="AI140" s="81" t="s">
        <v>2156</v>
      </c>
      <c r="AJ140" s="85">
        <v>41594.516226851854</v>
      </c>
      <c r="AK140" s="83" t="str">
        <f>HYPERLINK("https://yt3.ggpht.com/ytc/AOPolaSQpKurINHJdRSbPDBmwpOWrm6zzlJX-JdKKG2mzDs=s88-c-k-c0x00ffffff-no-rj")</f>
        <v>https://yt3.ggpht.com/ytc/AOPolaSQpKurINHJdRSbPDBmwpOWrm6zzlJX-JdKKG2mzDs=s88-c-k-c0x00ffffff-no-rj</v>
      </c>
      <c r="AL140" s="81">
        <v>0</v>
      </c>
      <c r="AM140" s="81">
        <v>0</v>
      </c>
      <c r="AN140" s="81">
        <v>26</v>
      </c>
      <c r="AO140" s="81" t="b">
        <v>0</v>
      </c>
      <c r="AP140" s="81">
        <v>0</v>
      </c>
      <c r="AQ140" s="81"/>
      <c r="AR140" s="81"/>
      <c r="AS140" s="81" t="s">
        <v>2571</v>
      </c>
      <c r="AT140" s="83" t="str">
        <f>HYPERLINK("https://www.youtube.com/channel/UC6ipN8qRQdpSyusZ9dwJPtQ")</f>
        <v>https://www.youtube.com/channel/UC6ipN8qRQdpSyusZ9dwJPtQ</v>
      </c>
      <c r="AU140" s="81">
        <v>1</v>
      </c>
      <c r="AV140" s="49">
        <v>0</v>
      </c>
      <c r="AW140" s="50">
        <v>0</v>
      </c>
      <c r="AX140" s="49">
        <v>0</v>
      </c>
      <c r="AY140" s="50">
        <v>0</v>
      </c>
      <c r="AZ140" s="49">
        <v>0</v>
      </c>
      <c r="BA140" s="50">
        <v>0</v>
      </c>
      <c r="BB140" s="49">
        <v>3</v>
      </c>
      <c r="BC140" s="50">
        <v>100</v>
      </c>
      <c r="BD140" s="49">
        <v>3</v>
      </c>
      <c r="BE140" s="49"/>
      <c r="BF140" s="49"/>
      <c r="BG140" s="49"/>
      <c r="BH140" s="49"/>
      <c r="BI140" s="49"/>
      <c r="BJ140" s="49"/>
      <c r="BK140" s="115" t="s">
        <v>2686</v>
      </c>
      <c r="BL140" s="115" t="s">
        <v>2686</v>
      </c>
      <c r="BM140" s="115" t="s">
        <v>3159</v>
      </c>
      <c r="BN140" s="115" t="s">
        <v>3159</v>
      </c>
      <c r="BO140" s="2"/>
      <c r="BP140" s="3"/>
      <c r="BQ140" s="3"/>
      <c r="BR140" s="3"/>
      <c r="BS140" s="3"/>
    </row>
    <row r="141" spans="1:71" ht="15">
      <c r="A141" s="66" t="s">
        <v>359</v>
      </c>
      <c r="B141" s="67"/>
      <c r="C141" s="67"/>
      <c r="D141" s="68">
        <v>150</v>
      </c>
      <c r="E141" s="70"/>
      <c r="F141" s="102" t="str">
        <f>HYPERLINK("https://yt3.ggpht.com/ytc/AOPolaR0-Y2X4pi8SyiLuv6HV_jDhWOn0I1H0aKs5w=s88-c-k-c0x00ffffff-no-rj")</f>
        <v>https://yt3.ggpht.com/ytc/AOPolaR0-Y2X4pi8SyiLuv6HV_jDhWOn0I1H0aKs5w=s88-c-k-c0x00ffffff-no-rj</v>
      </c>
      <c r="G141" s="67"/>
      <c r="H141" s="71" t="s">
        <v>1435</v>
      </c>
      <c r="I141" s="72"/>
      <c r="J141" s="72" t="s">
        <v>159</v>
      </c>
      <c r="K141" s="71" t="s">
        <v>1435</v>
      </c>
      <c r="L141" s="75">
        <v>1</v>
      </c>
      <c r="M141" s="76">
        <v>4753.40234375</v>
      </c>
      <c r="N141" s="76">
        <v>6435.71630859375</v>
      </c>
      <c r="O141" s="77"/>
      <c r="P141" s="78"/>
      <c r="Q141" s="78"/>
      <c r="R141" s="88"/>
      <c r="S141" s="49">
        <v>0</v>
      </c>
      <c r="T141" s="49">
        <v>1</v>
      </c>
      <c r="U141" s="50">
        <v>0</v>
      </c>
      <c r="V141" s="50">
        <v>0.177728</v>
      </c>
      <c r="W141" s="50">
        <v>0.049759</v>
      </c>
      <c r="X141" s="50">
        <v>0.001579</v>
      </c>
      <c r="Y141" s="50">
        <v>0</v>
      </c>
      <c r="Z141" s="50">
        <v>0</v>
      </c>
      <c r="AA141" s="73">
        <v>141</v>
      </c>
      <c r="AB141" s="73"/>
      <c r="AC141" s="74"/>
      <c r="AD141" s="81" t="s">
        <v>1435</v>
      </c>
      <c r="AE141" s="81"/>
      <c r="AF141" s="81"/>
      <c r="AG141" s="81"/>
      <c r="AH141" s="81"/>
      <c r="AI141" s="81" t="s">
        <v>2157</v>
      </c>
      <c r="AJ141" s="85">
        <v>40242.23756944444</v>
      </c>
      <c r="AK141" s="83" t="str">
        <f>HYPERLINK("https://yt3.ggpht.com/ytc/AOPolaR0-Y2X4pi8SyiLuv6HV_jDhWOn0I1H0aKs5w=s88-c-k-c0x00ffffff-no-rj")</f>
        <v>https://yt3.ggpht.com/ytc/AOPolaR0-Y2X4pi8SyiLuv6HV_jDhWOn0I1H0aKs5w=s88-c-k-c0x00ffffff-no-rj</v>
      </c>
      <c r="AL141" s="81">
        <v>0</v>
      </c>
      <c r="AM141" s="81">
        <v>0</v>
      </c>
      <c r="AN141" s="81">
        <v>0</v>
      </c>
      <c r="AO141" s="81" t="b">
        <v>0</v>
      </c>
      <c r="AP141" s="81">
        <v>0</v>
      </c>
      <c r="AQ141" s="81"/>
      <c r="AR141" s="81"/>
      <c r="AS141" s="81" t="s">
        <v>2571</v>
      </c>
      <c r="AT141" s="83" t="str">
        <f>HYPERLINK("https://www.youtube.com/channel/UC79mZsYW610vkTIaj2ymp5Q")</f>
        <v>https://www.youtube.com/channel/UC79mZsYW610vkTIaj2ymp5Q</v>
      </c>
      <c r="AU141" s="81">
        <v>1</v>
      </c>
      <c r="AV141" s="49">
        <v>0</v>
      </c>
      <c r="AW141" s="50">
        <v>0</v>
      </c>
      <c r="AX141" s="49">
        <v>4</v>
      </c>
      <c r="AY141" s="50">
        <v>6.25</v>
      </c>
      <c r="AZ141" s="49">
        <v>0</v>
      </c>
      <c r="BA141" s="50">
        <v>0</v>
      </c>
      <c r="BB141" s="49">
        <v>19</v>
      </c>
      <c r="BC141" s="50">
        <v>29.6875</v>
      </c>
      <c r="BD141" s="49">
        <v>64</v>
      </c>
      <c r="BE141" s="49"/>
      <c r="BF141" s="49"/>
      <c r="BG141" s="49"/>
      <c r="BH141" s="49"/>
      <c r="BI141" s="49"/>
      <c r="BJ141" s="49"/>
      <c r="BK141" s="115" t="s">
        <v>2687</v>
      </c>
      <c r="BL141" s="115" t="s">
        <v>2687</v>
      </c>
      <c r="BM141" s="115" t="s">
        <v>3160</v>
      </c>
      <c r="BN141" s="115" t="s">
        <v>3160</v>
      </c>
      <c r="BO141" s="2"/>
      <c r="BP141" s="3"/>
      <c r="BQ141" s="3"/>
      <c r="BR141" s="3"/>
      <c r="BS141" s="3"/>
    </row>
    <row r="142" spans="1:71" ht="15">
      <c r="A142" s="66" t="s">
        <v>360</v>
      </c>
      <c r="B142" s="67"/>
      <c r="C142" s="67"/>
      <c r="D142" s="68">
        <v>150</v>
      </c>
      <c r="E142" s="70"/>
      <c r="F142" s="102" t="str">
        <f>HYPERLINK("https://yt3.ggpht.com/ytc/AOPolaSBFZuyKzdEIFE-LFYBKcF3cbrVWqxMVG2SRRxzQg=s88-c-k-c0x00ffffff-no-rj")</f>
        <v>https://yt3.ggpht.com/ytc/AOPolaSBFZuyKzdEIFE-LFYBKcF3cbrVWqxMVG2SRRxzQg=s88-c-k-c0x00ffffff-no-rj</v>
      </c>
      <c r="G142" s="67"/>
      <c r="H142" s="71" t="s">
        <v>1436</v>
      </c>
      <c r="I142" s="72"/>
      <c r="J142" s="72" t="s">
        <v>159</v>
      </c>
      <c r="K142" s="71" t="s">
        <v>1436</v>
      </c>
      <c r="L142" s="75">
        <v>1</v>
      </c>
      <c r="M142" s="76">
        <v>5746.35205078125</v>
      </c>
      <c r="N142" s="76">
        <v>6021.9208984375</v>
      </c>
      <c r="O142" s="77"/>
      <c r="P142" s="78"/>
      <c r="Q142" s="78"/>
      <c r="R142" s="88"/>
      <c r="S142" s="49">
        <v>0</v>
      </c>
      <c r="T142" s="49">
        <v>1</v>
      </c>
      <c r="U142" s="50">
        <v>0</v>
      </c>
      <c r="V142" s="50">
        <v>0.177728</v>
      </c>
      <c r="W142" s="50">
        <v>0.049759</v>
      </c>
      <c r="X142" s="50">
        <v>0.001579</v>
      </c>
      <c r="Y142" s="50">
        <v>0</v>
      </c>
      <c r="Z142" s="50">
        <v>0</v>
      </c>
      <c r="AA142" s="73">
        <v>142</v>
      </c>
      <c r="AB142" s="73"/>
      <c r="AC142" s="74"/>
      <c r="AD142" s="81" t="s">
        <v>1436</v>
      </c>
      <c r="AE142" s="81" t="s">
        <v>1942</v>
      </c>
      <c r="AF142" s="81"/>
      <c r="AG142" s="81"/>
      <c r="AH142" s="81"/>
      <c r="AI142" s="81" t="s">
        <v>2158</v>
      </c>
      <c r="AJ142" s="85">
        <v>41125.5746875</v>
      </c>
      <c r="AK142" s="83" t="str">
        <f>HYPERLINK("https://yt3.ggpht.com/ytc/AOPolaSBFZuyKzdEIFE-LFYBKcF3cbrVWqxMVG2SRRxzQg=s88-c-k-c0x00ffffff-no-rj")</f>
        <v>https://yt3.ggpht.com/ytc/AOPolaSBFZuyKzdEIFE-LFYBKcF3cbrVWqxMVG2SRRxzQg=s88-c-k-c0x00ffffff-no-rj</v>
      </c>
      <c r="AL142" s="81">
        <v>10503</v>
      </c>
      <c r="AM142" s="81">
        <v>0</v>
      </c>
      <c r="AN142" s="81">
        <v>175</v>
      </c>
      <c r="AO142" s="81" t="b">
        <v>0</v>
      </c>
      <c r="AP142" s="81">
        <v>56</v>
      </c>
      <c r="AQ142" s="81"/>
      <c r="AR142" s="81"/>
      <c r="AS142" s="81" t="s">
        <v>2571</v>
      </c>
      <c r="AT142" s="83" t="str">
        <f>HYPERLINK("https://www.youtube.com/channel/UCYIh2GJ_QJCgT3YKcdffX7w")</f>
        <v>https://www.youtube.com/channel/UCYIh2GJ_QJCgT3YKcdffX7w</v>
      </c>
      <c r="AU142" s="81">
        <v>1</v>
      </c>
      <c r="AV142" s="49">
        <v>3</v>
      </c>
      <c r="AW142" s="50">
        <v>15</v>
      </c>
      <c r="AX142" s="49">
        <v>1</v>
      </c>
      <c r="AY142" s="50">
        <v>5</v>
      </c>
      <c r="AZ142" s="49">
        <v>0</v>
      </c>
      <c r="BA142" s="50">
        <v>0</v>
      </c>
      <c r="BB142" s="49">
        <v>8</v>
      </c>
      <c r="BC142" s="50">
        <v>40</v>
      </c>
      <c r="BD142" s="49">
        <v>20</v>
      </c>
      <c r="BE142" s="49"/>
      <c r="BF142" s="49"/>
      <c r="BG142" s="49"/>
      <c r="BH142" s="49"/>
      <c r="BI142" s="49"/>
      <c r="BJ142" s="49"/>
      <c r="BK142" s="115" t="s">
        <v>2688</v>
      </c>
      <c r="BL142" s="115" t="s">
        <v>2688</v>
      </c>
      <c r="BM142" s="115" t="s">
        <v>3161</v>
      </c>
      <c r="BN142" s="115" t="s">
        <v>3161</v>
      </c>
      <c r="BO142" s="2"/>
      <c r="BP142" s="3"/>
      <c r="BQ142" s="3"/>
      <c r="BR142" s="3"/>
      <c r="BS142" s="3"/>
    </row>
    <row r="143" spans="1:71" ht="15">
      <c r="A143" s="66" t="s">
        <v>361</v>
      </c>
      <c r="B143" s="67"/>
      <c r="C143" s="67"/>
      <c r="D143" s="68">
        <v>150</v>
      </c>
      <c r="E143" s="70"/>
      <c r="F143" s="102" t="str">
        <f>HYPERLINK("https://yt3.ggpht.com/noUHDfnAmve2N8ZAkoga8C4sNOBypNEgxXSZorHP2bjTm85cl3TxMDHurctGcQ8RL-JVa2fb=s88-c-k-c0x00ffffff-no-rj")</f>
        <v>https://yt3.ggpht.com/noUHDfnAmve2N8ZAkoga8C4sNOBypNEgxXSZorHP2bjTm85cl3TxMDHurctGcQ8RL-JVa2fb=s88-c-k-c0x00ffffff-no-rj</v>
      </c>
      <c r="G143" s="67"/>
      <c r="H143" s="71" t="s">
        <v>1437</v>
      </c>
      <c r="I143" s="72"/>
      <c r="J143" s="72" t="s">
        <v>159</v>
      </c>
      <c r="K143" s="71" t="s">
        <v>1437</v>
      </c>
      <c r="L143" s="75">
        <v>1</v>
      </c>
      <c r="M143" s="76">
        <v>4161.83251953125</v>
      </c>
      <c r="N143" s="76">
        <v>9502.72265625</v>
      </c>
      <c r="O143" s="77"/>
      <c r="P143" s="78"/>
      <c r="Q143" s="78"/>
      <c r="R143" s="88"/>
      <c r="S143" s="49">
        <v>0</v>
      </c>
      <c r="T143" s="49">
        <v>1</v>
      </c>
      <c r="U143" s="50">
        <v>0</v>
      </c>
      <c r="V143" s="50">
        <v>0.177728</v>
      </c>
      <c r="W143" s="50">
        <v>0.049759</v>
      </c>
      <c r="X143" s="50">
        <v>0.001579</v>
      </c>
      <c r="Y143" s="50">
        <v>0</v>
      </c>
      <c r="Z143" s="50">
        <v>0</v>
      </c>
      <c r="AA143" s="73">
        <v>143</v>
      </c>
      <c r="AB143" s="73"/>
      <c r="AC143" s="74"/>
      <c r="AD143" s="81" t="s">
        <v>1437</v>
      </c>
      <c r="AE143" s="81" t="s">
        <v>1943</v>
      </c>
      <c r="AF143" s="81"/>
      <c r="AG143" s="81"/>
      <c r="AH143" s="81"/>
      <c r="AI143" s="81" t="s">
        <v>2159</v>
      </c>
      <c r="AJ143" s="85">
        <v>42798.58966435185</v>
      </c>
      <c r="AK143" s="83" t="str">
        <f>HYPERLINK("https://yt3.ggpht.com/noUHDfnAmve2N8ZAkoga8C4sNOBypNEgxXSZorHP2bjTm85cl3TxMDHurctGcQ8RL-JVa2fb=s88-c-k-c0x00ffffff-no-rj")</f>
        <v>https://yt3.ggpht.com/noUHDfnAmve2N8ZAkoga8C4sNOBypNEgxXSZorHP2bjTm85cl3TxMDHurctGcQ8RL-JVa2fb=s88-c-k-c0x00ffffff-no-rj</v>
      </c>
      <c r="AL143" s="81">
        <v>0</v>
      </c>
      <c r="AM143" s="81">
        <v>0</v>
      </c>
      <c r="AN143" s="81">
        <v>0</v>
      </c>
      <c r="AO143" s="81" t="b">
        <v>0</v>
      </c>
      <c r="AP143" s="81">
        <v>0</v>
      </c>
      <c r="AQ143" s="81"/>
      <c r="AR143" s="81"/>
      <c r="AS143" s="81" t="s">
        <v>2571</v>
      </c>
      <c r="AT143" s="83" t="str">
        <f>HYPERLINK("https://www.youtube.com/channel/UCChw95lIbQohPpvM80n6AMA")</f>
        <v>https://www.youtube.com/channel/UCChw95lIbQohPpvM80n6AMA</v>
      </c>
      <c r="AU143" s="81">
        <v>1</v>
      </c>
      <c r="AV143" s="49">
        <v>0</v>
      </c>
      <c r="AW143" s="50">
        <v>0</v>
      </c>
      <c r="AX143" s="49">
        <v>1</v>
      </c>
      <c r="AY143" s="50">
        <v>4.545454545454546</v>
      </c>
      <c r="AZ143" s="49">
        <v>0</v>
      </c>
      <c r="BA143" s="50">
        <v>0</v>
      </c>
      <c r="BB143" s="49">
        <v>7</v>
      </c>
      <c r="BC143" s="50">
        <v>31.818181818181817</v>
      </c>
      <c r="BD143" s="49">
        <v>22</v>
      </c>
      <c r="BE143" s="49"/>
      <c r="BF143" s="49"/>
      <c r="BG143" s="49"/>
      <c r="BH143" s="49"/>
      <c r="BI143" s="49"/>
      <c r="BJ143" s="49"/>
      <c r="BK143" s="115" t="s">
        <v>2689</v>
      </c>
      <c r="BL143" s="115" t="s">
        <v>2689</v>
      </c>
      <c r="BM143" s="115" t="s">
        <v>3162</v>
      </c>
      <c r="BN143" s="115" t="s">
        <v>3162</v>
      </c>
      <c r="BO143" s="2"/>
      <c r="BP143" s="3"/>
      <c r="BQ143" s="3"/>
      <c r="BR143" s="3"/>
      <c r="BS143" s="3"/>
    </row>
    <row r="144" spans="1:71" ht="15">
      <c r="A144" s="66" t="s">
        <v>362</v>
      </c>
      <c r="B144" s="67"/>
      <c r="C144" s="67"/>
      <c r="D144" s="68">
        <v>150</v>
      </c>
      <c r="E144" s="70"/>
      <c r="F144" s="102" t="str">
        <f>HYPERLINK("https://yt3.ggpht.com/ytc/AOPolaRehfduT2bgYL_Hw_2Xa87yf9aef_65fGxINvFM3B_qXgJvrqHY38UtX3Xblbjw=s88-c-k-c0x00ffffff-no-rj")</f>
        <v>https://yt3.ggpht.com/ytc/AOPolaRehfduT2bgYL_Hw_2Xa87yf9aef_65fGxINvFM3B_qXgJvrqHY38UtX3Xblbjw=s88-c-k-c0x00ffffff-no-rj</v>
      </c>
      <c r="G144" s="67"/>
      <c r="H144" s="71" t="s">
        <v>1438</v>
      </c>
      <c r="I144" s="72"/>
      <c r="J144" s="72" t="s">
        <v>159</v>
      </c>
      <c r="K144" s="71" t="s">
        <v>1438</v>
      </c>
      <c r="L144" s="75">
        <v>1</v>
      </c>
      <c r="M144" s="76">
        <v>1820.1483154296875</v>
      </c>
      <c r="N144" s="76">
        <v>9113.12890625</v>
      </c>
      <c r="O144" s="77"/>
      <c r="P144" s="78"/>
      <c r="Q144" s="78"/>
      <c r="R144" s="88"/>
      <c r="S144" s="49">
        <v>0</v>
      </c>
      <c r="T144" s="49">
        <v>1</v>
      </c>
      <c r="U144" s="50">
        <v>0</v>
      </c>
      <c r="V144" s="50">
        <v>0.177728</v>
      </c>
      <c r="W144" s="50">
        <v>0.049759</v>
      </c>
      <c r="X144" s="50">
        <v>0.001579</v>
      </c>
      <c r="Y144" s="50">
        <v>0</v>
      </c>
      <c r="Z144" s="50">
        <v>0</v>
      </c>
      <c r="AA144" s="73">
        <v>144</v>
      </c>
      <c r="AB144" s="73"/>
      <c r="AC144" s="74"/>
      <c r="AD144" s="81" t="s">
        <v>1438</v>
      </c>
      <c r="AE144" s="81"/>
      <c r="AF144" s="81"/>
      <c r="AG144" s="81"/>
      <c r="AH144" s="81"/>
      <c r="AI144" s="81" t="s">
        <v>2160</v>
      </c>
      <c r="AJ144" s="85">
        <v>44536.861875</v>
      </c>
      <c r="AK144" s="83" t="str">
        <f>HYPERLINK("https://yt3.ggpht.com/ytc/AOPolaRehfduT2bgYL_Hw_2Xa87yf9aef_65fGxINvFM3B_qXgJvrqHY38UtX3Xblbjw=s88-c-k-c0x00ffffff-no-rj")</f>
        <v>https://yt3.ggpht.com/ytc/AOPolaRehfduT2bgYL_Hw_2Xa87yf9aef_65fGxINvFM3B_qXgJvrqHY38UtX3Xblbjw=s88-c-k-c0x00ffffff-no-rj</v>
      </c>
      <c r="AL144" s="81">
        <v>0</v>
      </c>
      <c r="AM144" s="81">
        <v>0</v>
      </c>
      <c r="AN144" s="81">
        <v>2</v>
      </c>
      <c r="AO144" s="81" t="b">
        <v>0</v>
      </c>
      <c r="AP144" s="81">
        <v>0</v>
      </c>
      <c r="AQ144" s="81"/>
      <c r="AR144" s="81"/>
      <c r="AS144" s="81" t="s">
        <v>2571</v>
      </c>
      <c r="AT144" s="83" t="str">
        <f>HYPERLINK("https://www.youtube.com/channel/UC9lNL6houzT0HR68zZBMgDw")</f>
        <v>https://www.youtube.com/channel/UC9lNL6houzT0HR68zZBMgDw</v>
      </c>
      <c r="AU144" s="81">
        <v>1</v>
      </c>
      <c r="AV144" s="49">
        <v>2</v>
      </c>
      <c r="AW144" s="50">
        <v>10.526315789473685</v>
      </c>
      <c r="AX144" s="49">
        <v>0</v>
      </c>
      <c r="AY144" s="50">
        <v>0</v>
      </c>
      <c r="AZ144" s="49">
        <v>0</v>
      </c>
      <c r="BA144" s="50">
        <v>0</v>
      </c>
      <c r="BB144" s="49">
        <v>9</v>
      </c>
      <c r="BC144" s="50">
        <v>47.36842105263158</v>
      </c>
      <c r="BD144" s="49">
        <v>19</v>
      </c>
      <c r="BE144" s="49"/>
      <c r="BF144" s="49"/>
      <c r="BG144" s="49"/>
      <c r="BH144" s="49"/>
      <c r="BI144" s="49"/>
      <c r="BJ144" s="49"/>
      <c r="BK144" s="115" t="s">
        <v>2690</v>
      </c>
      <c r="BL144" s="115" t="s">
        <v>2690</v>
      </c>
      <c r="BM144" s="115" t="s">
        <v>3163</v>
      </c>
      <c r="BN144" s="115" t="s">
        <v>3163</v>
      </c>
      <c r="BO144" s="2"/>
      <c r="BP144" s="3"/>
      <c r="BQ144" s="3"/>
      <c r="BR144" s="3"/>
      <c r="BS144" s="3"/>
    </row>
    <row r="145" spans="1:71" ht="15">
      <c r="A145" s="66" t="s">
        <v>363</v>
      </c>
      <c r="B145" s="67"/>
      <c r="C145" s="67"/>
      <c r="D145" s="68">
        <v>150</v>
      </c>
      <c r="E145" s="70"/>
      <c r="F145" s="102" t="str">
        <f>HYPERLINK("https://yt3.ggpht.com/ytc/AOPolaQo9RqvhPLzc8rytTucsB6zp1hjIGxx_Oeu_g=s88-c-k-c0x00ffffff-no-rj")</f>
        <v>https://yt3.ggpht.com/ytc/AOPolaQo9RqvhPLzc8rytTucsB6zp1hjIGxx_Oeu_g=s88-c-k-c0x00ffffff-no-rj</v>
      </c>
      <c r="G145" s="67"/>
      <c r="H145" s="71" t="s">
        <v>1439</v>
      </c>
      <c r="I145" s="72"/>
      <c r="J145" s="72" t="s">
        <v>159</v>
      </c>
      <c r="K145" s="71" t="s">
        <v>1439</v>
      </c>
      <c r="L145" s="75">
        <v>1</v>
      </c>
      <c r="M145" s="76">
        <v>5152.5146484375</v>
      </c>
      <c r="N145" s="76">
        <v>7858.3955078125</v>
      </c>
      <c r="O145" s="77"/>
      <c r="P145" s="78"/>
      <c r="Q145" s="78"/>
      <c r="R145" s="88"/>
      <c r="S145" s="49">
        <v>0</v>
      </c>
      <c r="T145" s="49">
        <v>1</v>
      </c>
      <c r="U145" s="50">
        <v>0</v>
      </c>
      <c r="V145" s="50">
        <v>0.177728</v>
      </c>
      <c r="W145" s="50">
        <v>0.049759</v>
      </c>
      <c r="X145" s="50">
        <v>0.001579</v>
      </c>
      <c r="Y145" s="50">
        <v>0</v>
      </c>
      <c r="Z145" s="50">
        <v>0</v>
      </c>
      <c r="AA145" s="73">
        <v>145</v>
      </c>
      <c r="AB145" s="73"/>
      <c r="AC145" s="74"/>
      <c r="AD145" s="81" t="s">
        <v>1439</v>
      </c>
      <c r="AE145" s="81"/>
      <c r="AF145" s="81"/>
      <c r="AG145" s="81"/>
      <c r="AH145" s="81"/>
      <c r="AI145" s="81" t="s">
        <v>2161</v>
      </c>
      <c r="AJ145" s="85">
        <v>42636.07221064815</v>
      </c>
      <c r="AK145" s="83" t="str">
        <f>HYPERLINK("https://yt3.ggpht.com/ytc/AOPolaQo9RqvhPLzc8rytTucsB6zp1hjIGxx_Oeu_g=s88-c-k-c0x00ffffff-no-rj")</f>
        <v>https://yt3.ggpht.com/ytc/AOPolaQo9RqvhPLzc8rytTucsB6zp1hjIGxx_Oeu_g=s88-c-k-c0x00ffffff-no-rj</v>
      </c>
      <c r="AL145" s="81">
        <v>0</v>
      </c>
      <c r="AM145" s="81">
        <v>0</v>
      </c>
      <c r="AN145" s="81">
        <v>2</v>
      </c>
      <c r="AO145" s="81" t="b">
        <v>0</v>
      </c>
      <c r="AP145" s="81">
        <v>0</v>
      </c>
      <c r="AQ145" s="81"/>
      <c r="AR145" s="81"/>
      <c r="AS145" s="81" t="s">
        <v>2571</v>
      </c>
      <c r="AT145" s="83" t="str">
        <f>HYPERLINK("https://www.youtube.com/channel/UCEI7trIa4W-AAQgp3SAEFfw")</f>
        <v>https://www.youtube.com/channel/UCEI7trIa4W-AAQgp3SAEFfw</v>
      </c>
      <c r="AU145" s="81">
        <v>1</v>
      </c>
      <c r="AV145" s="49">
        <v>0</v>
      </c>
      <c r="AW145" s="50">
        <v>0</v>
      </c>
      <c r="AX145" s="49">
        <v>0</v>
      </c>
      <c r="AY145" s="50">
        <v>0</v>
      </c>
      <c r="AZ145" s="49">
        <v>0</v>
      </c>
      <c r="BA145" s="50">
        <v>0</v>
      </c>
      <c r="BB145" s="49">
        <v>2</v>
      </c>
      <c r="BC145" s="50">
        <v>33.333333333333336</v>
      </c>
      <c r="BD145" s="49">
        <v>6</v>
      </c>
      <c r="BE145" s="49"/>
      <c r="BF145" s="49"/>
      <c r="BG145" s="49"/>
      <c r="BH145" s="49"/>
      <c r="BI145" s="49"/>
      <c r="BJ145" s="49"/>
      <c r="BK145" s="115" t="s">
        <v>2691</v>
      </c>
      <c r="BL145" s="115" t="s">
        <v>2691</v>
      </c>
      <c r="BM145" s="115" t="s">
        <v>3164</v>
      </c>
      <c r="BN145" s="115" t="s">
        <v>3164</v>
      </c>
      <c r="BO145" s="2"/>
      <c r="BP145" s="3"/>
      <c r="BQ145" s="3"/>
      <c r="BR145" s="3"/>
      <c r="BS145" s="3"/>
    </row>
    <row r="146" spans="1:71" ht="15">
      <c r="A146" s="66" t="s">
        <v>364</v>
      </c>
      <c r="B146" s="67"/>
      <c r="C146" s="67"/>
      <c r="D146" s="68">
        <v>150</v>
      </c>
      <c r="E146" s="70"/>
      <c r="F146" s="102" t="str">
        <f>HYPERLINK("https://yt3.ggpht.com/ytc/AOPolaQzVOmiQbyBYUmd7uqGqbfv7iPUjD1_rSIHSaURSynwmbKyc4vN_EBKoewcQtGL=s88-c-k-c0x00ffffff-no-rj")</f>
        <v>https://yt3.ggpht.com/ytc/AOPolaQzVOmiQbyBYUmd7uqGqbfv7iPUjD1_rSIHSaURSynwmbKyc4vN_EBKoewcQtGL=s88-c-k-c0x00ffffff-no-rj</v>
      </c>
      <c r="G146" s="67"/>
      <c r="H146" s="71" t="s">
        <v>1440</v>
      </c>
      <c r="I146" s="72"/>
      <c r="J146" s="72" t="s">
        <v>159</v>
      </c>
      <c r="K146" s="71" t="s">
        <v>1440</v>
      </c>
      <c r="L146" s="75">
        <v>1</v>
      </c>
      <c r="M146" s="76">
        <v>6199.12060546875</v>
      </c>
      <c r="N146" s="76">
        <v>6799.2919921875</v>
      </c>
      <c r="O146" s="77"/>
      <c r="P146" s="78"/>
      <c r="Q146" s="78"/>
      <c r="R146" s="88"/>
      <c r="S146" s="49">
        <v>0</v>
      </c>
      <c r="T146" s="49">
        <v>1</v>
      </c>
      <c r="U146" s="50">
        <v>0</v>
      </c>
      <c r="V146" s="50">
        <v>0.177728</v>
      </c>
      <c r="W146" s="50">
        <v>0.049759</v>
      </c>
      <c r="X146" s="50">
        <v>0.001579</v>
      </c>
      <c r="Y146" s="50">
        <v>0</v>
      </c>
      <c r="Z146" s="50">
        <v>0</v>
      </c>
      <c r="AA146" s="73">
        <v>146</v>
      </c>
      <c r="AB146" s="73"/>
      <c r="AC146" s="74"/>
      <c r="AD146" s="81" t="s">
        <v>1440</v>
      </c>
      <c r="AE146" s="81"/>
      <c r="AF146" s="81"/>
      <c r="AG146" s="81"/>
      <c r="AH146" s="81"/>
      <c r="AI146" s="81" t="s">
        <v>2162</v>
      </c>
      <c r="AJ146" s="85">
        <v>45107.69787037037</v>
      </c>
      <c r="AK146" s="83" t="str">
        <f>HYPERLINK("https://yt3.ggpht.com/ytc/AOPolaQzVOmiQbyBYUmd7uqGqbfv7iPUjD1_rSIHSaURSynwmbKyc4vN_EBKoewcQtGL=s88-c-k-c0x00ffffff-no-rj")</f>
        <v>https://yt3.ggpht.com/ytc/AOPolaQzVOmiQbyBYUmd7uqGqbfv7iPUjD1_rSIHSaURSynwmbKyc4vN_EBKoewcQtGL=s88-c-k-c0x00ffffff-no-rj</v>
      </c>
      <c r="AL146" s="81">
        <v>0</v>
      </c>
      <c r="AM146" s="81">
        <v>0</v>
      </c>
      <c r="AN146" s="81">
        <v>0</v>
      </c>
      <c r="AO146" s="81" t="b">
        <v>0</v>
      </c>
      <c r="AP146" s="81">
        <v>0</v>
      </c>
      <c r="AQ146" s="81"/>
      <c r="AR146" s="81"/>
      <c r="AS146" s="81" t="s">
        <v>2571</v>
      </c>
      <c r="AT146" s="83" t="str">
        <f>HYPERLINK("https://www.youtube.com/channel/UCeRYmOLLLdJz7pz6szgWK2Q")</f>
        <v>https://www.youtube.com/channel/UCeRYmOLLLdJz7pz6szgWK2Q</v>
      </c>
      <c r="AU146" s="81">
        <v>1</v>
      </c>
      <c r="AV146" s="49">
        <v>0</v>
      </c>
      <c r="AW146" s="50">
        <v>0</v>
      </c>
      <c r="AX146" s="49">
        <v>0</v>
      </c>
      <c r="AY146" s="50">
        <v>0</v>
      </c>
      <c r="AZ146" s="49">
        <v>0</v>
      </c>
      <c r="BA146" s="50">
        <v>0</v>
      </c>
      <c r="BB146" s="49">
        <v>2</v>
      </c>
      <c r="BC146" s="50">
        <v>40</v>
      </c>
      <c r="BD146" s="49">
        <v>5</v>
      </c>
      <c r="BE146" s="49"/>
      <c r="BF146" s="49"/>
      <c r="BG146" s="49"/>
      <c r="BH146" s="49"/>
      <c r="BI146" s="49"/>
      <c r="BJ146" s="49"/>
      <c r="BK146" s="115" t="s">
        <v>2692</v>
      </c>
      <c r="BL146" s="115" t="s">
        <v>2692</v>
      </c>
      <c r="BM146" s="115" t="s">
        <v>3165</v>
      </c>
      <c r="BN146" s="115" t="s">
        <v>3165</v>
      </c>
      <c r="BO146" s="2"/>
      <c r="BP146" s="3"/>
      <c r="BQ146" s="3"/>
      <c r="BR146" s="3"/>
      <c r="BS146" s="3"/>
    </row>
    <row r="147" spans="1:71" ht="15">
      <c r="A147" s="66" t="s">
        <v>365</v>
      </c>
      <c r="B147" s="67"/>
      <c r="C147" s="67"/>
      <c r="D147" s="68">
        <v>150</v>
      </c>
      <c r="E147" s="70"/>
      <c r="F147" s="102" t="str">
        <f>HYPERLINK("https://yt3.ggpht.com/CEbQlz4Plyc7fIYsgj5XdIwgTkHR7phdH7oRpVVEt69-v9SVVJZQxrpl89JYhonmJkyLqmIH=s88-c-k-c0x00ffffff-no-rj")</f>
        <v>https://yt3.ggpht.com/CEbQlz4Plyc7fIYsgj5XdIwgTkHR7phdH7oRpVVEt69-v9SVVJZQxrpl89JYhonmJkyLqmIH=s88-c-k-c0x00ffffff-no-rj</v>
      </c>
      <c r="G147" s="67"/>
      <c r="H147" s="71" t="s">
        <v>1441</v>
      </c>
      <c r="I147" s="72"/>
      <c r="J147" s="72" t="s">
        <v>159</v>
      </c>
      <c r="K147" s="71" t="s">
        <v>1441</v>
      </c>
      <c r="L147" s="75">
        <v>1</v>
      </c>
      <c r="M147" s="76">
        <v>5935.7080078125</v>
      </c>
      <c r="N147" s="76">
        <v>8307.984375</v>
      </c>
      <c r="O147" s="77"/>
      <c r="P147" s="78"/>
      <c r="Q147" s="78"/>
      <c r="R147" s="88"/>
      <c r="S147" s="49">
        <v>0</v>
      </c>
      <c r="T147" s="49">
        <v>1</v>
      </c>
      <c r="U147" s="50">
        <v>0</v>
      </c>
      <c r="V147" s="50">
        <v>0.177728</v>
      </c>
      <c r="W147" s="50">
        <v>0.049759</v>
      </c>
      <c r="X147" s="50">
        <v>0.001579</v>
      </c>
      <c r="Y147" s="50">
        <v>0</v>
      </c>
      <c r="Z147" s="50">
        <v>0</v>
      </c>
      <c r="AA147" s="73">
        <v>147</v>
      </c>
      <c r="AB147" s="73"/>
      <c r="AC147" s="74"/>
      <c r="AD147" s="81" t="s">
        <v>1441</v>
      </c>
      <c r="AE147" s="81"/>
      <c r="AF147" s="81"/>
      <c r="AG147" s="81"/>
      <c r="AH147" s="81"/>
      <c r="AI147" s="81" t="s">
        <v>2163</v>
      </c>
      <c r="AJ147" s="85">
        <v>45025.34568287037</v>
      </c>
      <c r="AK147" s="83" t="str">
        <f>HYPERLINK("https://yt3.ggpht.com/CEbQlz4Plyc7fIYsgj5XdIwgTkHR7phdH7oRpVVEt69-v9SVVJZQxrpl89JYhonmJkyLqmIH=s88-c-k-c0x00ffffff-no-rj")</f>
        <v>https://yt3.ggpht.com/CEbQlz4Plyc7fIYsgj5XdIwgTkHR7phdH7oRpVVEt69-v9SVVJZQxrpl89JYhonmJkyLqmIH=s88-c-k-c0x00ffffff-no-rj</v>
      </c>
      <c r="AL147" s="81">
        <v>0</v>
      </c>
      <c r="AM147" s="81">
        <v>0</v>
      </c>
      <c r="AN147" s="81">
        <v>0</v>
      </c>
      <c r="AO147" s="81" t="b">
        <v>0</v>
      </c>
      <c r="AP147" s="81">
        <v>0</v>
      </c>
      <c r="AQ147" s="81"/>
      <c r="AR147" s="81"/>
      <c r="AS147" s="81" t="s">
        <v>2571</v>
      </c>
      <c r="AT147" s="83" t="str">
        <f>HYPERLINK("https://www.youtube.com/channel/UCGG3bilD8YmeoCOuDGcygmg")</f>
        <v>https://www.youtube.com/channel/UCGG3bilD8YmeoCOuDGcygmg</v>
      </c>
      <c r="AU147" s="81">
        <v>1</v>
      </c>
      <c r="AV147" s="49">
        <v>2</v>
      </c>
      <c r="AW147" s="50">
        <v>50</v>
      </c>
      <c r="AX147" s="49">
        <v>0</v>
      </c>
      <c r="AY147" s="50">
        <v>0</v>
      </c>
      <c r="AZ147" s="49">
        <v>0</v>
      </c>
      <c r="BA147" s="50">
        <v>0</v>
      </c>
      <c r="BB147" s="49">
        <v>1</v>
      </c>
      <c r="BC147" s="50">
        <v>25</v>
      </c>
      <c r="BD147" s="49">
        <v>4</v>
      </c>
      <c r="BE147" s="49"/>
      <c r="BF147" s="49"/>
      <c r="BG147" s="49"/>
      <c r="BH147" s="49"/>
      <c r="BI147" s="49"/>
      <c r="BJ147" s="49"/>
      <c r="BK147" s="115" t="s">
        <v>2693</v>
      </c>
      <c r="BL147" s="115" t="s">
        <v>2693</v>
      </c>
      <c r="BM147" s="115" t="s">
        <v>3166</v>
      </c>
      <c r="BN147" s="115" t="s">
        <v>3166</v>
      </c>
      <c r="BO147" s="2"/>
      <c r="BP147" s="3"/>
      <c r="BQ147" s="3"/>
      <c r="BR147" s="3"/>
      <c r="BS147" s="3"/>
    </row>
    <row r="148" spans="1:71" ht="15">
      <c r="A148" s="66" t="s">
        <v>366</v>
      </c>
      <c r="B148" s="67"/>
      <c r="C148" s="67"/>
      <c r="D148" s="68">
        <v>150</v>
      </c>
      <c r="E148" s="70"/>
      <c r="F148" s="102" t="str">
        <f>HYPERLINK("https://yt3.ggpht.com/WbtY7JSEn9_4fHxH80nDmtnO-eg3HI4ayxhwkJzZMTzgH6Ewg56M--Oo7YpiX-pN3E-2RXDf=s88-c-k-c0x00ffffff-no-rj")</f>
        <v>https://yt3.ggpht.com/WbtY7JSEn9_4fHxH80nDmtnO-eg3HI4ayxhwkJzZMTzgH6Ewg56M--Oo7YpiX-pN3E-2RXDf=s88-c-k-c0x00ffffff-no-rj</v>
      </c>
      <c r="G148" s="67"/>
      <c r="H148" s="71" t="s">
        <v>1442</v>
      </c>
      <c r="I148" s="72"/>
      <c r="J148" s="72" t="s">
        <v>159</v>
      </c>
      <c r="K148" s="71" t="s">
        <v>1442</v>
      </c>
      <c r="L148" s="75">
        <v>1</v>
      </c>
      <c r="M148" s="76">
        <v>5149.4189453125</v>
      </c>
      <c r="N148" s="76">
        <v>9134.6650390625</v>
      </c>
      <c r="O148" s="77"/>
      <c r="P148" s="78"/>
      <c r="Q148" s="78"/>
      <c r="R148" s="88"/>
      <c r="S148" s="49">
        <v>0</v>
      </c>
      <c r="T148" s="49">
        <v>1</v>
      </c>
      <c r="U148" s="50">
        <v>0</v>
      </c>
      <c r="V148" s="50">
        <v>0.177728</v>
      </c>
      <c r="W148" s="50">
        <v>0.049759</v>
      </c>
      <c r="X148" s="50">
        <v>0.001579</v>
      </c>
      <c r="Y148" s="50">
        <v>0</v>
      </c>
      <c r="Z148" s="50">
        <v>0</v>
      </c>
      <c r="AA148" s="73">
        <v>148</v>
      </c>
      <c r="AB148" s="73"/>
      <c r="AC148" s="74"/>
      <c r="AD148" s="81" t="s">
        <v>1442</v>
      </c>
      <c r="AE148" s="81"/>
      <c r="AF148" s="81"/>
      <c r="AG148" s="81"/>
      <c r="AH148" s="81"/>
      <c r="AI148" s="81" t="s">
        <v>2164</v>
      </c>
      <c r="AJ148" s="85">
        <v>40342.79851851852</v>
      </c>
      <c r="AK148" s="83" t="str">
        <f>HYPERLINK("https://yt3.ggpht.com/WbtY7JSEn9_4fHxH80nDmtnO-eg3HI4ayxhwkJzZMTzgH6Ewg56M--Oo7YpiX-pN3E-2RXDf=s88-c-k-c0x00ffffff-no-rj")</f>
        <v>https://yt3.ggpht.com/WbtY7JSEn9_4fHxH80nDmtnO-eg3HI4ayxhwkJzZMTzgH6Ewg56M--Oo7YpiX-pN3E-2RXDf=s88-c-k-c0x00ffffff-no-rj</v>
      </c>
      <c r="AL148" s="81">
        <v>0</v>
      </c>
      <c r="AM148" s="81">
        <v>0</v>
      </c>
      <c r="AN148" s="81">
        <v>1</v>
      </c>
      <c r="AO148" s="81" t="b">
        <v>0</v>
      </c>
      <c r="AP148" s="81">
        <v>0</v>
      </c>
      <c r="AQ148" s="81"/>
      <c r="AR148" s="81"/>
      <c r="AS148" s="81" t="s">
        <v>2571</v>
      </c>
      <c r="AT148" s="83" t="str">
        <f>HYPERLINK("https://www.youtube.com/channel/UCMFY2gZFA1amf55W6YnXDqg")</f>
        <v>https://www.youtube.com/channel/UCMFY2gZFA1amf55W6YnXDqg</v>
      </c>
      <c r="AU148" s="81">
        <v>1</v>
      </c>
      <c r="AV148" s="49">
        <v>0</v>
      </c>
      <c r="AW148" s="50">
        <v>0</v>
      </c>
      <c r="AX148" s="49">
        <v>0</v>
      </c>
      <c r="AY148" s="50">
        <v>0</v>
      </c>
      <c r="AZ148" s="49">
        <v>0</v>
      </c>
      <c r="BA148" s="50">
        <v>0</v>
      </c>
      <c r="BB148" s="49">
        <v>1</v>
      </c>
      <c r="BC148" s="50">
        <v>25</v>
      </c>
      <c r="BD148" s="49">
        <v>4</v>
      </c>
      <c r="BE148" s="49"/>
      <c r="BF148" s="49"/>
      <c r="BG148" s="49"/>
      <c r="BH148" s="49"/>
      <c r="BI148" s="49"/>
      <c r="BJ148" s="49"/>
      <c r="BK148" s="115" t="s">
        <v>2694</v>
      </c>
      <c r="BL148" s="115" t="s">
        <v>2694</v>
      </c>
      <c r="BM148" s="115" t="s">
        <v>4477</v>
      </c>
      <c r="BN148" s="115" t="s">
        <v>4477</v>
      </c>
      <c r="BO148" s="2"/>
      <c r="BP148" s="3"/>
      <c r="BQ148" s="3"/>
      <c r="BR148" s="3"/>
      <c r="BS148" s="3"/>
    </row>
    <row r="149" spans="1:71" ht="15">
      <c r="A149" s="66" t="s">
        <v>367</v>
      </c>
      <c r="B149" s="67"/>
      <c r="C149" s="67"/>
      <c r="D149" s="68">
        <v>150</v>
      </c>
      <c r="E149" s="70"/>
      <c r="F149" s="102" t="str">
        <f>HYPERLINK("https://yt3.ggpht.com/ytc/AOPolaQIbX6O6L5UtdLVH6Cx7xZjJ4In3IkUhFNXehNU4Q=s88-c-k-c0x00ffffff-no-rj")</f>
        <v>https://yt3.ggpht.com/ytc/AOPolaQIbX6O6L5UtdLVH6Cx7xZjJ4In3IkUhFNXehNU4Q=s88-c-k-c0x00ffffff-no-rj</v>
      </c>
      <c r="G149" s="67"/>
      <c r="H149" s="71" t="s">
        <v>1443</v>
      </c>
      <c r="I149" s="72"/>
      <c r="J149" s="72" t="s">
        <v>159</v>
      </c>
      <c r="K149" s="71" t="s">
        <v>1443</v>
      </c>
      <c r="L149" s="75">
        <v>1</v>
      </c>
      <c r="M149" s="76">
        <v>5409.33642578125</v>
      </c>
      <c r="N149" s="76">
        <v>5674.1748046875</v>
      </c>
      <c r="O149" s="77"/>
      <c r="P149" s="78"/>
      <c r="Q149" s="78"/>
      <c r="R149" s="88"/>
      <c r="S149" s="49">
        <v>0</v>
      </c>
      <c r="T149" s="49">
        <v>1</v>
      </c>
      <c r="U149" s="50">
        <v>0</v>
      </c>
      <c r="V149" s="50">
        <v>0.177728</v>
      </c>
      <c r="W149" s="50">
        <v>0.049759</v>
      </c>
      <c r="X149" s="50">
        <v>0.001579</v>
      </c>
      <c r="Y149" s="50">
        <v>0</v>
      </c>
      <c r="Z149" s="50">
        <v>0</v>
      </c>
      <c r="AA149" s="73">
        <v>149</v>
      </c>
      <c r="AB149" s="73"/>
      <c r="AC149" s="74"/>
      <c r="AD149" s="81" t="s">
        <v>1443</v>
      </c>
      <c r="AE149" s="81" t="s">
        <v>1944</v>
      </c>
      <c r="AF149" s="81"/>
      <c r="AG149" s="81"/>
      <c r="AH149" s="81"/>
      <c r="AI149" s="81" t="s">
        <v>2165</v>
      </c>
      <c r="AJ149" s="85">
        <v>41484.74534722222</v>
      </c>
      <c r="AK149" s="83" t="str">
        <f>HYPERLINK("https://yt3.ggpht.com/ytc/AOPolaQIbX6O6L5UtdLVH6Cx7xZjJ4In3IkUhFNXehNU4Q=s88-c-k-c0x00ffffff-no-rj")</f>
        <v>https://yt3.ggpht.com/ytc/AOPolaQIbX6O6L5UtdLVH6Cx7xZjJ4In3IkUhFNXehNU4Q=s88-c-k-c0x00ffffff-no-rj</v>
      </c>
      <c r="AL149" s="81">
        <v>6256</v>
      </c>
      <c r="AM149" s="81">
        <v>0</v>
      </c>
      <c r="AN149" s="81">
        <v>104</v>
      </c>
      <c r="AO149" s="81" t="b">
        <v>0</v>
      </c>
      <c r="AP149" s="81">
        <v>23</v>
      </c>
      <c r="AQ149" s="81"/>
      <c r="AR149" s="81"/>
      <c r="AS149" s="81" t="s">
        <v>2571</v>
      </c>
      <c r="AT149" s="83" t="str">
        <f>HYPERLINK("https://www.youtube.com/channel/UCjIVoouC_1l376MiYeltfQw")</f>
        <v>https://www.youtube.com/channel/UCjIVoouC_1l376MiYeltfQw</v>
      </c>
      <c r="AU149" s="81">
        <v>1</v>
      </c>
      <c r="AV149" s="49">
        <v>0</v>
      </c>
      <c r="AW149" s="50">
        <v>0</v>
      </c>
      <c r="AX149" s="49">
        <v>0</v>
      </c>
      <c r="AY149" s="50">
        <v>0</v>
      </c>
      <c r="AZ149" s="49">
        <v>0</v>
      </c>
      <c r="BA149" s="50">
        <v>0</v>
      </c>
      <c r="BB149" s="49">
        <v>4</v>
      </c>
      <c r="BC149" s="50">
        <v>40</v>
      </c>
      <c r="BD149" s="49">
        <v>10</v>
      </c>
      <c r="BE149" s="49"/>
      <c r="BF149" s="49"/>
      <c r="BG149" s="49"/>
      <c r="BH149" s="49"/>
      <c r="BI149" s="49"/>
      <c r="BJ149" s="49"/>
      <c r="BK149" s="115" t="s">
        <v>2695</v>
      </c>
      <c r="BL149" s="115" t="s">
        <v>2695</v>
      </c>
      <c r="BM149" s="115" t="s">
        <v>3167</v>
      </c>
      <c r="BN149" s="115" t="s">
        <v>3167</v>
      </c>
      <c r="BO149" s="2"/>
      <c r="BP149" s="3"/>
      <c r="BQ149" s="3"/>
      <c r="BR149" s="3"/>
      <c r="BS149" s="3"/>
    </row>
    <row r="150" spans="1:71" ht="15">
      <c r="A150" s="66" t="s">
        <v>368</v>
      </c>
      <c r="B150" s="67"/>
      <c r="C150" s="67"/>
      <c r="D150" s="68">
        <v>150</v>
      </c>
      <c r="E150" s="70"/>
      <c r="F150" s="102" t="str">
        <f>HYPERLINK("https://yt3.ggpht.com/ytc/AOPolaSom-VqKtMXDaCXPLEodqHQ8uDZiPRj5Hb31g=s88-c-k-c0x00ffffff-no-rj")</f>
        <v>https://yt3.ggpht.com/ytc/AOPolaSom-VqKtMXDaCXPLEodqHQ8uDZiPRj5Hb31g=s88-c-k-c0x00ffffff-no-rj</v>
      </c>
      <c r="G150" s="67"/>
      <c r="H150" s="71" t="s">
        <v>1444</v>
      </c>
      <c r="I150" s="72"/>
      <c r="J150" s="72" t="s">
        <v>159</v>
      </c>
      <c r="K150" s="71" t="s">
        <v>1444</v>
      </c>
      <c r="L150" s="75">
        <v>1</v>
      </c>
      <c r="M150" s="76">
        <v>5674.4189453125</v>
      </c>
      <c r="N150" s="76">
        <v>5761.63720703125</v>
      </c>
      <c r="O150" s="77"/>
      <c r="P150" s="78"/>
      <c r="Q150" s="78"/>
      <c r="R150" s="88"/>
      <c r="S150" s="49">
        <v>0</v>
      </c>
      <c r="T150" s="49">
        <v>1</v>
      </c>
      <c r="U150" s="50">
        <v>0</v>
      </c>
      <c r="V150" s="50">
        <v>0.177728</v>
      </c>
      <c r="W150" s="50">
        <v>0.049759</v>
      </c>
      <c r="X150" s="50">
        <v>0.001579</v>
      </c>
      <c r="Y150" s="50">
        <v>0</v>
      </c>
      <c r="Z150" s="50">
        <v>0</v>
      </c>
      <c r="AA150" s="73">
        <v>150</v>
      </c>
      <c r="AB150" s="73"/>
      <c r="AC150" s="74"/>
      <c r="AD150" s="81" t="s">
        <v>1444</v>
      </c>
      <c r="AE150" s="81"/>
      <c r="AF150" s="81"/>
      <c r="AG150" s="81"/>
      <c r="AH150" s="81"/>
      <c r="AI150" s="81" t="s">
        <v>2166</v>
      </c>
      <c r="AJ150" s="85">
        <v>41608.289988425924</v>
      </c>
      <c r="AK150" s="83" t="str">
        <f>HYPERLINK("https://yt3.ggpht.com/ytc/AOPolaSom-VqKtMXDaCXPLEodqHQ8uDZiPRj5Hb31g=s88-c-k-c0x00ffffff-no-rj")</f>
        <v>https://yt3.ggpht.com/ytc/AOPolaSom-VqKtMXDaCXPLEodqHQ8uDZiPRj5Hb31g=s88-c-k-c0x00ffffff-no-rj</v>
      </c>
      <c r="AL150" s="81">
        <v>0</v>
      </c>
      <c r="AM150" s="81">
        <v>0</v>
      </c>
      <c r="AN150" s="81">
        <v>3</v>
      </c>
      <c r="AO150" s="81" t="b">
        <v>0</v>
      </c>
      <c r="AP150" s="81">
        <v>0</v>
      </c>
      <c r="AQ150" s="81"/>
      <c r="AR150" s="81"/>
      <c r="AS150" s="81" t="s">
        <v>2571</v>
      </c>
      <c r="AT150" s="83" t="str">
        <f>HYPERLINK("https://www.youtube.com/channel/UC5BX2YGHHJc_AaIPjab0fPw")</f>
        <v>https://www.youtube.com/channel/UC5BX2YGHHJc_AaIPjab0fPw</v>
      </c>
      <c r="AU150" s="81">
        <v>1</v>
      </c>
      <c r="AV150" s="49">
        <v>0</v>
      </c>
      <c r="AW150" s="50">
        <v>0</v>
      </c>
      <c r="AX150" s="49">
        <v>0</v>
      </c>
      <c r="AY150" s="50">
        <v>0</v>
      </c>
      <c r="AZ150" s="49">
        <v>0</v>
      </c>
      <c r="BA150" s="50">
        <v>0</v>
      </c>
      <c r="BB150" s="49">
        <v>3</v>
      </c>
      <c r="BC150" s="50">
        <v>50</v>
      </c>
      <c r="BD150" s="49">
        <v>6</v>
      </c>
      <c r="BE150" s="49"/>
      <c r="BF150" s="49"/>
      <c r="BG150" s="49"/>
      <c r="BH150" s="49"/>
      <c r="BI150" s="49"/>
      <c r="BJ150" s="49"/>
      <c r="BK150" s="115" t="s">
        <v>2696</v>
      </c>
      <c r="BL150" s="115" t="s">
        <v>2696</v>
      </c>
      <c r="BM150" s="115" t="s">
        <v>3168</v>
      </c>
      <c r="BN150" s="115" t="s">
        <v>3168</v>
      </c>
      <c r="BO150" s="2"/>
      <c r="BP150" s="3"/>
      <c r="BQ150" s="3"/>
      <c r="BR150" s="3"/>
      <c r="BS150" s="3"/>
    </row>
    <row r="151" spans="1:71" ht="15">
      <c r="A151" s="66" t="s">
        <v>369</v>
      </c>
      <c r="B151" s="67"/>
      <c r="C151" s="67"/>
      <c r="D151" s="68">
        <v>150</v>
      </c>
      <c r="E151" s="70"/>
      <c r="F151" s="102" t="str">
        <f>HYPERLINK("https://yt3.ggpht.com/ytc/AOPolaRgB__aJaXo2bT9P9sExKtDUQlYzB1ZI_DDRg=s88-c-k-c0x00ffffff-no-rj")</f>
        <v>https://yt3.ggpht.com/ytc/AOPolaRgB__aJaXo2bT9P9sExKtDUQlYzB1ZI_DDRg=s88-c-k-c0x00ffffff-no-rj</v>
      </c>
      <c r="G151" s="67"/>
      <c r="H151" s="71" t="s">
        <v>1445</v>
      </c>
      <c r="I151" s="72"/>
      <c r="J151" s="72" t="s">
        <v>159</v>
      </c>
      <c r="K151" s="71" t="s">
        <v>1445</v>
      </c>
      <c r="L151" s="75">
        <v>1</v>
      </c>
      <c r="M151" s="76">
        <v>2984.527587890625</v>
      </c>
      <c r="N151" s="76">
        <v>9813.12890625</v>
      </c>
      <c r="O151" s="77"/>
      <c r="P151" s="78"/>
      <c r="Q151" s="78"/>
      <c r="R151" s="88"/>
      <c r="S151" s="49">
        <v>0</v>
      </c>
      <c r="T151" s="49">
        <v>1</v>
      </c>
      <c r="U151" s="50">
        <v>0</v>
      </c>
      <c r="V151" s="50">
        <v>0.177728</v>
      </c>
      <c r="W151" s="50">
        <v>0.049759</v>
      </c>
      <c r="X151" s="50">
        <v>0.001579</v>
      </c>
      <c r="Y151" s="50">
        <v>0</v>
      </c>
      <c r="Z151" s="50">
        <v>0</v>
      </c>
      <c r="AA151" s="73">
        <v>151</v>
      </c>
      <c r="AB151" s="73"/>
      <c r="AC151" s="74"/>
      <c r="AD151" s="81" t="s">
        <v>1445</v>
      </c>
      <c r="AE151" s="81"/>
      <c r="AF151" s="81"/>
      <c r="AG151" s="81"/>
      <c r="AH151" s="81"/>
      <c r="AI151" s="81" t="s">
        <v>2167</v>
      </c>
      <c r="AJ151" s="85">
        <v>44018.642384259256</v>
      </c>
      <c r="AK151" s="83" t="str">
        <f>HYPERLINK("https://yt3.ggpht.com/ytc/AOPolaRgB__aJaXo2bT9P9sExKtDUQlYzB1ZI_DDRg=s88-c-k-c0x00ffffff-no-rj")</f>
        <v>https://yt3.ggpht.com/ytc/AOPolaRgB__aJaXo2bT9P9sExKtDUQlYzB1ZI_DDRg=s88-c-k-c0x00ffffff-no-rj</v>
      </c>
      <c r="AL151" s="81">
        <v>0</v>
      </c>
      <c r="AM151" s="81">
        <v>0</v>
      </c>
      <c r="AN151" s="81">
        <v>13</v>
      </c>
      <c r="AO151" s="81" t="b">
        <v>0</v>
      </c>
      <c r="AP151" s="81">
        <v>0</v>
      </c>
      <c r="AQ151" s="81"/>
      <c r="AR151" s="81"/>
      <c r="AS151" s="81" t="s">
        <v>2571</v>
      </c>
      <c r="AT151" s="83" t="str">
        <f>HYPERLINK("https://www.youtube.com/channel/UCeQP0T3KhY8tHQGrOkwZKyQ")</f>
        <v>https://www.youtube.com/channel/UCeQP0T3KhY8tHQGrOkwZKyQ</v>
      </c>
      <c r="AU151" s="81">
        <v>1</v>
      </c>
      <c r="AV151" s="49">
        <v>1</v>
      </c>
      <c r="AW151" s="50">
        <v>12.5</v>
      </c>
      <c r="AX151" s="49">
        <v>0</v>
      </c>
      <c r="AY151" s="50">
        <v>0</v>
      </c>
      <c r="AZ151" s="49">
        <v>0</v>
      </c>
      <c r="BA151" s="50">
        <v>0</v>
      </c>
      <c r="BB151" s="49">
        <v>2</v>
      </c>
      <c r="BC151" s="50">
        <v>25</v>
      </c>
      <c r="BD151" s="49">
        <v>8</v>
      </c>
      <c r="BE151" s="49"/>
      <c r="BF151" s="49"/>
      <c r="BG151" s="49"/>
      <c r="BH151" s="49"/>
      <c r="BI151" s="49"/>
      <c r="BJ151" s="49"/>
      <c r="BK151" s="115" t="s">
        <v>2697</v>
      </c>
      <c r="BL151" s="115" t="s">
        <v>2697</v>
      </c>
      <c r="BM151" s="115" t="s">
        <v>3169</v>
      </c>
      <c r="BN151" s="115" t="s">
        <v>3169</v>
      </c>
      <c r="BO151" s="2"/>
      <c r="BP151" s="3"/>
      <c r="BQ151" s="3"/>
      <c r="BR151" s="3"/>
      <c r="BS151" s="3"/>
    </row>
    <row r="152" spans="1:71" ht="15">
      <c r="A152" s="66" t="s">
        <v>370</v>
      </c>
      <c r="B152" s="67"/>
      <c r="C152" s="67"/>
      <c r="D152" s="68">
        <v>150</v>
      </c>
      <c r="E152" s="70"/>
      <c r="F152" s="102" t="str">
        <f>HYPERLINK("https://yt3.ggpht.com/ytc/AOPolaTTWhXT9lqwfTofy_tUQcb8uLqyo_g1l-R2dw=s88-c-k-c0x00ffffff-no-rj")</f>
        <v>https://yt3.ggpht.com/ytc/AOPolaTTWhXT9lqwfTofy_tUQcb8uLqyo_g1l-R2dw=s88-c-k-c0x00ffffff-no-rj</v>
      </c>
      <c r="G152" s="67"/>
      <c r="H152" s="71" t="s">
        <v>1446</v>
      </c>
      <c r="I152" s="72"/>
      <c r="J152" s="72" t="s">
        <v>159</v>
      </c>
      <c r="K152" s="71" t="s">
        <v>1446</v>
      </c>
      <c r="L152" s="75">
        <v>1</v>
      </c>
      <c r="M152" s="76">
        <v>5919.072265625</v>
      </c>
      <c r="N152" s="76">
        <v>7016.0859375</v>
      </c>
      <c r="O152" s="77"/>
      <c r="P152" s="78"/>
      <c r="Q152" s="78"/>
      <c r="R152" s="88"/>
      <c r="S152" s="49">
        <v>0</v>
      </c>
      <c r="T152" s="49">
        <v>1</v>
      </c>
      <c r="U152" s="50">
        <v>0</v>
      </c>
      <c r="V152" s="50">
        <v>0.177728</v>
      </c>
      <c r="W152" s="50">
        <v>0.049759</v>
      </c>
      <c r="X152" s="50">
        <v>0.001579</v>
      </c>
      <c r="Y152" s="50">
        <v>0</v>
      </c>
      <c r="Z152" s="50">
        <v>0</v>
      </c>
      <c r="AA152" s="73">
        <v>152</v>
      </c>
      <c r="AB152" s="73"/>
      <c r="AC152" s="74"/>
      <c r="AD152" s="81" t="s">
        <v>1446</v>
      </c>
      <c r="AE152" s="81"/>
      <c r="AF152" s="81"/>
      <c r="AG152" s="81"/>
      <c r="AH152" s="81"/>
      <c r="AI152" s="81" t="s">
        <v>2168</v>
      </c>
      <c r="AJ152" s="85">
        <v>43989.944756944446</v>
      </c>
      <c r="AK152" s="83" t="str">
        <f>HYPERLINK("https://yt3.ggpht.com/ytc/AOPolaTTWhXT9lqwfTofy_tUQcb8uLqyo_g1l-R2dw=s88-c-k-c0x00ffffff-no-rj")</f>
        <v>https://yt3.ggpht.com/ytc/AOPolaTTWhXT9lqwfTofy_tUQcb8uLqyo_g1l-R2dw=s88-c-k-c0x00ffffff-no-rj</v>
      </c>
      <c r="AL152" s="81">
        <v>0</v>
      </c>
      <c r="AM152" s="81">
        <v>0</v>
      </c>
      <c r="AN152" s="81">
        <v>1</v>
      </c>
      <c r="AO152" s="81" t="b">
        <v>0</v>
      </c>
      <c r="AP152" s="81">
        <v>0</v>
      </c>
      <c r="AQ152" s="81"/>
      <c r="AR152" s="81"/>
      <c r="AS152" s="81" t="s">
        <v>2571</v>
      </c>
      <c r="AT152" s="83" t="str">
        <f>HYPERLINK("https://www.youtube.com/channel/UCXnUMRufxEaVu9Ojq_nbu_w")</f>
        <v>https://www.youtube.com/channel/UCXnUMRufxEaVu9Ojq_nbu_w</v>
      </c>
      <c r="AU152" s="81">
        <v>1</v>
      </c>
      <c r="AV152" s="49">
        <v>0</v>
      </c>
      <c r="AW152" s="50">
        <v>0</v>
      </c>
      <c r="AX152" s="49">
        <v>0</v>
      </c>
      <c r="AY152" s="50">
        <v>0</v>
      </c>
      <c r="AZ152" s="49">
        <v>0</v>
      </c>
      <c r="BA152" s="50">
        <v>0</v>
      </c>
      <c r="BB152" s="49">
        <v>0</v>
      </c>
      <c r="BC152" s="50">
        <v>0</v>
      </c>
      <c r="BD152" s="49">
        <v>0</v>
      </c>
      <c r="BE152" s="49"/>
      <c r="BF152" s="49"/>
      <c r="BG152" s="49"/>
      <c r="BH152" s="49"/>
      <c r="BI152" s="49"/>
      <c r="BJ152" s="49"/>
      <c r="BK152" s="115" t="s">
        <v>4477</v>
      </c>
      <c r="BL152" s="115" t="s">
        <v>4477</v>
      </c>
      <c r="BM152" s="115" t="s">
        <v>4477</v>
      </c>
      <c r="BN152" s="115" t="s">
        <v>4477</v>
      </c>
      <c r="BO152" s="2"/>
      <c r="BP152" s="3"/>
      <c r="BQ152" s="3"/>
      <c r="BR152" s="3"/>
      <c r="BS152" s="3"/>
    </row>
    <row r="153" spans="1:71" ht="15">
      <c r="A153" s="66" t="s">
        <v>371</v>
      </c>
      <c r="B153" s="67"/>
      <c r="C153" s="67"/>
      <c r="D153" s="68">
        <v>150</v>
      </c>
      <c r="E153" s="70"/>
      <c r="F153" s="102" t="str">
        <f>HYPERLINK("https://yt3.ggpht.com/ytc/AOPolaQKXtgxP6eEpiVj1m_7BbE42i-fZHG3xmPuOA=s88-c-k-c0x00ffffff-no-rj")</f>
        <v>https://yt3.ggpht.com/ytc/AOPolaQKXtgxP6eEpiVj1m_7BbE42i-fZHG3xmPuOA=s88-c-k-c0x00ffffff-no-rj</v>
      </c>
      <c r="G153" s="67"/>
      <c r="H153" s="71" t="s">
        <v>1447</v>
      </c>
      <c r="I153" s="72"/>
      <c r="J153" s="72" t="s">
        <v>159</v>
      </c>
      <c r="K153" s="71" t="s">
        <v>1447</v>
      </c>
      <c r="L153" s="75">
        <v>1</v>
      </c>
      <c r="M153" s="76">
        <v>2405.84765625</v>
      </c>
      <c r="N153" s="76">
        <v>8651.4208984375</v>
      </c>
      <c r="O153" s="77"/>
      <c r="P153" s="78"/>
      <c r="Q153" s="78"/>
      <c r="R153" s="88"/>
      <c r="S153" s="49">
        <v>0</v>
      </c>
      <c r="T153" s="49">
        <v>1</v>
      </c>
      <c r="U153" s="50">
        <v>0</v>
      </c>
      <c r="V153" s="50">
        <v>0.177728</v>
      </c>
      <c r="W153" s="50">
        <v>0.049759</v>
      </c>
      <c r="X153" s="50">
        <v>0.001579</v>
      </c>
      <c r="Y153" s="50">
        <v>0</v>
      </c>
      <c r="Z153" s="50">
        <v>0</v>
      </c>
      <c r="AA153" s="73">
        <v>153</v>
      </c>
      <c r="AB153" s="73"/>
      <c r="AC153" s="74"/>
      <c r="AD153" s="81" t="s">
        <v>1447</v>
      </c>
      <c r="AE153" s="81"/>
      <c r="AF153" s="81"/>
      <c r="AG153" s="81"/>
      <c r="AH153" s="81"/>
      <c r="AI153" s="81" t="s">
        <v>2169</v>
      </c>
      <c r="AJ153" s="85">
        <v>38895.13993055555</v>
      </c>
      <c r="AK153" s="83" t="str">
        <f>HYPERLINK("https://yt3.ggpht.com/ytc/AOPolaQKXtgxP6eEpiVj1m_7BbE42i-fZHG3xmPuOA=s88-c-k-c0x00ffffff-no-rj")</f>
        <v>https://yt3.ggpht.com/ytc/AOPolaQKXtgxP6eEpiVj1m_7BbE42i-fZHG3xmPuOA=s88-c-k-c0x00ffffff-no-rj</v>
      </c>
      <c r="AL153" s="81">
        <v>0</v>
      </c>
      <c r="AM153" s="81">
        <v>0</v>
      </c>
      <c r="AN153" s="81">
        <v>5</v>
      </c>
      <c r="AO153" s="81" t="b">
        <v>0</v>
      </c>
      <c r="AP153" s="81">
        <v>0</v>
      </c>
      <c r="AQ153" s="81"/>
      <c r="AR153" s="81"/>
      <c r="AS153" s="81" t="s">
        <v>2571</v>
      </c>
      <c r="AT153" s="83" t="str">
        <f>HYPERLINK("https://www.youtube.com/channel/UCgPZLgMF17m2EMixxpvIauw")</f>
        <v>https://www.youtube.com/channel/UCgPZLgMF17m2EMixxpvIauw</v>
      </c>
      <c r="AU153" s="81">
        <v>1</v>
      </c>
      <c r="AV153" s="49">
        <v>0</v>
      </c>
      <c r="AW153" s="50">
        <v>0</v>
      </c>
      <c r="AX153" s="49">
        <v>0</v>
      </c>
      <c r="AY153" s="50">
        <v>0</v>
      </c>
      <c r="AZ153" s="49">
        <v>0</v>
      </c>
      <c r="BA153" s="50">
        <v>0</v>
      </c>
      <c r="BB153" s="49">
        <v>3</v>
      </c>
      <c r="BC153" s="50">
        <v>42.857142857142854</v>
      </c>
      <c r="BD153" s="49">
        <v>7</v>
      </c>
      <c r="BE153" s="49"/>
      <c r="BF153" s="49"/>
      <c r="BG153" s="49"/>
      <c r="BH153" s="49"/>
      <c r="BI153" s="49"/>
      <c r="BJ153" s="49"/>
      <c r="BK153" s="115" t="s">
        <v>2698</v>
      </c>
      <c r="BL153" s="115" t="s">
        <v>2698</v>
      </c>
      <c r="BM153" s="115" t="s">
        <v>3170</v>
      </c>
      <c r="BN153" s="115" t="s">
        <v>3170</v>
      </c>
      <c r="BO153" s="2"/>
      <c r="BP153" s="3"/>
      <c r="BQ153" s="3"/>
      <c r="BR153" s="3"/>
      <c r="BS153" s="3"/>
    </row>
    <row r="154" spans="1:71" ht="15">
      <c r="A154" s="66" t="s">
        <v>372</v>
      </c>
      <c r="B154" s="67"/>
      <c r="C154" s="67"/>
      <c r="D154" s="68">
        <v>150</v>
      </c>
      <c r="E154" s="70"/>
      <c r="F154" s="102" t="str">
        <f>HYPERLINK("https://yt3.ggpht.com/NvofpyKcOzPeAazZZ_i_cMgO-ZpGhbJFxiF48-A98OwNZK10ax4xC7so0B4aU7BqCneLiuZkFQ=s88-c-k-c0x00ffffff-no-rj")</f>
        <v>https://yt3.ggpht.com/NvofpyKcOzPeAazZZ_i_cMgO-ZpGhbJFxiF48-A98OwNZK10ax4xC7so0B4aU7BqCneLiuZkFQ=s88-c-k-c0x00ffffff-no-rj</v>
      </c>
      <c r="G154" s="67"/>
      <c r="H154" s="71" t="s">
        <v>1448</v>
      </c>
      <c r="I154" s="72"/>
      <c r="J154" s="72" t="s">
        <v>159</v>
      </c>
      <c r="K154" s="71" t="s">
        <v>1448</v>
      </c>
      <c r="L154" s="75">
        <v>1</v>
      </c>
      <c r="M154" s="76">
        <v>5877.490234375</v>
      </c>
      <c r="N154" s="76">
        <v>8357.26171875</v>
      </c>
      <c r="O154" s="77"/>
      <c r="P154" s="78"/>
      <c r="Q154" s="78"/>
      <c r="R154" s="88"/>
      <c r="S154" s="49">
        <v>0</v>
      </c>
      <c r="T154" s="49">
        <v>1</v>
      </c>
      <c r="U154" s="50">
        <v>0</v>
      </c>
      <c r="V154" s="50">
        <v>0.177728</v>
      </c>
      <c r="W154" s="50">
        <v>0.049759</v>
      </c>
      <c r="X154" s="50">
        <v>0.001579</v>
      </c>
      <c r="Y154" s="50">
        <v>0</v>
      </c>
      <c r="Z154" s="50">
        <v>0</v>
      </c>
      <c r="AA154" s="73">
        <v>154</v>
      </c>
      <c r="AB154" s="73"/>
      <c r="AC154" s="74"/>
      <c r="AD154" s="81" t="s">
        <v>1448</v>
      </c>
      <c r="AE154" s="81"/>
      <c r="AF154" s="81"/>
      <c r="AG154" s="81"/>
      <c r="AH154" s="81"/>
      <c r="AI154" s="81" t="s">
        <v>2170</v>
      </c>
      <c r="AJ154" s="85">
        <v>42109.2334375</v>
      </c>
      <c r="AK154" s="83" t="str">
        <f>HYPERLINK("https://yt3.ggpht.com/NvofpyKcOzPeAazZZ_i_cMgO-ZpGhbJFxiF48-A98OwNZK10ax4xC7so0B4aU7BqCneLiuZkFQ=s88-c-k-c0x00ffffff-no-rj")</f>
        <v>https://yt3.ggpht.com/NvofpyKcOzPeAazZZ_i_cMgO-ZpGhbJFxiF48-A98OwNZK10ax4xC7so0B4aU7BqCneLiuZkFQ=s88-c-k-c0x00ffffff-no-rj</v>
      </c>
      <c r="AL154" s="81">
        <v>0</v>
      </c>
      <c r="AM154" s="81">
        <v>0</v>
      </c>
      <c r="AN154" s="81">
        <v>2</v>
      </c>
      <c r="AO154" s="81" t="b">
        <v>0</v>
      </c>
      <c r="AP154" s="81">
        <v>0</v>
      </c>
      <c r="AQ154" s="81"/>
      <c r="AR154" s="81"/>
      <c r="AS154" s="81" t="s">
        <v>2571</v>
      </c>
      <c r="AT154" s="83" t="str">
        <f>HYPERLINK("https://www.youtube.com/channel/UCO_Z2uThY5eDomHQYaKnlLg")</f>
        <v>https://www.youtube.com/channel/UCO_Z2uThY5eDomHQYaKnlLg</v>
      </c>
      <c r="AU154" s="81">
        <v>1</v>
      </c>
      <c r="AV154" s="49">
        <v>4</v>
      </c>
      <c r="AW154" s="50">
        <v>13.793103448275861</v>
      </c>
      <c r="AX154" s="49">
        <v>0</v>
      </c>
      <c r="AY154" s="50">
        <v>0</v>
      </c>
      <c r="AZ154" s="49">
        <v>0</v>
      </c>
      <c r="BA154" s="50">
        <v>0</v>
      </c>
      <c r="BB154" s="49">
        <v>9</v>
      </c>
      <c r="BC154" s="50">
        <v>31.03448275862069</v>
      </c>
      <c r="BD154" s="49">
        <v>29</v>
      </c>
      <c r="BE154" s="49"/>
      <c r="BF154" s="49"/>
      <c r="BG154" s="49"/>
      <c r="BH154" s="49"/>
      <c r="BI154" s="49"/>
      <c r="BJ154" s="49"/>
      <c r="BK154" s="115" t="s">
        <v>2699</v>
      </c>
      <c r="BL154" s="115" t="s">
        <v>2699</v>
      </c>
      <c r="BM154" s="115" t="s">
        <v>3171</v>
      </c>
      <c r="BN154" s="115" t="s">
        <v>3171</v>
      </c>
      <c r="BO154" s="2"/>
      <c r="BP154" s="3"/>
      <c r="BQ154" s="3"/>
      <c r="BR154" s="3"/>
      <c r="BS154" s="3"/>
    </row>
    <row r="155" spans="1:71" ht="15">
      <c r="A155" s="66" t="s">
        <v>373</v>
      </c>
      <c r="B155" s="67"/>
      <c r="C155" s="67"/>
      <c r="D155" s="68">
        <v>150</v>
      </c>
      <c r="E155" s="70"/>
      <c r="F155" s="102" t="str">
        <f>HYPERLINK("https://yt3.ggpht.com/ytc/AOPolaSyfKMSM-NrGGVm_jDeZ_pJBsVPH-bc0319UuJO_w=s88-c-k-c0x00ffffff-no-rj")</f>
        <v>https://yt3.ggpht.com/ytc/AOPolaSyfKMSM-NrGGVm_jDeZ_pJBsVPH-bc0319UuJO_w=s88-c-k-c0x00ffffff-no-rj</v>
      </c>
      <c r="G155" s="67"/>
      <c r="H155" s="71" t="s">
        <v>1449</v>
      </c>
      <c r="I155" s="72"/>
      <c r="J155" s="72" t="s">
        <v>159</v>
      </c>
      <c r="K155" s="71" t="s">
        <v>1449</v>
      </c>
      <c r="L155" s="75">
        <v>1</v>
      </c>
      <c r="M155" s="76">
        <v>2257.959716796875</v>
      </c>
      <c r="N155" s="76">
        <v>6967.14306640625</v>
      </c>
      <c r="O155" s="77"/>
      <c r="P155" s="78"/>
      <c r="Q155" s="78"/>
      <c r="R155" s="88"/>
      <c r="S155" s="49">
        <v>0</v>
      </c>
      <c r="T155" s="49">
        <v>1</v>
      </c>
      <c r="U155" s="50">
        <v>0</v>
      </c>
      <c r="V155" s="50">
        <v>0.177728</v>
      </c>
      <c r="W155" s="50">
        <v>0.049759</v>
      </c>
      <c r="X155" s="50">
        <v>0.001579</v>
      </c>
      <c r="Y155" s="50">
        <v>0</v>
      </c>
      <c r="Z155" s="50">
        <v>0</v>
      </c>
      <c r="AA155" s="73">
        <v>155</v>
      </c>
      <c r="AB155" s="73"/>
      <c r="AC155" s="74"/>
      <c r="AD155" s="81" t="s">
        <v>1449</v>
      </c>
      <c r="AE155" s="81"/>
      <c r="AF155" s="81"/>
      <c r="AG155" s="81"/>
      <c r="AH155" s="81"/>
      <c r="AI155" s="81" t="s">
        <v>2171</v>
      </c>
      <c r="AJ155" s="85">
        <v>39179.341412037036</v>
      </c>
      <c r="AK155" s="83" t="str">
        <f>HYPERLINK("https://yt3.ggpht.com/ytc/AOPolaSyfKMSM-NrGGVm_jDeZ_pJBsVPH-bc0319UuJO_w=s88-c-k-c0x00ffffff-no-rj")</f>
        <v>https://yt3.ggpht.com/ytc/AOPolaSyfKMSM-NrGGVm_jDeZ_pJBsVPH-bc0319UuJO_w=s88-c-k-c0x00ffffff-no-rj</v>
      </c>
      <c r="AL155" s="81">
        <v>0</v>
      </c>
      <c r="AM155" s="81">
        <v>0</v>
      </c>
      <c r="AN155" s="81">
        <v>7</v>
      </c>
      <c r="AO155" s="81" t="b">
        <v>0</v>
      </c>
      <c r="AP155" s="81">
        <v>0</v>
      </c>
      <c r="AQ155" s="81"/>
      <c r="AR155" s="81"/>
      <c r="AS155" s="81" t="s">
        <v>2571</v>
      </c>
      <c r="AT155" s="83" t="str">
        <f>HYPERLINK("https://www.youtube.com/channel/UCqPL7Y2nnJ4MrcdGQkYnwyg")</f>
        <v>https://www.youtube.com/channel/UCqPL7Y2nnJ4MrcdGQkYnwyg</v>
      </c>
      <c r="AU155" s="81">
        <v>1</v>
      </c>
      <c r="AV155" s="49">
        <v>0</v>
      </c>
      <c r="AW155" s="50">
        <v>0</v>
      </c>
      <c r="AX155" s="49">
        <v>0</v>
      </c>
      <c r="AY155" s="50">
        <v>0</v>
      </c>
      <c r="AZ155" s="49">
        <v>0</v>
      </c>
      <c r="BA155" s="50">
        <v>0</v>
      </c>
      <c r="BB155" s="49">
        <v>0</v>
      </c>
      <c r="BC155" s="50">
        <v>0</v>
      </c>
      <c r="BD155" s="49">
        <v>2</v>
      </c>
      <c r="BE155" s="49"/>
      <c r="BF155" s="49"/>
      <c r="BG155" s="49"/>
      <c r="BH155" s="49"/>
      <c r="BI155" s="49"/>
      <c r="BJ155" s="49"/>
      <c r="BK155" s="115" t="s">
        <v>4477</v>
      </c>
      <c r="BL155" s="115" t="s">
        <v>4477</v>
      </c>
      <c r="BM155" s="115" t="s">
        <v>4477</v>
      </c>
      <c r="BN155" s="115" t="s">
        <v>4477</v>
      </c>
      <c r="BO155" s="2"/>
      <c r="BP155" s="3"/>
      <c r="BQ155" s="3"/>
      <c r="BR155" s="3"/>
      <c r="BS155" s="3"/>
    </row>
    <row r="156" spans="1:71" ht="15">
      <c r="A156" s="66" t="s">
        <v>374</v>
      </c>
      <c r="B156" s="67"/>
      <c r="C156" s="67"/>
      <c r="D156" s="68">
        <v>150</v>
      </c>
      <c r="E156" s="70"/>
      <c r="F156" s="102" t="str">
        <f>HYPERLINK("https://yt3.ggpht.com/ytc/AOPolaR7-NA_ksbxM_qZnxWgLh1Pa-X5NPLLrTRC8zxF0ZlUwrcHQSffc6Tof5HewjaA=s88-c-k-c0x00ffffff-no-rj")</f>
        <v>https://yt3.ggpht.com/ytc/AOPolaR7-NA_ksbxM_qZnxWgLh1Pa-X5NPLLrTRC8zxF0ZlUwrcHQSffc6Tof5HewjaA=s88-c-k-c0x00ffffff-no-rj</v>
      </c>
      <c r="G156" s="67"/>
      <c r="H156" s="71" t="s">
        <v>1450</v>
      </c>
      <c r="I156" s="72"/>
      <c r="J156" s="72" t="s">
        <v>159</v>
      </c>
      <c r="K156" s="71" t="s">
        <v>1450</v>
      </c>
      <c r="L156" s="75">
        <v>1</v>
      </c>
      <c r="M156" s="76">
        <v>692.7501831054688</v>
      </c>
      <c r="N156" s="76">
        <v>5832.873046875</v>
      </c>
      <c r="O156" s="77"/>
      <c r="P156" s="78"/>
      <c r="Q156" s="78"/>
      <c r="R156" s="88"/>
      <c r="S156" s="49">
        <v>0</v>
      </c>
      <c r="T156" s="49">
        <v>1</v>
      </c>
      <c r="U156" s="50">
        <v>0</v>
      </c>
      <c r="V156" s="50">
        <v>0.177728</v>
      </c>
      <c r="W156" s="50">
        <v>0.049759</v>
      </c>
      <c r="X156" s="50">
        <v>0.001579</v>
      </c>
      <c r="Y156" s="50">
        <v>0</v>
      </c>
      <c r="Z156" s="50">
        <v>0</v>
      </c>
      <c r="AA156" s="73">
        <v>156</v>
      </c>
      <c r="AB156" s="73"/>
      <c r="AC156" s="74"/>
      <c r="AD156" s="81" t="s">
        <v>1450</v>
      </c>
      <c r="AE156" s="81"/>
      <c r="AF156" s="81"/>
      <c r="AG156" s="81"/>
      <c r="AH156" s="81"/>
      <c r="AI156" s="81" t="s">
        <v>2172</v>
      </c>
      <c r="AJ156" s="85">
        <v>44802.03089120371</v>
      </c>
      <c r="AK156" s="83" t="str">
        <f>HYPERLINK("https://yt3.ggpht.com/ytc/AOPolaR7-NA_ksbxM_qZnxWgLh1Pa-X5NPLLrTRC8zxF0ZlUwrcHQSffc6Tof5HewjaA=s88-c-k-c0x00ffffff-no-rj")</f>
        <v>https://yt3.ggpht.com/ytc/AOPolaR7-NA_ksbxM_qZnxWgLh1Pa-X5NPLLrTRC8zxF0ZlUwrcHQSffc6Tof5HewjaA=s88-c-k-c0x00ffffff-no-rj</v>
      </c>
      <c r="AL156" s="81">
        <v>0</v>
      </c>
      <c r="AM156" s="81">
        <v>0</v>
      </c>
      <c r="AN156" s="81">
        <v>0</v>
      </c>
      <c r="AO156" s="81" t="b">
        <v>0</v>
      </c>
      <c r="AP156" s="81">
        <v>0</v>
      </c>
      <c r="AQ156" s="81"/>
      <c r="AR156" s="81"/>
      <c r="AS156" s="81" t="s">
        <v>2571</v>
      </c>
      <c r="AT156" s="83" t="str">
        <f>HYPERLINK("https://www.youtube.com/channel/UC7vGnWM9TnJrokLW83MDbxw")</f>
        <v>https://www.youtube.com/channel/UC7vGnWM9TnJrokLW83MDbxw</v>
      </c>
      <c r="AU156" s="81">
        <v>1</v>
      </c>
      <c r="AV156" s="49">
        <v>0</v>
      </c>
      <c r="AW156" s="50">
        <v>0</v>
      </c>
      <c r="AX156" s="49">
        <v>0</v>
      </c>
      <c r="AY156" s="50">
        <v>0</v>
      </c>
      <c r="AZ156" s="49">
        <v>0</v>
      </c>
      <c r="BA156" s="50">
        <v>0</v>
      </c>
      <c r="BB156" s="49">
        <v>4</v>
      </c>
      <c r="BC156" s="50">
        <v>57.142857142857146</v>
      </c>
      <c r="BD156" s="49">
        <v>7</v>
      </c>
      <c r="BE156" s="49"/>
      <c r="BF156" s="49"/>
      <c r="BG156" s="49"/>
      <c r="BH156" s="49"/>
      <c r="BI156" s="49"/>
      <c r="BJ156" s="49"/>
      <c r="BK156" s="115" t="s">
        <v>2700</v>
      </c>
      <c r="BL156" s="115" t="s">
        <v>2700</v>
      </c>
      <c r="BM156" s="115" t="s">
        <v>3172</v>
      </c>
      <c r="BN156" s="115" t="s">
        <v>3172</v>
      </c>
      <c r="BO156" s="2"/>
      <c r="BP156" s="3"/>
      <c r="BQ156" s="3"/>
      <c r="BR156" s="3"/>
      <c r="BS156" s="3"/>
    </row>
    <row r="157" spans="1:71" ht="15">
      <c r="A157" s="66" t="s">
        <v>375</v>
      </c>
      <c r="B157" s="67"/>
      <c r="C157" s="67"/>
      <c r="D157" s="68">
        <v>150</v>
      </c>
      <c r="E157" s="70"/>
      <c r="F157" s="102" t="str">
        <f>HYPERLINK("https://yt3.ggpht.com/Ik1KnPwjPj8aNVKoFvlkiAc5NH2r5Ca5Q2ES-B23Cqu98aa3w2BY5e2h4Dw2CjVLHnmoNFpBzQ=s88-c-k-c0x00ffffff-no-rj")</f>
        <v>https://yt3.ggpht.com/Ik1KnPwjPj8aNVKoFvlkiAc5NH2r5Ca5Q2ES-B23Cqu98aa3w2BY5e2h4Dw2CjVLHnmoNFpBzQ=s88-c-k-c0x00ffffff-no-rj</v>
      </c>
      <c r="G157" s="67"/>
      <c r="H157" s="71" t="s">
        <v>1451</v>
      </c>
      <c r="I157" s="72"/>
      <c r="J157" s="72" t="s">
        <v>159</v>
      </c>
      <c r="K157" s="71" t="s">
        <v>1451</v>
      </c>
      <c r="L157" s="75">
        <v>1</v>
      </c>
      <c r="M157" s="76">
        <v>5812.34033203125</v>
      </c>
      <c r="N157" s="76">
        <v>5833.39111328125</v>
      </c>
      <c r="O157" s="77"/>
      <c r="P157" s="78"/>
      <c r="Q157" s="78"/>
      <c r="R157" s="88"/>
      <c r="S157" s="49">
        <v>0</v>
      </c>
      <c r="T157" s="49">
        <v>1</v>
      </c>
      <c r="U157" s="50">
        <v>0</v>
      </c>
      <c r="V157" s="50">
        <v>0.177728</v>
      </c>
      <c r="W157" s="50">
        <v>0.049759</v>
      </c>
      <c r="X157" s="50">
        <v>0.001579</v>
      </c>
      <c r="Y157" s="50">
        <v>0</v>
      </c>
      <c r="Z157" s="50">
        <v>0</v>
      </c>
      <c r="AA157" s="73">
        <v>157</v>
      </c>
      <c r="AB157" s="73"/>
      <c r="AC157" s="74"/>
      <c r="AD157" s="81" t="s">
        <v>1451</v>
      </c>
      <c r="AE157" s="81"/>
      <c r="AF157" s="81"/>
      <c r="AG157" s="81"/>
      <c r="AH157" s="81"/>
      <c r="AI157" s="81" t="s">
        <v>2173</v>
      </c>
      <c r="AJ157" s="85">
        <v>43884.048530092594</v>
      </c>
      <c r="AK157" s="83" t="str">
        <f>HYPERLINK("https://yt3.ggpht.com/Ik1KnPwjPj8aNVKoFvlkiAc5NH2r5Ca5Q2ES-B23Cqu98aa3w2BY5e2h4Dw2CjVLHnmoNFpBzQ=s88-c-k-c0x00ffffff-no-rj")</f>
        <v>https://yt3.ggpht.com/Ik1KnPwjPj8aNVKoFvlkiAc5NH2r5Ca5Q2ES-B23Cqu98aa3w2BY5e2h4Dw2CjVLHnmoNFpBzQ=s88-c-k-c0x00ffffff-no-rj</v>
      </c>
      <c r="AL157" s="81">
        <v>2821</v>
      </c>
      <c r="AM157" s="81">
        <v>0</v>
      </c>
      <c r="AN157" s="81">
        <v>52</v>
      </c>
      <c r="AO157" s="81" t="b">
        <v>0</v>
      </c>
      <c r="AP157" s="81">
        <v>3</v>
      </c>
      <c r="AQ157" s="81"/>
      <c r="AR157" s="81"/>
      <c r="AS157" s="81" t="s">
        <v>2571</v>
      </c>
      <c r="AT157" s="83" t="str">
        <f>HYPERLINK("https://www.youtube.com/channel/UCQusr7dSvxEQ-eJWGoHfWzw")</f>
        <v>https://www.youtube.com/channel/UCQusr7dSvxEQ-eJWGoHfWzw</v>
      </c>
      <c r="AU157" s="81">
        <v>1</v>
      </c>
      <c r="AV157" s="49">
        <v>0</v>
      </c>
      <c r="AW157" s="50">
        <v>0</v>
      </c>
      <c r="AX157" s="49">
        <v>1</v>
      </c>
      <c r="AY157" s="50">
        <v>14.285714285714286</v>
      </c>
      <c r="AZ157" s="49">
        <v>0</v>
      </c>
      <c r="BA157" s="50">
        <v>0</v>
      </c>
      <c r="BB157" s="49">
        <v>1</v>
      </c>
      <c r="BC157" s="50">
        <v>14.285714285714286</v>
      </c>
      <c r="BD157" s="49">
        <v>7</v>
      </c>
      <c r="BE157" s="49"/>
      <c r="BF157" s="49"/>
      <c r="BG157" s="49"/>
      <c r="BH157" s="49"/>
      <c r="BI157" s="49"/>
      <c r="BJ157" s="49"/>
      <c r="BK157" s="115" t="s">
        <v>2701</v>
      </c>
      <c r="BL157" s="115" t="s">
        <v>2701</v>
      </c>
      <c r="BM157" s="115" t="s">
        <v>3173</v>
      </c>
      <c r="BN157" s="115" t="s">
        <v>3173</v>
      </c>
      <c r="BO157" s="2"/>
      <c r="BP157" s="3"/>
      <c r="BQ157" s="3"/>
      <c r="BR157" s="3"/>
      <c r="BS157" s="3"/>
    </row>
    <row r="158" spans="1:71" ht="15">
      <c r="A158" s="66" t="s">
        <v>376</v>
      </c>
      <c r="B158" s="67"/>
      <c r="C158" s="67"/>
      <c r="D158" s="68">
        <v>150</v>
      </c>
      <c r="E158" s="70"/>
      <c r="F158" s="102" t="str">
        <f>HYPERLINK("https://yt3.ggpht.com/ytc/AOPolaRMqIjx92JOljALqZs2N3QdGlITHb1XN_QbCgcuwtbcTOpJL7iIklg3S3J7RwDu=s88-c-k-c0x00ffffff-no-rj")</f>
        <v>https://yt3.ggpht.com/ytc/AOPolaRMqIjx92JOljALqZs2N3QdGlITHb1XN_QbCgcuwtbcTOpJL7iIklg3S3J7RwDu=s88-c-k-c0x00ffffff-no-rj</v>
      </c>
      <c r="G158" s="67"/>
      <c r="H158" s="71" t="s">
        <v>1452</v>
      </c>
      <c r="I158" s="72"/>
      <c r="J158" s="72" t="s">
        <v>159</v>
      </c>
      <c r="K158" s="71" t="s">
        <v>1452</v>
      </c>
      <c r="L158" s="75">
        <v>1</v>
      </c>
      <c r="M158" s="76">
        <v>4742.990234375</v>
      </c>
      <c r="N158" s="76">
        <v>4764.4033203125</v>
      </c>
      <c r="O158" s="77"/>
      <c r="P158" s="78"/>
      <c r="Q158" s="78"/>
      <c r="R158" s="88"/>
      <c r="S158" s="49">
        <v>0</v>
      </c>
      <c r="T158" s="49">
        <v>1</v>
      </c>
      <c r="U158" s="50">
        <v>0</v>
      </c>
      <c r="V158" s="50">
        <v>0.177728</v>
      </c>
      <c r="W158" s="50">
        <v>0.049759</v>
      </c>
      <c r="X158" s="50">
        <v>0.001579</v>
      </c>
      <c r="Y158" s="50">
        <v>0</v>
      </c>
      <c r="Z158" s="50">
        <v>0</v>
      </c>
      <c r="AA158" s="73">
        <v>158</v>
      </c>
      <c r="AB158" s="73"/>
      <c r="AC158" s="74"/>
      <c r="AD158" s="81" t="s">
        <v>1452</v>
      </c>
      <c r="AE158" s="81"/>
      <c r="AF158" s="81"/>
      <c r="AG158" s="81"/>
      <c r="AH158" s="81"/>
      <c r="AI158" s="81" t="s">
        <v>2174</v>
      </c>
      <c r="AJ158" s="85">
        <v>44339.908530092594</v>
      </c>
      <c r="AK158" s="83" t="str">
        <f>HYPERLINK("https://yt3.ggpht.com/ytc/AOPolaRMqIjx92JOljALqZs2N3QdGlITHb1XN_QbCgcuwtbcTOpJL7iIklg3S3J7RwDu=s88-c-k-c0x00ffffff-no-rj")</f>
        <v>https://yt3.ggpht.com/ytc/AOPolaRMqIjx92JOljALqZs2N3QdGlITHb1XN_QbCgcuwtbcTOpJL7iIklg3S3J7RwDu=s88-c-k-c0x00ffffff-no-rj</v>
      </c>
      <c r="AL158" s="81">
        <v>0</v>
      </c>
      <c r="AM158" s="81">
        <v>0</v>
      </c>
      <c r="AN158" s="81">
        <v>0</v>
      </c>
      <c r="AO158" s="81" t="b">
        <v>0</v>
      </c>
      <c r="AP158" s="81">
        <v>0</v>
      </c>
      <c r="AQ158" s="81"/>
      <c r="AR158" s="81"/>
      <c r="AS158" s="81" t="s">
        <v>2571</v>
      </c>
      <c r="AT158" s="83" t="str">
        <f>HYPERLINK("https://www.youtube.com/channel/UCqctMP95IF6BnFrmTi59zbg")</f>
        <v>https://www.youtube.com/channel/UCqctMP95IF6BnFrmTi59zbg</v>
      </c>
      <c r="AU158" s="81">
        <v>1</v>
      </c>
      <c r="AV158" s="49">
        <v>0</v>
      </c>
      <c r="AW158" s="50">
        <v>0</v>
      </c>
      <c r="AX158" s="49">
        <v>0</v>
      </c>
      <c r="AY158" s="50">
        <v>0</v>
      </c>
      <c r="AZ158" s="49">
        <v>0</v>
      </c>
      <c r="BA158" s="50">
        <v>0</v>
      </c>
      <c r="BB158" s="49">
        <v>10</v>
      </c>
      <c r="BC158" s="50">
        <v>47.61904761904762</v>
      </c>
      <c r="BD158" s="49">
        <v>21</v>
      </c>
      <c r="BE158" s="49"/>
      <c r="BF158" s="49"/>
      <c r="BG158" s="49"/>
      <c r="BH158" s="49"/>
      <c r="BI158" s="49"/>
      <c r="BJ158" s="49"/>
      <c r="BK158" s="115" t="s">
        <v>2702</v>
      </c>
      <c r="BL158" s="115" t="s">
        <v>2702</v>
      </c>
      <c r="BM158" s="115" t="s">
        <v>3174</v>
      </c>
      <c r="BN158" s="115" t="s">
        <v>3174</v>
      </c>
      <c r="BO158" s="2"/>
      <c r="BP158" s="3"/>
      <c r="BQ158" s="3"/>
      <c r="BR158" s="3"/>
      <c r="BS158" s="3"/>
    </row>
    <row r="159" spans="1:71" ht="15">
      <c r="A159" s="66" t="s">
        <v>377</v>
      </c>
      <c r="B159" s="67"/>
      <c r="C159" s="67"/>
      <c r="D159" s="68">
        <v>150</v>
      </c>
      <c r="E159" s="70"/>
      <c r="F159" s="102" t="str">
        <f>HYPERLINK("https://yt3.ggpht.com/ytc/AOPolaRpiN-iXVOsTiOsbzEy1So4tJQCa4o9qGkAORMC=s88-c-k-c0x00ffffff-no-rj")</f>
        <v>https://yt3.ggpht.com/ytc/AOPolaRpiN-iXVOsTiOsbzEy1So4tJQCa4o9qGkAORMC=s88-c-k-c0x00ffffff-no-rj</v>
      </c>
      <c r="G159" s="67"/>
      <c r="H159" s="71" t="s">
        <v>1453</v>
      </c>
      <c r="I159" s="72"/>
      <c r="J159" s="72" t="s">
        <v>159</v>
      </c>
      <c r="K159" s="71" t="s">
        <v>1453</v>
      </c>
      <c r="L159" s="75">
        <v>1</v>
      </c>
      <c r="M159" s="76">
        <v>1524.1190185546875</v>
      </c>
      <c r="N159" s="76">
        <v>5655.38232421875</v>
      </c>
      <c r="O159" s="77"/>
      <c r="P159" s="78"/>
      <c r="Q159" s="78"/>
      <c r="R159" s="88"/>
      <c r="S159" s="49">
        <v>0</v>
      </c>
      <c r="T159" s="49">
        <v>1</v>
      </c>
      <c r="U159" s="50">
        <v>0</v>
      </c>
      <c r="V159" s="50">
        <v>0.177728</v>
      </c>
      <c r="W159" s="50">
        <v>0.049759</v>
      </c>
      <c r="X159" s="50">
        <v>0.001579</v>
      </c>
      <c r="Y159" s="50">
        <v>0</v>
      </c>
      <c r="Z159" s="50">
        <v>0</v>
      </c>
      <c r="AA159" s="73">
        <v>159</v>
      </c>
      <c r="AB159" s="73"/>
      <c r="AC159" s="74"/>
      <c r="AD159" s="81" t="s">
        <v>1453</v>
      </c>
      <c r="AE159" s="81" t="s">
        <v>1945</v>
      </c>
      <c r="AF159" s="81"/>
      <c r="AG159" s="81"/>
      <c r="AH159" s="81"/>
      <c r="AI159" s="81" t="s">
        <v>2175</v>
      </c>
      <c r="AJ159" s="85">
        <v>38887.08362268518</v>
      </c>
      <c r="AK159" s="83" t="str">
        <f>HYPERLINK("https://yt3.ggpht.com/ytc/AOPolaRpiN-iXVOsTiOsbzEy1So4tJQCa4o9qGkAORMC=s88-c-k-c0x00ffffff-no-rj")</f>
        <v>https://yt3.ggpht.com/ytc/AOPolaRpiN-iXVOsTiOsbzEy1So4tJQCa4o9qGkAORMC=s88-c-k-c0x00ffffff-no-rj</v>
      </c>
      <c r="AL159" s="81">
        <v>1564</v>
      </c>
      <c r="AM159" s="81">
        <v>0</v>
      </c>
      <c r="AN159" s="81">
        <v>28</v>
      </c>
      <c r="AO159" s="81" t="b">
        <v>0</v>
      </c>
      <c r="AP159" s="81">
        <v>41</v>
      </c>
      <c r="AQ159" s="81"/>
      <c r="AR159" s="81"/>
      <c r="AS159" s="81" t="s">
        <v>2571</v>
      </c>
      <c r="AT159" s="83" t="str">
        <f>HYPERLINK("https://www.youtube.com/channel/UC3IhQUhOyaUuWDCKyxUwx_g")</f>
        <v>https://www.youtube.com/channel/UC3IhQUhOyaUuWDCKyxUwx_g</v>
      </c>
      <c r="AU159" s="81">
        <v>1</v>
      </c>
      <c r="AV159" s="49">
        <v>0</v>
      </c>
      <c r="AW159" s="50">
        <v>0</v>
      </c>
      <c r="AX159" s="49">
        <v>1</v>
      </c>
      <c r="AY159" s="50">
        <v>100</v>
      </c>
      <c r="AZ159" s="49">
        <v>0</v>
      </c>
      <c r="BA159" s="50">
        <v>0</v>
      </c>
      <c r="BB159" s="49">
        <v>0</v>
      </c>
      <c r="BC159" s="50">
        <v>0</v>
      </c>
      <c r="BD159" s="49">
        <v>1</v>
      </c>
      <c r="BE159" s="49"/>
      <c r="BF159" s="49"/>
      <c r="BG159" s="49"/>
      <c r="BH159" s="49"/>
      <c r="BI159" s="49"/>
      <c r="BJ159" s="49"/>
      <c r="BK159" s="115" t="s">
        <v>2703</v>
      </c>
      <c r="BL159" s="115" t="s">
        <v>2703</v>
      </c>
      <c r="BM159" s="115" t="s">
        <v>4477</v>
      </c>
      <c r="BN159" s="115" t="s">
        <v>4477</v>
      </c>
      <c r="BO159" s="2"/>
      <c r="BP159" s="3"/>
      <c r="BQ159" s="3"/>
      <c r="BR159" s="3"/>
      <c r="BS159" s="3"/>
    </row>
    <row r="160" spans="1:71" ht="15">
      <c r="A160" s="66" t="s">
        <v>378</v>
      </c>
      <c r="B160" s="67"/>
      <c r="C160" s="67"/>
      <c r="D160" s="68">
        <v>150</v>
      </c>
      <c r="E160" s="70"/>
      <c r="F160" s="102" t="str">
        <f>HYPERLINK("https://yt3.ggpht.com/DdjBCLV12dmo1ohxa1GzFWYt1j7jneTsVSGOmNwWoZRGbI72fWCZTXpLYxA90DINdgD9rQ1g7A=s88-c-k-c0x00ffffff-no-rj")</f>
        <v>https://yt3.ggpht.com/DdjBCLV12dmo1ohxa1GzFWYt1j7jneTsVSGOmNwWoZRGbI72fWCZTXpLYxA90DINdgD9rQ1g7A=s88-c-k-c0x00ffffff-no-rj</v>
      </c>
      <c r="G160" s="67"/>
      <c r="H160" s="71" t="s">
        <v>1454</v>
      </c>
      <c r="I160" s="72"/>
      <c r="J160" s="72" t="s">
        <v>159</v>
      </c>
      <c r="K160" s="71" t="s">
        <v>1454</v>
      </c>
      <c r="L160" s="75">
        <v>1</v>
      </c>
      <c r="M160" s="76">
        <v>1394.986083984375</v>
      </c>
      <c r="N160" s="76">
        <v>8102.4609375</v>
      </c>
      <c r="O160" s="77"/>
      <c r="P160" s="78"/>
      <c r="Q160" s="78"/>
      <c r="R160" s="88"/>
      <c r="S160" s="49">
        <v>0</v>
      </c>
      <c r="T160" s="49">
        <v>1</v>
      </c>
      <c r="U160" s="50">
        <v>0</v>
      </c>
      <c r="V160" s="50">
        <v>0.177728</v>
      </c>
      <c r="W160" s="50">
        <v>0.049759</v>
      </c>
      <c r="X160" s="50">
        <v>0.001579</v>
      </c>
      <c r="Y160" s="50">
        <v>0</v>
      </c>
      <c r="Z160" s="50">
        <v>0</v>
      </c>
      <c r="AA160" s="73">
        <v>160</v>
      </c>
      <c r="AB160" s="73"/>
      <c r="AC160" s="74"/>
      <c r="AD160" s="81" t="s">
        <v>1454</v>
      </c>
      <c r="AE160" s="81" t="s">
        <v>1946</v>
      </c>
      <c r="AF160" s="81"/>
      <c r="AG160" s="81"/>
      <c r="AH160" s="81"/>
      <c r="AI160" s="81" t="s">
        <v>2176</v>
      </c>
      <c r="AJ160" s="85">
        <v>43940.161770833336</v>
      </c>
      <c r="AK160" s="83" t="str">
        <f>HYPERLINK("https://yt3.ggpht.com/DdjBCLV12dmo1ohxa1GzFWYt1j7jneTsVSGOmNwWoZRGbI72fWCZTXpLYxA90DINdgD9rQ1g7A=s88-c-k-c0x00ffffff-no-rj")</f>
        <v>https://yt3.ggpht.com/DdjBCLV12dmo1ohxa1GzFWYt1j7jneTsVSGOmNwWoZRGbI72fWCZTXpLYxA90DINdgD9rQ1g7A=s88-c-k-c0x00ffffff-no-rj</v>
      </c>
      <c r="AL160" s="81">
        <v>0</v>
      </c>
      <c r="AM160" s="81">
        <v>0</v>
      </c>
      <c r="AN160" s="81">
        <v>7</v>
      </c>
      <c r="AO160" s="81" t="b">
        <v>0</v>
      </c>
      <c r="AP160" s="81">
        <v>0</v>
      </c>
      <c r="AQ160" s="81"/>
      <c r="AR160" s="81"/>
      <c r="AS160" s="81" t="s">
        <v>2571</v>
      </c>
      <c r="AT160" s="83" t="str">
        <f>HYPERLINK("https://www.youtube.com/channel/UCGAiQI34dRDqRHWzT563gQQ")</f>
        <v>https://www.youtube.com/channel/UCGAiQI34dRDqRHWzT563gQQ</v>
      </c>
      <c r="AU160" s="81">
        <v>1</v>
      </c>
      <c r="AV160" s="49">
        <v>0</v>
      </c>
      <c r="AW160" s="50">
        <v>0</v>
      </c>
      <c r="AX160" s="49">
        <v>0</v>
      </c>
      <c r="AY160" s="50">
        <v>0</v>
      </c>
      <c r="AZ160" s="49">
        <v>0</v>
      </c>
      <c r="BA160" s="50">
        <v>0</v>
      </c>
      <c r="BB160" s="49">
        <v>8</v>
      </c>
      <c r="BC160" s="50">
        <v>100</v>
      </c>
      <c r="BD160" s="49">
        <v>8</v>
      </c>
      <c r="BE160" s="49"/>
      <c r="BF160" s="49"/>
      <c r="BG160" s="49"/>
      <c r="BH160" s="49"/>
      <c r="BI160" s="49"/>
      <c r="BJ160" s="49"/>
      <c r="BK160" s="115" t="s">
        <v>2704</v>
      </c>
      <c r="BL160" s="115" t="s">
        <v>2704</v>
      </c>
      <c r="BM160" s="115" t="s">
        <v>3175</v>
      </c>
      <c r="BN160" s="115" t="s">
        <v>3175</v>
      </c>
      <c r="BO160" s="2"/>
      <c r="BP160" s="3"/>
      <c r="BQ160" s="3"/>
      <c r="BR160" s="3"/>
      <c r="BS160" s="3"/>
    </row>
    <row r="161" spans="1:71" ht="15">
      <c r="A161" s="66" t="s">
        <v>379</v>
      </c>
      <c r="B161" s="67"/>
      <c r="C161" s="67"/>
      <c r="D161" s="68">
        <v>150</v>
      </c>
      <c r="E161" s="70"/>
      <c r="F161" s="102" t="str">
        <f>HYPERLINK("https://yt3.ggpht.com/ytc/AOPolaQxlZtnRaIdUiLWfxUOImVUj0zxN7NzzDkABA=s88-c-k-c0x00ffffff-no-rj")</f>
        <v>https://yt3.ggpht.com/ytc/AOPolaQxlZtnRaIdUiLWfxUOImVUj0zxN7NzzDkABA=s88-c-k-c0x00ffffff-no-rj</v>
      </c>
      <c r="G161" s="67"/>
      <c r="H161" s="71" t="s">
        <v>1455</v>
      </c>
      <c r="I161" s="72"/>
      <c r="J161" s="72" t="s">
        <v>159</v>
      </c>
      <c r="K161" s="71" t="s">
        <v>1455</v>
      </c>
      <c r="L161" s="75">
        <v>1</v>
      </c>
      <c r="M161" s="76">
        <v>5534.99609375</v>
      </c>
      <c r="N161" s="76">
        <v>8667.4599609375</v>
      </c>
      <c r="O161" s="77"/>
      <c r="P161" s="78"/>
      <c r="Q161" s="78"/>
      <c r="R161" s="88"/>
      <c r="S161" s="49">
        <v>0</v>
      </c>
      <c r="T161" s="49">
        <v>1</v>
      </c>
      <c r="U161" s="50">
        <v>0</v>
      </c>
      <c r="V161" s="50">
        <v>0.177728</v>
      </c>
      <c r="W161" s="50">
        <v>0.049759</v>
      </c>
      <c r="X161" s="50">
        <v>0.001579</v>
      </c>
      <c r="Y161" s="50">
        <v>0</v>
      </c>
      <c r="Z161" s="50">
        <v>0</v>
      </c>
      <c r="AA161" s="73">
        <v>161</v>
      </c>
      <c r="AB161" s="73"/>
      <c r="AC161" s="74"/>
      <c r="AD161" s="81" t="s">
        <v>1455</v>
      </c>
      <c r="AE161" s="81"/>
      <c r="AF161" s="81"/>
      <c r="AG161" s="81"/>
      <c r="AH161" s="81"/>
      <c r="AI161" s="81" t="s">
        <v>2177</v>
      </c>
      <c r="AJ161" s="85">
        <v>40851.57116898148</v>
      </c>
      <c r="AK161" s="83" t="str">
        <f>HYPERLINK("https://yt3.ggpht.com/ytc/AOPolaQxlZtnRaIdUiLWfxUOImVUj0zxN7NzzDkABA=s88-c-k-c0x00ffffff-no-rj")</f>
        <v>https://yt3.ggpht.com/ytc/AOPolaQxlZtnRaIdUiLWfxUOImVUj0zxN7NzzDkABA=s88-c-k-c0x00ffffff-no-rj</v>
      </c>
      <c r="AL161" s="81">
        <v>388</v>
      </c>
      <c r="AM161" s="81">
        <v>0</v>
      </c>
      <c r="AN161" s="81">
        <v>0</v>
      </c>
      <c r="AO161" s="81" t="b">
        <v>0</v>
      </c>
      <c r="AP161" s="81">
        <v>3</v>
      </c>
      <c r="AQ161" s="81"/>
      <c r="AR161" s="81"/>
      <c r="AS161" s="81" t="s">
        <v>2571</v>
      </c>
      <c r="AT161" s="83" t="str">
        <f>HYPERLINK("https://www.youtube.com/channel/UCd84Cl8Z8dxhXKRX9ceOhKQ")</f>
        <v>https://www.youtube.com/channel/UCd84Cl8Z8dxhXKRX9ceOhKQ</v>
      </c>
      <c r="AU161" s="81">
        <v>1</v>
      </c>
      <c r="AV161" s="49">
        <v>0</v>
      </c>
      <c r="AW161" s="50">
        <v>0</v>
      </c>
      <c r="AX161" s="49">
        <v>1</v>
      </c>
      <c r="AY161" s="50">
        <v>2.3255813953488373</v>
      </c>
      <c r="AZ161" s="49">
        <v>0</v>
      </c>
      <c r="BA161" s="50">
        <v>0</v>
      </c>
      <c r="BB161" s="49">
        <v>16</v>
      </c>
      <c r="BC161" s="50">
        <v>37.2093023255814</v>
      </c>
      <c r="BD161" s="49">
        <v>43</v>
      </c>
      <c r="BE161" s="49"/>
      <c r="BF161" s="49"/>
      <c r="BG161" s="49"/>
      <c r="BH161" s="49"/>
      <c r="BI161" s="49"/>
      <c r="BJ161" s="49"/>
      <c r="BK161" s="115" t="s">
        <v>2705</v>
      </c>
      <c r="BL161" s="115" t="s">
        <v>2705</v>
      </c>
      <c r="BM161" s="115" t="s">
        <v>3176</v>
      </c>
      <c r="BN161" s="115" t="s">
        <v>3176</v>
      </c>
      <c r="BO161" s="2"/>
      <c r="BP161" s="3"/>
      <c r="BQ161" s="3"/>
      <c r="BR161" s="3"/>
      <c r="BS161" s="3"/>
    </row>
    <row r="162" spans="1:71" ht="15">
      <c r="A162" s="66" t="s">
        <v>380</v>
      </c>
      <c r="B162" s="67"/>
      <c r="C162" s="67"/>
      <c r="D162" s="68">
        <v>150</v>
      </c>
      <c r="E162" s="70"/>
      <c r="F162" s="102" t="str">
        <f>HYPERLINK("https://yt3.ggpht.com/ytc/AOPolaRsZUtzGh7_s5noMiDs8Cvx1DNYFaHTt3OBeQ=s88-c-k-c0x00ffffff-no-rj")</f>
        <v>https://yt3.ggpht.com/ytc/AOPolaRsZUtzGh7_s5noMiDs8Cvx1DNYFaHTt3OBeQ=s88-c-k-c0x00ffffff-no-rj</v>
      </c>
      <c r="G162" s="67"/>
      <c r="H162" s="71" t="s">
        <v>1456</v>
      </c>
      <c r="I162" s="72"/>
      <c r="J162" s="72" t="s">
        <v>159</v>
      </c>
      <c r="K162" s="71" t="s">
        <v>1456</v>
      </c>
      <c r="L162" s="75">
        <v>1</v>
      </c>
      <c r="M162" s="76">
        <v>2358.179443359375</v>
      </c>
      <c r="N162" s="76">
        <v>4649.75732421875</v>
      </c>
      <c r="O162" s="77"/>
      <c r="P162" s="78"/>
      <c r="Q162" s="78"/>
      <c r="R162" s="88"/>
      <c r="S162" s="49">
        <v>0</v>
      </c>
      <c r="T162" s="49">
        <v>1</v>
      </c>
      <c r="U162" s="50">
        <v>0</v>
      </c>
      <c r="V162" s="50">
        <v>0.177728</v>
      </c>
      <c r="W162" s="50">
        <v>0.049759</v>
      </c>
      <c r="X162" s="50">
        <v>0.001579</v>
      </c>
      <c r="Y162" s="50">
        <v>0</v>
      </c>
      <c r="Z162" s="50">
        <v>0</v>
      </c>
      <c r="AA162" s="73">
        <v>162</v>
      </c>
      <c r="AB162" s="73"/>
      <c r="AC162" s="74"/>
      <c r="AD162" s="81" t="s">
        <v>1456</v>
      </c>
      <c r="AE162" s="81"/>
      <c r="AF162" s="81"/>
      <c r="AG162" s="81"/>
      <c r="AH162" s="81"/>
      <c r="AI162" s="81" t="s">
        <v>2178</v>
      </c>
      <c r="AJ162" s="85">
        <v>41235.18792824074</v>
      </c>
      <c r="AK162" s="83" t="str">
        <f>HYPERLINK("https://yt3.ggpht.com/ytc/AOPolaRsZUtzGh7_s5noMiDs8Cvx1DNYFaHTt3OBeQ=s88-c-k-c0x00ffffff-no-rj")</f>
        <v>https://yt3.ggpht.com/ytc/AOPolaRsZUtzGh7_s5noMiDs8Cvx1DNYFaHTt3OBeQ=s88-c-k-c0x00ffffff-no-rj</v>
      </c>
      <c r="AL162" s="81">
        <v>0</v>
      </c>
      <c r="AM162" s="81">
        <v>0</v>
      </c>
      <c r="AN162" s="81">
        <v>0</v>
      </c>
      <c r="AO162" s="81" t="b">
        <v>0</v>
      </c>
      <c r="AP162" s="81">
        <v>0</v>
      </c>
      <c r="AQ162" s="81"/>
      <c r="AR162" s="81"/>
      <c r="AS162" s="81" t="s">
        <v>2571</v>
      </c>
      <c r="AT162" s="83" t="str">
        <f>HYPERLINK("https://www.youtube.com/channel/UCrANgyLqYRfPbry0DiDoTxg")</f>
        <v>https://www.youtube.com/channel/UCrANgyLqYRfPbry0DiDoTxg</v>
      </c>
      <c r="AU162" s="81">
        <v>1</v>
      </c>
      <c r="AV162" s="49">
        <v>1</v>
      </c>
      <c r="AW162" s="50">
        <v>4.3478260869565215</v>
      </c>
      <c r="AX162" s="49">
        <v>1</v>
      </c>
      <c r="AY162" s="50">
        <v>4.3478260869565215</v>
      </c>
      <c r="AZ162" s="49">
        <v>0</v>
      </c>
      <c r="BA162" s="50">
        <v>0</v>
      </c>
      <c r="BB162" s="49">
        <v>4</v>
      </c>
      <c r="BC162" s="50">
        <v>17.391304347826086</v>
      </c>
      <c r="BD162" s="49">
        <v>23</v>
      </c>
      <c r="BE162" s="49"/>
      <c r="BF162" s="49"/>
      <c r="BG162" s="49"/>
      <c r="BH162" s="49"/>
      <c r="BI162" s="49"/>
      <c r="BJ162" s="49"/>
      <c r="BK162" s="115" t="s">
        <v>2706</v>
      </c>
      <c r="BL162" s="115" t="s">
        <v>2706</v>
      </c>
      <c r="BM162" s="115" t="s">
        <v>3177</v>
      </c>
      <c r="BN162" s="115" t="s">
        <v>3177</v>
      </c>
      <c r="BO162" s="2"/>
      <c r="BP162" s="3"/>
      <c r="BQ162" s="3"/>
      <c r="BR162" s="3"/>
      <c r="BS162" s="3"/>
    </row>
    <row r="163" spans="1:71" ht="15">
      <c r="A163" s="66" t="s">
        <v>381</v>
      </c>
      <c r="B163" s="67"/>
      <c r="C163" s="67"/>
      <c r="D163" s="68">
        <v>150</v>
      </c>
      <c r="E163" s="70"/>
      <c r="F163" s="102" t="str">
        <f>HYPERLINK("https://yt3.ggpht.com/ytc/AOPolaTeJbe8QU7192OYdFq8Wzn3AmHsvSW1SUGr8R_4UzUI6HO_ZtcBaU_lXXLrJw0-=s88-c-k-c0x00ffffff-no-rj")</f>
        <v>https://yt3.ggpht.com/ytc/AOPolaTeJbe8QU7192OYdFq8Wzn3AmHsvSW1SUGr8R_4UzUI6HO_ZtcBaU_lXXLrJw0-=s88-c-k-c0x00ffffff-no-rj</v>
      </c>
      <c r="G163" s="67"/>
      <c r="H163" s="71" t="s">
        <v>1457</v>
      </c>
      <c r="I163" s="72"/>
      <c r="J163" s="72" t="s">
        <v>159</v>
      </c>
      <c r="K163" s="71" t="s">
        <v>1457</v>
      </c>
      <c r="L163" s="75">
        <v>1</v>
      </c>
      <c r="M163" s="76">
        <v>3026.5673828125</v>
      </c>
      <c r="N163" s="76">
        <v>6918.90576171875</v>
      </c>
      <c r="O163" s="77"/>
      <c r="P163" s="78"/>
      <c r="Q163" s="78"/>
      <c r="R163" s="88"/>
      <c r="S163" s="49">
        <v>0</v>
      </c>
      <c r="T163" s="49">
        <v>1</v>
      </c>
      <c r="U163" s="50">
        <v>0</v>
      </c>
      <c r="V163" s="50">
        <v>0.177728</v>
      </c>
      <c r="W163" s="50">
        <v>0.049759</v>
      </c>
      <c r="X163" s="50">
        <v>0.001579</v>
      </c>
      <c r="Y163" s="50">
        <v>0</v>
      </c>
      <c r="Z163" s="50">
        <v>0</v>
      </c>
      <c r="AA163" s="73">
        <v>163</v>
      </c>
      <c r="AB163" s="73"/>
      <c r="AC163" s="74"/>
      <c r="AD163" s="81" t="s">
        <v>1457</v>
      </c>
      <c r="AE163" s="81"/>
      <c r="AF163" s="81"/>
      <c r="AG163" s="81"/>
      <c r="AH163" s="81"/>
      <c r="AI163" s="81" t="s">
        <v>2179</v>
      </c>
      <c r="AJ163" s="85">
        <v>41534.49153935185</v>
      </c>
      <c r="AK163" s="83" t="str">
        <f>HYPERLINK("https://yt3.ggpht.com/ytc/AOPolaTeJbe8QU7192OYdFq8Wzn3AmHsvSW1SUGr8R_4UzUI6HO_ZtcBaU_lXXLrJw0-=s88-c-k-c0x00ffffff-no-rj")</f>
        <v>https://yt3.ggpht.com/ytc/AOPolaTeJbe8QU7192OYdFq8Wzn3AmHsvSW1SUGr8R_4UzUI6HO_ZtcBaU_lXXLrJw0-=s88-c-k-c0x00ffffff-no-rj</v>
      </c>
      <c r="AL163" s="81">
        <v>0</v>
      </c>
      <c r="AM163" s="81">
        <v>0</v>
      </c>
      <c r="AN163" s="81">
        <v>8</v>
      </c>
      <c r="AO163" s="81" t="b">
        <v>0</v>
      </c>
      <c r="AP163" s="81">
        <v>0</v>
      </c>
      <c r="AQ163" s="81"/>
      <c r="AR163" s="81"/>
      <c r="AS163" s="81" t="s">
        <v>2571</v>
      </c>
      <c r="AT163" s="83" t="str">
        <f>HYPERLINK("https://www.youtube.com/channel/UCNBo-bOgof5vo_OkK-LHaIg")</f>
        <v>https://www.youtube.com/channel/UCNBo-bOgof5vo_OkK-LHaIg</v>
      </c>
      <c r="AU163" s="81">
        <v>1</v>
      </c>
      <c r="AV163" s="49">
        <v>0</v>
      </c>
      <c r="AW163" s="50">
        <v>0</v>
      </c>
      <c r="AX163" s="49">
        <v>1</v>
      </c>
      <c r="AY163" s="50">
        <v>7.142857142857143</v>
      </c>
      <c r="AZ163" s="49">
        <v>0</v>
      </c>
      <c r="BA163" s="50">
        <v>0</v>
      </c>
      <c r="BB163" s="49">
        <v>4</v>
      </c>
      <c r="BC163" s="50">
        <v>28.571428571428573</v>
      </c>
      <c r="BD163" s="49">
        <v>14</v>
      </c>
      <c r="BE163" s="49"/>
      <c r="BF163" s="49"/>
      <c r="BG163" s="49"/>
      <c r="BH163" s="49"/>
      <c r="BI163" s="49"/>
      <c r="BJ163" s="49"/>
      <c r="BK163" s="115" t="s">
        <v>2707</v>
      </c>
      <c r="BL163" s="115" t="s">
        <v>2707</v>
      </c>
      <c r="BM163" s="115" t="s">
        <v>3178</v>
      </c>
      <c r="BN163" s="115" t="s">
        <v>3178</v>
      </c>
      <c r="BO163" s="2"/>
      <c r="BP163" s="3"/>
      <c r="BQ163" s="3"/>
      <c r="BR163" s="3"/>
      <c r="BS163" s="3"/>
    </row>
    <row r="164" spans="1:71" ht="15">
      <c r="A164" s="66" t="s">
        <v>382</v>
      </c>
      <c r="B164" s="67"/>
      <c r="C164" s="67"/>
      <c r="D164" s="68">
        <v>150</v>
      </c>
      <c r="E164" s="70"/>
      <c r="F164" s="102" t="str">
        <f>HYPERLINK("https://yt3.ggpht.com/Yz3auiX0kWu2VBIGYTL9CNo0dG7-IqNz2_qJVZ0nN1FltxCYQFkh-8Ah0FIp5zRqLwvPY108SQ=s88-c-k-c0x00ffffff-no-rj")</f>
        <v>https://yt3.ggpht.com/Yz3auiX0kWu2VBIGYTL9CNo0dG7-IqNz2_qJVZ0nN1FltxCYQFkh-8Ah0FIp5zRqLwvPY108SQ=s88-c-k-c0x00ffffff-no-rj</v>
      </c>
      <c r="G164" s="67"/>
      <c r="H164" s="71" t="s">
        <v>1458</v>
      </c>
      <c r="I164" s="72"/>
      <c r="J164" s="72" t="s">
        <v>159</v>
      </c>
      <c r="K164" s="71" t="s">
        <v>1458</v>
      </c>
      <c r="L164" s="75">
        <v>1</v>
      </c>
      <c r="M164" s="76">
        <v>1566.0621337890625</v>
      </c>
      <c r="N164" s="76">
        <v>5022.87548828125</v>
      </c>
      <c r="O164" s="77"/>
      <c r="P164" s="78"/>
      <c r="Q164" s="78"/>
      <c r="R164" s="88"/>
      <c r="S164" s="49">
        <v>0</v>
      </c>
      <c r="T164" s="49">
        <v>1</v>
      </c>
      <c r="U164" s="50">
        <v>0</v>
      </c>
      <c r="V164" s="50">
        <v>0.177728</v>
      </c>
      <c r="W164" s="50">
        <v>0.049759</v>
      </c>
      <c r="X164" s="50">
        <v>0.001579</v>
      </c>
      <c r="Y164" s="50">
        <v>0</v>
      </c>
      <c r="Z164" s="50">
        <v>0</v>
      </c>
      <c r="AA164" s="73">
        <v>164</v>
      </c>
      <c r="AB164" s="73"/>
      <c r="AC164" s="74"/>
      <c r="AD164" s="81" t="s">
        <v>1458</v>
      </c>
      <c r="AE164" s="81"/>
      <c r="AF164" s="81"/>
      <c r="AG164" s="81"/>
      <c r="AH164" s="81"/>
      <c r="AI164" s="81" t="s">
        <v>2180</v>
      </c>
      <c r="AJ164" s="85">
        <v>41559.165659722225</v>
      </c>
      <c r="AK164" s="83" t="str">
        <f>HYPERLINK("https://yt3.ggpht.com/Yz3auiX0kWu2VBIGYTL9CNo0dG7-IqNz2_qJVZ0nN1FltxCYQFkh-8Ah0FIp5zRqLwvPY108SQ=s88-c-k-c0x00ffffff-no-rj")</f>
        <v>https://yt3.ggpht.com/Yz3auiX0kWu2VBIGYTL9CNo0dG7-IqNz2_qJVZ0nN1FltxCYQFkh-8Ah0FIp5zRqLwvPY108SQ=s88-c-k-c0x00ffffff-no-rj</v>
      </c>
      <c r="AL164" s="81">
        <v>0</v>
      </c>
      <c r="AM164" s="81">
        <v>0</v>
      </c>
      <c r="AN164" s="81">
        <v>0</v>
      </c>
      <c r="AO164" s="81" t="b">
        <v>0</v>
      </c>
      <c r="AP164" s="81">
        <v>0</v>
      </c>
      <c r="AQ164" s="81"/>
      <c r="AR164" s="81"/>
      <c r="AS164" s="81" t="s">
        <v>2571</v>
      </c>
      <c r="AT164" s="83" t="str">
        <f>HYPERLINK("https://www.youtube.com/channel/UCX-Url-9n7mDN88jekr09fA")</f>
        <v>https://www.youtube.com/channel/UCX-Url-9n7mDN88jekr09fA</v>
      </c>
      <c r="AU164" s="81">
        <v>1</v>
      </c>
      <c r="AV164" s="49">
        <v>0</v>
      </c>
      <c r="AW164" s="50">
        <v>0</v>
      </c>
      <c r="AX164" s="49">
        <v>0</v>
      </c>
      <c r="AY164" s="50">
        <v>0</v>
      </c>
      <c r="AZ164" s="49">
        <v>0</v>
      </c>
      <c r="BA164" s="50">
        <v>0</v>
      </c>
      <c r="BB164" s="49">
        <v>4</v>
      </c>
      <c r="BC164" s="50">
        <v>50</v>
      </c>
      <c r="BD164" s="49">
        <v>8</v>
      </c>
      <c r="BE164" s="49"/>
      <c r="BF164" s="49"/>
      <c r="BG164" s="49"/>
      <c r="BH164" s="49"/>
      <c r="BI164" s="49"/>
      <c r="BJ164" s="49"/>
      <c r="BK164" s="115" t="s">
        <v>2708</v>
      </c>
      <c r="BL164" s="115" t="s">
        <v>2708</v>
      </c>
      <c r="BM164" s="115" t="s">
        <v>3179</v>
      </c>
      <c r="BN164" s="115" t="s">
        <v>3179</v>
      </c>
      <c r="BO164" s="2"/>
      <c r="BP164" s="3"/>
      <c r="BQ164" s="3"/>
      <c r="BR164" s="3"/>
      <c r="BS164" s="3"/>
    </row>
    <row r="165" spans="1:71" ht="15">
      <c r="A165" s="66" t="s">
        <v>383</v>
      </c>
      <c r="B165" s="67"/>
      <c r="C165" s="67"/>
      <c r="D165" s="68">
        <v>150</v>
      </c>
      <c r="E165" s="70"/>
      <c r="F165" s="102" t="str">
        <f>HYPERLINK("https://yt3.ggpht.com/ytc/AOPolaTp7ZcPqNs1J5JRsB3x1O-zBK6-ZX1Fb24Mrg=s88-c-k-c0x00ffffff-no-rj")</f>
        <v>https://yt3.ggpht.com/ytc/AOPolaTp7ZcPqNs1J5JRsB3x1O-zBK6-ZX1Fb24Mrg=s88-c-k-c0x00ffffff-no-rj</v>
      </c>
      <c r="G165" s="67"/>
      <c r="H165" s="71" t="s">
        <v>1459</v>
      </c>
      <c r="I165" s="72"/>
      <c r="J165" s="72" t="s">
        <v>159</v>
      </c>
      <c r="K165" s="71" t="s">
        <v>1459</v>
      </c>
      <c r="L165" s="75">
        <v>1</v>
      </c>
      <c r="M165" s="76">
        <v>1961.1773681640625</v>
      </c>
      <c r="N165" s="76">
        <v>7911.5888671875</v>
      </c>
      <c r="O165" s="77"/>
      <c r="P165" s="78"/>
      <c r="Q165" s="78"/>
      <c r="R165" s="88"/>
      <c r="S165" s="49">
        <v>0</v>
      </c>
      <c r="T165" s="49">
        <v>1</v>
      </c>
      <c r="U165" s="50">
        <v>0</v>
      </c>
      <c r="V165" s="50">
        <v>0.177728</v>
      </c>
      <c r="W165" s="50">
        <v>0.049759</v>
      </c>
      <c r="X165" s="50">
        <v>0.001579</v>
      </c>
      <c r="Y165" s="50">
        <v>0</v>
      </c>
      <c r="Z165" s="50">
        <v>0</v>
      </c>
      <c r="AA165" s="73">
        <v>165</v>
      </c>
      <c r="AB165" s="73"/>
      <c r="AC165" s="74"/>
      <c r="AD165" s="81" t="s">
        <v>1459</v>
      </c>
      <c r="AE165" s="81"/>
      <c r="AF165" s="81"/>
      <c r="AG165" s="81"/>
      <c r="AH165" s="81"/>
      <c r="AI165" s="81" t="s">
        <v>2181</v>
      </c>
      <c r="AJ165" s="85">
        <v>42416.94513888889</v>
      </c>
      <c r="AK165" s="83" t="str">
        <f>HYPERLINK("https://yt3.ggpht.com/ytc/AOPolaTp7ZcPqNs1J5JRsB3x1O-zBK6-ZX1Fb24Mrg=s88-c-k-c0x00ffffff-no-rj")</f>
        <v>https://yt3.ggpht.com/ytc/AOPolaTp7ZcPqNs1J5JRsB3x1O-zBK6-ZX1Fb24Mrg=s88-c-k-c0x00ffffff-no-rj</v>
      </c>
      <c r="AL165" s="81">
        <v>0</v>
      </c>
      <c r="AM165" s="81">
        <v>0</v>
      </c>
      <c r="AN165" s="81">
        <v>0</v>
      </c>
      <c r="AO165" s="81" t="b">
        <v>0</v>
      </c>
      <c r="AP165" s="81">
        <v>0</v>
      </c>
      <c r="AQ165" s="81"/>
      <c r="AR165" s="81"/>
      <c r="AS165" s="81" t="s">
        <v>2571</v>
      </c>
      <c r="AT165" s="83" t="str">
        <f>HYPERLINK("https://www.youtube.com/channel/UCh0Zo4MPNjxmXXbb814456Q")</f>
        <v>https://www.youtube.com/channel/UCh0Zo4MPNjxmXXbb814456Q</v>
      </c>
      <c r="AU165" s="81">
        <v>1</v>
      </c>
      <c r="AV165" s="49">
        <v>0</v>
      </c>
      <c r="AW165" s="50">
        <v>0</v>
      </c>
      <c r="AX165" s="49">
        <v>1</v>
      </c>
      <c r="AY165" s="50">
        <v>6.25</v>
      </c>
      <c r="AZ165" s="49">
        <v>0</v>
      </c>
      <c r="BA165" s="50">
        <v>0</v>
      </c>
      <c r="BB165" s="49">
        <v>7</v>
      </c>
      <c r="BC165" s="50">
        <v>43.75</v>
      </c>
      <c r="BD165" s="49">
        <v>16</v>
      </c>
      <c r="BE165" s="49"/>
      <c r="BF165" s="49"/>
      <c r="BG165" s="49"/>
      <c r="BH165" s="49"/>
      <c r="BI165" s="49"/>
      <c r="BJ165" s="49"/>
      <c r="BK165" s="115" t="s">
        <v>2709</v>
      </c>
      <c r="BL165" s="115" t="s">
        <v>2709</v>
      </c>
      <c r="BM165" s="115" t="s">
        <v>3180</v>
      </c>
      <c r="BN165" s="115" t="s">
        <v>3180</v>
      </c>
      <c r="BO165" s="2"/>
      <c r="BP165" s="3"/>
      <c r="BQ165" s="3"/>
      <c r="BR165" s="3"/>
      <c r="BS165" s="3"/>
    </row>
    <row r="166" spans="1:71" ht="15">
      <c r="A166" s="66" t="s">
        <v>384</v>
      </c>
      <c r="B166" s="67"/>
      <c r="C166" s="67"/>
      <c r="D166" s="68">
        <v>150</v>
      </c>
      <c r="E166" s="70"/>
      <c r="F166" s="102" t="str">
        <f>HYPERLINK("https://yt3.ggpht.com/ytc/AOPolaRVFQGJT9eKNaLhjCo6F7G9Vk9ejN8w0ox9Cg=s88-c-k-c0x00ffffff-no-rj")</f>
        <v>https://yt3.ggpht.com/ytc/AOPolaRVFQGJT9eKNaLhjCo6F7G9Vk9ejN8w0ox9Cg=s88-c-k-c0x00ffffff-no-rj</v>
      </c>
      <c r="G166" s="67"/>
      <c r="H166" s="71" t="s">
        <v>1460</v>
      </c>
      <c r="I166" s="72"/>
      <c r="J166" s="72" t="s">
        <v>159</v>
      </c>
      <c r="K166" s="71" t="s">
        <v>1460</v>
      </c>
      <c r="L166" s="75">
        <v>1</v>
      </c>
      <c r="M166" s="76">
        <v>5369.095703125</v>
      </c>
      <c r="N166" s="76">
        <v>8699.703125</v>
      </c>
      <c r="O166" s="77"/>
      <c r="P166" s="78"/>
      <c r="Q166" s="78"/>
      <c r="R166" s="88"/>
      <c r="S166" s="49">
        <v>0</v>
      </c>
      <c r="T166" s="49">
        <v>1</v>
      </c>
      <c r="U166" s="50">
        <v>0</v>
      </c>
      <c r="V166" s="50">
        <v>0.177728</v>
      </c>
      <c r="W166" s="50">
        <v>0.049759</v>
      </c>
      <c r="X166" s="50">
        <v>0.001579</v>
      </c>
      <c r="Y166" s="50">
        <v>0</v>
      </c>
      <c r="Z166" s="50">
        <v>0</v>
      </c>
      <c r="AA166" s="73">
        <v>166</v>
      </c>
      <c r="AB166" s="73"/>
      <c r="AC166" s="74"/>
      <c r="AD166" s="81" t="s">
        <v>1460</v>
      </c>
      <c r="AE166" s="81"/>
      <c r="AF166" s="81"/>
      <c r="AG166" s="81"/>
      <c r="AH166" s="81"/>
      <c r="AI166" s="81" t="s">
        <v>2182</v>
      </c>
      <c r="AJ166" s="85">
        <v>41034.16777777778</v>
      </c>
      <c r="AK166" s="83" t="str">
        <f>HYPERLINK("https://yt3.ggpht.com/ytc/AOPolaRVFQGJT9eKNaLhjCo6F7G9Vk9ejN8w0ox9Cg=s88-c-k-c0x00ffffff-no-rj")</f>
        <v>https://yt3.ggpht.com/ytc/AOPolaRVFQGJT9eKNaLhjCo6F7G9Vk9ejN8w0ox9Cg=s88-c-k-c0x00ffffff-no-rj</v>
      </c>
      <c r="AL166" s="81">
        <v>0</v>
      </c>
      <c r="AM166" s="81">
        <v>0</v>
      </c>
      <c r="AN166" s="81">
        <v>0</v>
      </c>
      <c r="AO166" s="81" t="b">
        <v>0</v>
      </c>
      <c r="AP166" s="81">
        <v>0</v>
      </c>
      <c r="AQ166" s="81"/>
      <c r="AR166" s="81"/>
      <c r="AS166" s="81" t="s">
        <v>2571</v>
      </c>
      <c r="AT166" s="83" t="str">
        <f>HYPERLINK("https://www.youtube.com/channel/UCgQHGo1Zo4xg1mgIVgGGsvQ")</f>
        <v>https://www.youtube.com/channel/UCgQHGo1Zo4xg1mgIVgGGsvQ</v>
      </c>
      <c r="AU166" s="81">
        <v>1</v>
      </c>
      <c r="AV166" s="49">
        <v>0</v>
      </c>
      <c r="AW166" s="50">
        <v>0</v>
      </c>
      <c r="AX166" s="49">
        <v>1</v>
      </c>
      <c r="AY166" s="50">
        <v>4.761904761904762</v>
      </c>
      <c r="AZ166" s="49">
        <v>0</v>
      </c>
      <c r="BA166" s="50">
        <v>0</v>
      </c>
      <c r="BB166" s="49">
        <v>8</v>
      </c>
      <c r="BC166" s="50">
        <v>38.095238095238095</v>
      </c>
      <c r="BD166" s="49">
        <v>21</v>
      </c>
      <c r="BE166" s="49"/>
      <c r="BF166" s="49"/>
      <c r="BG166" s="49"/>
      <c r="BH166" s="49"/>
      <c r="BI166" s="49"/>
      <c r="BJ166" s="49"/>
      <c r="BK166" s="115" t="s">
        <v>2710</v>
      </c>
      <c r="BL166" s="115" t="s">
        <v>2710</v>
      </c>
      <c r="BM166" s="115" t="s">
        <v>3181</v>
      </c>
      <c r="BN166" s="115" t="s">
        <v>3181</v>
      </c>
      <c r="BO166" s="2"/>
      <c r="BP166" s="3"/>
      <c r="BQ166" s="3"/>
      <c r="BR166" s="3"/>
      <c r="BS166" s="3"/>
    </row>
    <row r="167" spans="1:71" ht="15">
      <c r="A167" s="66" t="s">
        <v>385</v>
      </c>
      <c r="B167" s="67"/>
      <c r="C167" s="67"/>
      <c r="D167" s="68">
        <v>150</v>
      </c>
      <c r="E167" s="70"/>
      <c r="F167" s="102" t="str">
        <f>HYPERLINK("https://yt3.ggpht.com/ytc/AOPolaTU-11MF60qKoH-4cX4TiBvFRpajJVQnL6Wd8hmVAkIRw=s88-c-k-c0x00ffffff-no-rj")</f>
        <v>https://yt3.ggpht.com/ytc/AOPolaTU-11MF60qKoH-4cX4TiBvFRpajJVQnL6Wd8hmVAkIRw=s88-c-k-c0x00ffffff-no-rj</v>
      </c>
      <c r="G167" s="67"/>
      <c r="H167" s="71" t="s">
        <v>1461</v>
      </c>
      <c r="I167" s="72"/>
      <c r="J167" s="72" t="s">
        <v>159</v>
      </c>
      <c r="K167" s="71" t="s">
        <v>1461</v>
      </c>
      <c r="L167" s="75">
        <v>1</v>
      </c>
      <c r="M167" s="76">
        <v>3323.360107421875</v>
      </c>
      <c r="N167" s="76">
        <v>4488.095703125</v>
      </c>
      <c r="O167" s="77"/>
      <c r="P167" s="78"/>
      <c r="Q167" s="78"/>
      <c r="R167" s="88"/>
      <c r="S167" s="49">
        <v>0</v>
      </c>
      <c r="T167" s="49">
        <v>1</v>
      </c>
      <c r="U167" s="50">
        <v>0</v>
      </c>
      <c r="V167" s="50">
        <v>0.177728</v>
      </c>
      <c r="W167" s="50">
        <v>0.049759</v>
      </c>
      <c r="X167" s="50">
        <v>0.001579</v>
      </c>
      <c r="Y167" s="50">
        <v>0</v>
      </c>
      <c r="Z167" s="50">
        <v>0</v>
      </c>
      <c r="AA167" s="73">
        <v>167</v>
      </c>
      <c r="AB167" s="73"/>
      <c r="AC167" s="74"/>
      <c r="AD167" s="81" t="s">
        <v>1461</v>
      </c>
      <c r="AE167" s="81"/>
      <c r="AF167" s="81"/>
      <c r="AG167" s="81"/>
      <c r="AH167" s="81"/>
      <c r="AI167" s="81" t="s">
        <v>2183</v>
      </c>
      <c r="AJ167" s="85">
        <v>44534.2596875</v>
      </c>
      <c r="AK167" s="83" t="str">
        <f>HYPERLINK("https://yt3.ggpht.com/ytc/AOPolaTU-11MF60qKoH-4cX4TiBvFRpajJVQnL6Wd8hmVAkIRw=s88-c-k-c0x00ffffff-no-rj")</f>
        <v>https://yt3.ggpht.com/ytc/AOPolaTU-11MF60qKoH-4cX4TiBvFRpajJVQnL6Wd8hmVAkIRw=s88-c-k-c0x00ffffff-no-rj</v>
      </c>
      <c r="AL167" s="81">
        <v>0</v>
      </c>
      <c r="AM167" s="81">
        <v>0</v>
      </c>
      <c r="AN167" s="81">
        <v>0</v>
      </c>
      <c r="AO167" s="81" t="b">
        <v>0</v>
      </c>
      <c r="AP167" s="81">
        <v>0</v>
      </c>
      <c r="AQ167" s="81"/>
      <c r="AR167" s="81"/>
      <c r="AS167" s="81" t="s">
        <v>2571</v>
      </c>
      <c r="AT167" s="83" t="str">
        <f>HYPERLINK("https://www.youtube.com/channel/UCnpwxRBx5BKt4muZnjrwMog")</f>
        <v>https://www.youtube.com/channel/UCnpwxRBx5BKt4muZnjrwMog</v>
      </c>
      <c r="AU167" s="81">
        <v>1</v>
      </c>
      <c r="AV167" s="49">
        <v>0</v>
      </c>
      <c r="AW167" s="50">
        <v>0</v>
      </c>
      <c r="AX167" s="49">
        <v>1</v>
      </c>
      <c r="AY167" s="50">
        <v>100</v>
      </c>
      <c r="AZ167" s="49">
        <v>0</v>
      </c>
      <c r="BA167" s="50">
        <v>0</v>
      </c>
      <c r="BB167" s="49">
        <v>0</v>
      </c>
      <c r="BC167" s="50">
        <v>0</v>
      </c>
      <c r="BD167" s="49">
        <v>1</v>
      </c>
      <c r="BE167" s="49"/>
      <c r="BF167" s="49"/>
      <c r="BG167" s="49"/>
      <c r="BH167" s="49"/>
      <c r="BI167" s="49"/>
      <c r="BJ167" s="49"/>
      <c r="BK167" s="115" t="s">
        <v>2711</v>
      </c>
      <c r="BL167" s="115" t="s">
        <v>2711</v>
      </c>
      <c r="BM167" s="115" t="s">
        <v>4477</v>
      </c>
      <c r="BN167" s="115" t="s">
        <v>4477</v>
      </c>
      <c r="BO167" s="2"/>
      <c r="BP167" s="3"/>
      <c r="BQ167" s="3"/>
      <c r="BR167" s="3"/>
      <c r="BS167" s="3"/>
    </row>
    <row r="168" spans="1:71" ht="15">
      <c r="A168" s="66" t="s">
        <v>386</v>
      </c>
      <c r="B168" s="67"/>
      <c r="C168" s="67"/>
      <c r="D168" s="68">
        <v>150</v>
      </c>
      <c r="E168" s="70"/>
      <c r="F168" s="102" t="str">
        <f>HYPERLINK("https://yt3.ggpht.com/ytc/AOPolaTJ2s5le5PcRCC5HDUUcaULe528QsTPO27KW4fJAjtNk_NFsPSlE0QmSLqC2Yxj=s88-c-k-c0x00ffffff-no-rj")</f>
        <v>https://yt3.ggpht.com/ytc/AOPolaTJ2s5le5PcRCC5HDUUcaULe528QsTPO27KW4fJAjtNk_NFsPSlE0QmSLqC2Yxj=s88-c-k-c0x00ffffff-no-rj</v>
      </c>
      <c r="G168" s="67"/>
      <c r="H168" s="71" t="s">
        <v>1462</v>
      </c>
      <c r="I168" s="72"/>
      <c r="J168" s="72" t="s">
        <v>159</v>
      </c>
      <c r="K168" s="71" t="s">
        <v>1462</v>
      </c>
      <c r="L168" s="75">
        <v>1</v>
      </c>
      <c r="M168" s="76">
        <v>2899.75537109375</v>
      </c>
      <c r="N168" s="76">
        <v>8923.537109375</v>
      </c>
      <c r="O168" s="77"/>
      <c r="P168" s="78"/>
      <c r="Q168" s="78"/>
      <c r="R168" s="88"/>
      <c r="S168" s="49">
        <v>0</v>
      </c>
      <c r="T168" s="49">
        <v>1</v>
      </c>
      <c r="U168" s="50">
        <v>0</v>
      </c>
      <c r="V168" s="50">
        <v>0.177728</v>
      </c>
      <c r="W168" s="50">
        <v>0.049759</v>
      </c>
      <c r="X168" s="50">
        <v>0.001579</v>
      </c>
      <c r="Y168" s="50">
        <v>0</v>
      </c>
      <c r="Z168" s="50">
        <v>0</v>
      </c>
      <c r="AA168" s="73">
        <v>168</v>
      </c>
      <c r="AB168" s="73"/>
      <c r="AC168" s="74"/>
      <c r="AD168" s="81" t="s">
        <v>1462</v>
      </c>
      <c r="AE168" s="81"/>
      <c r="AF168" s="81"/>
      <c r="AG168" s="81"/>
      <c r="AH168" s="81"/>
      <c r="AI168" s="81" t="s">
        <v>2184</v>
      </c>
      <c r="AJ168" s="85">
        <v>41502.108611111114</v>
      </c>
      <c r="AK168" s="83" t="str">
        <f>HYPERLINK("https://yt3.ggpht.com/ytc/AOPolaTJ2s5le5PcRCC5HDUUcaULe528QsTPO27KW4fJAjtNk_NFsPSlE0QmSLqC2Yxj=s88-c-k-c0x00ffffff-no-rj")</f>
        <v>https://yt3.ggpht.com/ytc/AOPolaTJ2s5le5PcRCC5HDUUcaULe528QsTPO27KW4fJAjtNk_NFsPSlE0QmSLqC2Yxj=s88-c-k-c0x00ffffff-no-rj</v>
      </c>
      <c r="AL168" s="81">
        <v>0</v>
      </c>
      <c r="AM168" s="81">
        <v>0</v>
      </c>
      <c r="AN168" s="81">
        <v>0</v>
      </c>
      <c r="AO168" s="81" t="b">
        <v>0</v>
      </c>
      <c r="AP168" s="81">
        <v>0</v>
      </c>
      <c r="AQ168" s="81"/>
      <c r="AR168" s="81"/>
      <c r="AS168" s="81" t="s">
        <v>2571</v>
      </c>
      <c r="AT168" s="83" t="str">
        <f>HYPERLINK("https://www.youtube.com/channel/UCtLK8wzFh8TDysoKsS4S03w")</f>
        <v>https://www.youtube.com/channel/UCtLK8wzFh8TDysoKsS4S03w</v>
      </c>
      <c r="AU168" s="81">
        <v>1</v>
      </c>
      <c r="AV168" s="49">
        <v>0</v>
      </c>
      <c r="AW168" s="50">
        <v>0</v>
      </c>
      <c r="AX168" s="49">
        <v>1</v>
      </c>
      <c r="AY168" s="50">
        <v>8.333333333333334</v>
      </c>
      <c r="AZ168" s="49">
        <v>0</v>
      </c>
      <c r="BA168" s="50">
        <v>0</v>
      </c>
      <c r="BB168" s="49">
        <v>5</v>
      </c>
      <c r="BC168" s="50">
        <v>41.666666666666664</v>
      </c>
      <c r="BD168" s="49">
        <v>12</v>
      </c>
      <c r="BE168" s="49"/>
      <c r="BF168" s="49"/>
      <c r="BG168" s="49"/>
      <c r="BH168" s="49"/>
      <c r="BI168" s="49"/>
      <c r="BJ168" s="49"/>
      <c r="BK168" s="115" t="s">
        <v>2712</v>
      </c>
      <c r="BL168" s="115" t="s">
        <v>2712</v>
      </c>
      <c r="BM168" s="115" t="s">
        <v>3182</v>
      </c>
      <c r="BN168" s="115" t="s">
        <v>3182</v>
      </c>
      <c r="BO168" s="2"/>
      <c r="BP168" s="3"/>
      <c r="BQ168" s="3"/>
      <c r="BR168" s="3"/>
      <c r="BS168" s="3"/>
    </row>
    <row r="169" spans="1:71" ht="15">
      <c r="A169" s="66" t="s">
        <v>387</v>
      </c>
      <c r="B169" s="67"/>
      <c r="C169" s="67"/>
      <c r="D169" s="68">
        <v>150</v>
      </c>
      <c r="E169" s="70"/>
      <c r="F169" s="102" t="str">
        <f>HYPERLINK("https://yt3.ggpht.com/jfs0ePC8VLc94MXSlX-2dj8cQbeherF9CGxely9JSuizQEN8qojOCTC4VGOU2EK2qbkBnvAd=s88-c-k-c0x00ffffff-no-rj")</f>
        <v>https://yt3.ggpht.com/jfs0ePC8VLc94MXSlX-2dj8cQbeherF9CGxely9JSuizQEN8qojOCTC4VGOU2EK2qbkBnvAd=s88-c-k-c0x00ffffff-no-rj</v>
      </c>
      <c r="G169" s="67"/>
      <c r="H169" s="71" t="s">
        <v>1463</v>
      </c>
      <c r="I169" s="72"/>
      <c r="J169" s="72" t="s">
        <v>159</v>
      </c>
      <c r="K169" s="71" t="s">
        <v>1463</v>
      </c>
      <c r="L169" s="75">
        <v>1</v>
      </c>
      <c r="M169" s="76">
        <v>4588.8212890625</v>
      </c>
      <c r="N169" s="76">
        <v>9431.9150390625</v>
      </c>
      <c r="O169" s="77"/>
      <c r="P169" s="78"/>
      <c r="Q169" s="78"/>
      <c r="R169" s="88"/>
      <c r="S169" s="49">
        <v>0</v>
      </c>
      <c r="T169" s="49">
        <v>1</v>
      </c>
      <c r="U169" s="50">
        <v>0</v>
      </c>
      <c r="V169" s="50">
        <v>0.177728</v>
      </c>
      <c r="W169" s="50">
        <v>0.049759</v>
      </c>
      <c r="X169" s="50">
        <v>0.001579</v>
      </c>
      <c r="Y169" s="50">
        <v>0</v>
      </c>
      <c r="Z169" s="50">
        <v>0</v>
      </c>
      <c r="AA169" s="73">
        <v>169</v>
      </c>
      <c r="AB169" s="73"/>
      <c r="AC169" s="74"/>
      <c r="AD169" s="81" t="s">
        <v>1463</v>
      </c>
      <c r="AE169" s="81"/>
      <c r="AF169" s="81"/>
      <c r="AG169" s="81"/>
      <c r="AH169" s="81"/>
      <c r="AI169" s="81" t="s">
        <v>2185</v>
      </c>
      <c r="AJ169" s="85">
        <v>44603.544895833336</v>
      </c>
      <c r="AK169" s="83" t="str">
        <f>HYPERLINK("https://yt3.ggpht.com/jfs0ePC8VLc94MXSlX-2dj8cQbeherF9CGxely9JSuizQEN8qojOCTC4VGOU2EK2qbkBnvAd=s88-c-k-c0x00ffffff-no-rj")</f>
        <v>https://yt3.ggpht.com/jfs0ePC8VLc94MXSlX-2dj8cQbeherF9CGxely9JSuizQEN8qojOCTC4VGOU2EK2qbkBnvAd=s88-c-k-c0x00ffffff-no-rj</v>
      </c>
      <c r="AL169" s="81">
        <v>0</v>
      </c>
      <c r="AM169" s="81">
        <v>0</v>
      </c>
      <c r="AN169" s="81">
        <v>0</v>
      </c>
      <c r="AO169" s="81" t="b">
        <v>0</v>
      </c>
      <c r="AP169" s="81">
        <v>0</v>
      </c>
      <c r="AQ169" s="81"/>
      <c r="AR169" s="81"/>
      <c r="AS169" s="81" t="s">
        <v>2571</v>
      </c>
      <c r="AT169" s="83" t="str">
        <f>HYPERLINK("https://www.youtube.com/channel/UC0DPaLHRkOHusocxi3t375Q")</f>
        <v>https://www.youtube.com/channel/UC0DPaLHRkOHusocxi3t375Q</v>
      </c>
      <c r="AU169" s="81">
        <v>1</v>
      </c>
      <c r="AV169" s="49">
        <v>4</v>
      </c>
      <c r="AW169" s="50">
        <v>11.11111111111111</v>
      </c>
      <c r="AX169" s="49">
        <v>0</v>
      </c>
      <c r="AY169" s="50">
        <v>0</v>
      </c>
      <c r="AZ169" s="49">
        <v>0</v>
      </c>
      <c r="BA169" s="50">
        <v>0</v>
      </c>
      <c r="BB169" s="49">
        <v>13</v>
      </c>
      <c r="BC169" s="50">
        <v>36.111111111111114</v>
      </c>
      <c r="BD169" s="49">
        <v>36</v>
      </c>
      <c r="BE169" s="49"/>
      <c r="BF169" s="49"/>
      <c r="BG169" s="49"/>
      <c r="BH169" s="49"/>
      <c r="BI169" s="49"/>
      <c r="BJ169" s="49"/>
      <c r="BK169" s="115" t="s">
        <v>2713</v>
      </c>
      <c r="BL169" s="115" t="s">
        <v>2713</v>
      </c>
      <c r="BM169" s="115" t="s">
        <v>3183</v>
      </c>
      <c r="BN169" s="115" t="s">
        <v>3183</v>
      </c>
      <c r="BO169" s="2"/>
      <c r="BP169" s="3"/>
      <c r="BQ169" s="3"/>
      <c r="BR169" s="3"/>
      <c r="BS169" s="3"/>
    </row>
    <row r="170" spans="1:71" ht="15">
      <c r="A170" s="66" t="s">
        <v>388</v>
      </c>
      <c r="B170" s="67"/>
      <c r="C170" s="67"/>
      <c r="D170" s="68">
        <v>150</v>
      </c>
      <c r="E170" s="70"/>
      <c r="F170" s="102" t="str">
        <f>HYPERLINK("https://yt3.ggpht.com/ytc/AOPolaTKvI5q6qOS6r1Cq7uK6q7DAYzBxSPRi1PBxw=s88-c-k-c0x00ffffff-no-rj")</f>
        <v>https://yt3.ggpht.com/ytc/AOPolaTKvI5q6qOS6r1Cq7uK6q7DAYzBxSPRi1PBxw=s88-c-k-c0x00ffffff-no-rj</v>
      </c>
      <c r="G170" s="67"/>
      <c r="H170" s="71" t="s">
        <v>1464</v>
      </c>
      <c r="I170" s="72"/>
      <c r="J170" s="72" t="s">
        <v>159</v>
      </c>
      <c r="K170" s="71" t="s">
        <v>1464</v>
      </c>
      <c r="L170" s="75">
        <v>1</v>
      </c>
      <c r="M170" s="76">
        <v>5925.3291015625</v>
      </c>
      <c r="N170" s="76">
        <v>6082.755859375</v>
      </c>
      <c r="O170" s="77"/>
      <c r="P170" s="78"/>
      <c r="Q170" s="78"/>
      <c r="R170" s="88"/>
      <c r="S170" s="49">
        <v>0</v>
      </c>
      <c r="T170" s="49">
        <v>1</v>
      </c>
      <c r="U170" s="50">
        <v>0</v>
      </c>
      <c r="V170" s="50">
        <v>0.177728</v>
      </c>
      <c r="W170" s="50">
        <v>0.049759</v>
      </c>
      <c r="X170" s="50">
        <v>0.001579</v>
      </c>
      <c r="Y170" s="50">
        <v>0</v>
      </c>
      <c r="Z170" s="50">
        <v>0</v>
      </c>
      <c r="AA170" s="73">
        <v>170</v>
      </c>
      <c r="AB170" s="73"/>
      <c r="AC170" s="74"/>
      <c r="AD170" s="81" t="s">
        <v>1464</v>
      </c>
      <c r="AE170" s="81"/>
      <c r="AF170" s="81"/>
      <c r="AG170" s="81"/>
      <c r="AH170" s="81"/>
      <c r="AI170" s="81" t="s">
        <v>2186</v>
      </c>
      <c r="AJ170" s="85">
        <v>42724.45512731482</v>
      </c>
      <c r="AK170" s="83" t="str">
        <f>HYPERLINK("https://yt3.ggpht.com/ytc/AOPolaTKvI5q6qOS6r1Cq7uK6q7DAYzBxSPRi1PBxw=s88-c-k-c0x00ffffff-no-rj")</f>
        <v>https://yt3.ggpht.com/ytc/AOPolaTKvI5q6qOS6r1Cq7uK6q7DAYzBxSPRi1PBxw=s88-c-k-c0x00ffffff-no-rj</v>
      </c>
      <c r="AL170" s="81">
        <v>0</v>
      </c>
      <c r="AM170" s="81">
        <v>0</v>
      </c>
      <c r="AN170" s="81">
        <v>6</v>
      </c>
      <c r="AO170" s="81" t="b">
        <v>0</v>
      </c>
      <c r="AP170" s="81">
        <v>0</v>
      </c>
      <c r="AQ170" s="81"/>
      <c r="AR170" s="81"/>
      <c r="AS170" s="81" t="s">
        <v>2571</v>
      </c>
      <c r="AT170" s="83" t="str">
        <f>HYPERLINK("https://www.youtube.com/channel/UCTMSnyHi9he_g_foWYlBS8w")</f>
        <v>https://www.youtube.com/channel/UCTMSnyHi9he_g_foWYlBS8w</v>
      </c>
      <c r="AU170" s="81">
        <v>1</v>
      </c>
      <c r="AV170" s="49">
        <v>0</v>
      </c>
      <c r="AW170" s="50">
        <v>0</v>
      </c>
      <c r="AX170" s="49">
        <v>0</v>
      </c>
      <c r="AY170" s="50">
        <v>0</v>
      </c>
      <c r="AZ170" s="49">
        <v>0</v>
      </c>
      <c r="BA170" s="50">
        <v>0</v>
      </c>
      <c r="BB170" s="49">
        <v>2</v>
      </c>
      <c r="BC170" s="50">
        <v>66.66666666666667</v>
      </c>
      <c r="BD170" s="49">
        <v>3</v>
      </c>
      <c r="BE170" s="49"/>
      <c r="BF170" s="49"/>
      <c r="BG170" s="49"/>
      <c r="BH170" s="49"/>
      <c r="BI170" s="49"/>
      <c r="BJ170" s="49"/>
      <c r="BK170" s="115" t="s">
        <v>2714</v>
      </c>
      <c r="BL170" s="115" t="s">
        <v>2714</v>
      </c>
      <c r="BM170" s="115" t="s">
        <v>3184</v>
      </c>
      <c r="BN170" s="115" t="s">
        <v>3184</v>
      </c>
      <c r="BO170" s="2"/>
      <c r="BP170" s="3"/>
      <c r="BQ170" s="3"/>
      <c r="BR170" s="3"/>
      <c r="BS170" s="3"/>
    </row>
    <row r="171" spans="1:71" ht="15">
      <c r="A171" s="66" t="s">
        <v>389</v>
      </c>
      <c r="B171" s="67"/>
      <c r="C171" s="67"/>
      <c r="D171" s="68">
        <v>150</v>
      </c>
      <c r="E171" s="70"/>
      <c r="F171" s="102" t="str">
        <f>HYPERLINK("https://yt3.ggpht.com/ytc/AOPolaQWFMTtmv_6SWch9TnkEGA6K542VmaTJbm0DkS3=s88-c-k-c0x00ffffff-no-rj")</f>
        <v>https://yt3.ggpht.com/ytc/AOPolaQWFMTtmv_6SWch9TnkEGA6K542VmaTJbm0DkS3=s88-c-k-c0x00ffffff-no-rj</v>
      </c>
      <c r="G171" s="67"/>
      <c r="H171" s="71" t="s">
        <v>1465</v>
      </c>
      <c r="I171" s="72"/>
      <c r="J171" s="72" t="s">
        <v>159</v>
      </c>
      <c r="K171" s="71" t="s">
        <v>1465</v>
      </c>
      <c r="L171" s="75">
        <v>1</v>
      </c>
      <c r="M171" s="76">
        <v>599.744873046875</v>
      </c>
      <c r="N171" s="76">
        <v>6362.5927734375</v>
      </c>
      <c r="O171" s="77"/>
      <c r="P171" s="78"/>
      <c r="Q171" s="78"/>
      <c r="R171" s="88"/>
      <c r="S171" s="49">
        <v>0</v>
      </c>
      <c r="T171" s="49">
        <v>1</v>
      </c>
      <c r="U171" s="50">
        <v>0</v>
      </c>
      <c r="V171" s="50">
        <v>0.177728</v>
      </c>
      <c r="W171" s="50">
        <v>0.049759</v>
      </c>
      <c r="X171" s="50">
        <v>0.001579</v>
      </c>
      <c r="Y171" s="50">
        <v>0</v>
      </c>
      <c r="Z171" s="50">
        <v>0</v>
      </c>
      <c r="AA171" s="73">
        <v>171</v>
      </c>
      <c r="AB171" s="73"/>
      <c r="AC171" s="74"/>
      <c r="AD171" s="81" t="s">
        <v>1465</v>
      </c>
      <c r="AE171" s="81"/>
      <c r="AF171" s="81"/>
      <c r="AG171" s="81"/>
      <c r="AH171" s="81"/>
      <c r="AI171" s="81" t="s">
        <v>2187</v>
      </c>
      <c r="AJ171" s="85">
        <v>40806.274988425925</v>
      </c>
      <c r="AK171" s="83" t="str">
        <f>HYPERLINK("https://yt3.ggpht.com/ytc/AOPolaQWFMTtmv_6SWch9TnkEGA6K542VmaTJbm0DkS3=s88-c-k-c0x00ffffff-no-rj")</f>
        <v>https://yt3.ggpht.com/ytc/AOPolaQWFMTtmv_6SWch9TnkEGA6K542VmaTJbm0DkS3=s88-c-k-c0x00ffffff-no-rj</v>
      </c>
      <c r="AL171" s="81">
        <v>0</v>
      </c>
      <c r="AM171" s="81">
        <v>0</v>
      </c>
      <c r="AN171" s="81">
        <v>0</v>
      </c>
      <c r="AO171" s="81" t="b">
        <v>0</v>
      </c>
      <c r="AP171" s="81">
        <v>0</v>
      </c>
      <c r="AQ171" s="81"/>
      <c r="AR171" s="81"/>
      <c r="AS171" s="81" t="s">
        <v>2571</v>
      </c>
      <c r="AT171" s="83" t="str">
        <f>HYPERLINK("https://www.youtube.com/channel/UCE42BHkjzuguGo9Gf6qd4dQ")</f>
        <v>https://www.youtube.com/channel/UCE42BHkjzuguGo9Gf6qd4dQ</v>
      </c>
      <c r="AU171" s="81">
        <v>1</v>
      </c>
      <c r="AV171" s="49">
        <v>0</v>
      </c>
      <c r="AW171" s="50">
        <v>0</v>
      </c>
      <c r="AX171" s="49">
        <v>0</v>
      </c>
      <c r="AY171" s="50">
        <v>0</v>
      </c>
      <c r="AZ171" s="49">
        <v>0</v>
      </c>
      <c r="BA171" s="50">
        <v>0</v>
      </c>
      <c r="BB171" s="49">
        <v>3</v>
      </c>
      <c r="BC171" s="50">
        <v>60</v>
      </c>
      <c r="BD171" s="49">
        <v>5</v>
      </c>
      <c r="BE171" s="49"/>
      <c r="BF171" s="49"/>
      <c r="BG171" s="49"/>
      <c r="BH171" s="49"/>
      <c r="BI171" s="49"/>
      <c r="BJ171" s="49"/>
      <c r="BK171" s="115" t="s">
        <v>2715</v>
      </c>
      <c r="BL171" s="115" t="s">
        <v>2715</v>
      </c>
      <c r="BM171" s="115" t="s">
        <v>3185</v>
      </c>
      <c r="BN171" s="115" t="s">
        <v>3185</v>
      </c>
      <c r="BO171" s="2"/>
      <c r="BP171" s="3"/>
      <c r="BQ171" s="3"/>
      <c r="BR171" s="3"/>
      <c r="BS171" s="3"/>
    </row>
    <row r="172" spans="1:71" ht="15">
      <c r="A172" s="66" t="s">
        <v>390</v>
      </c>
      <c r="B172" s="67"/>
      <c r="C172" s="67"/>
      <c r="D172" s="68">
        <v>150</v>
      </c>
      <c r="E172" s="70"/>
      <c r="F172" s="102" t="str">
        <f>HYPERLINK("https://yt3.ggpht.com/ytc/AOPolaQyd94O9yQgFBgddC0obS1HmRLWYSuE2GZBvQ=s88-c-k-c0x00ffffff-no-rj")</f>
        <v>https://yt3.ggpht.com/ytc/AOPolaQyd94O9yQgFBgddC0obS1HmRLWYSuE2GZBvQ=s88-c-k-c0x00ffffff-no-rj</v>
      </c>
      <c r="G172" s="67"/>
      <c r="H172" s="71" t="s">
        <v>1466</v>
      </c>
      <c r="I172" s="72"/>
      <c r="J172" s="72" t="s">
        <v>159</v>
      </c>
      <c r="K172" s="71" t="s">
        <v>1466</v>
      </c>
      <c r="L172" s="75">
        <v>1</v>
      </c>
      <c r="M172" s="76">
        <v>5901.2373046875</v>
      </c>
      <c r="N172" s="76">
        <v>7745.55126953125</v>
      </c>
      <c r="O172" s="77"/>
      <c r="P172" s="78"/>
      <c r="Q172" s="78"/>
      <c r="R172" s="88"/>
      <c r="S172" s="49">
        <v>0</v>
      </c>
      <c r="T172" s="49">
        <v>1</v>
      </c>
      <c r="U172" s="50">
        <v>0</v>
      </c>
      <c r="V172" s="50">
        <v>0.177728</v>
      </c>
      <c r="W172" s="50">
        <v>0.049759</v>
      </c>
      <c r="X172" s="50">
        <v>0.001579</v>
      </c>
      <c r="Y172" s="50">
        <v>0</v>
      </c>
      <c r="Z172" s="50">
        <v>0</v>
      </c>
      <c r="AA172" s="73">
        <v>172</v>
      </c>
      <c r="AB172" s="73"/>
      <c r="AC172" s="74"/>
      <c r="AD172" s="81" t="s">
        <v>1466</v>
      </c>
      <c r="AE172" s="81"/>
      <c r="AF172" s="81"/>
      <c r="AG172" s="81"/>
      <c r="AH172" s="81"/>
      <c r="AI172" s="81" t="s">
        <v>2188</v>
      </c>
      <c r="AJ172" s="85">
        <v>41100.854467592595</v>
      </c>
      <c r="AK172" s="83" t="str">
        <f>HYPERLINK("https://yt3.ggpht.com/ytc/AOPolaQyd94O9yQgFBgddC0obS1HmRLWYSuE2GZBvQ=s88-c-k-c0x00ffffff-no-rj")</f>
        <v>https://yt3.ggpht.com/ytc/AOPolaQyd94O9yQgFBgddC0obS1HmRLWYSuE2GZBvQ=s88-c-k-c0x00ffffff-no-rj</v>
      </c>
      <c r="AL172" s="81">
        <v>300</v>
      </c>
      <c r="AM172" s="81">
        <v>0</v>
      </c>
      <c r="AN172" s="81">
        <v>6</v>
      </c>
      <c r="AO172" s="81" t="b">
        <v>0</v>
      </c>
      <c r="AP172" s="81">
        <v>2</v>
      </c>
      <c r="AQ172" s="81"/>
      <c r="AR172" s="81"/>
      <c r="AS172" s="81" t="s">
        <v>2571</v>
      </c>
      <c r="AT172" s="83" t="str">
        <f>HYPERLINK("https://www.youtube.com/channel/UCWTPa1I8h2QS-msuwCf_QQg")</f>
        <v>https://www.youtube.com/channel/UCWTPa1I8h2QS-msuwCf_QQg</v>
      </c>
      <c r="AU172" s="81">
        <v>1</v>
      </c>
      <c r="AV172" s="49">
        <v>2</v>
      </c>
      <c r="AW172" s="50">
        <v>5</v>
      </c>
      <c r="AX172" s="49">
        <v>3</v>
      </c>
      <c r="AY172" s="50">
        <v>7.5</v>
      </c>
      <c r="AZ172" s="49">
        <v>0</v>
      </c>
      <c r="BA172" s="50">
        <v>0</v>
      </c>
      <c r="BB172" s="49">
        <v>14</v>
      </c>
      <c r="BC172" s="50">
        <v>35</v>
      </c>
      <c r="BD172" s="49">
        <v>40</v>
      </c>
      <c r="BE172" s="49"/>
      <c r="BF172" s="49"/>
      <c r="BG172" s="49"/>
      <c r="BH172" s="49"/>
      <c r="BI172" s="49"/>
      <c r="BJ172" s="49"/>
      <c r="BK172" s="115" t="s">
        <v>2716</v>
      </c>
      <c r="BL172" s="115" t="s">
        <v>2716</v>
      </c>
      <c r="BM172" s="115" t="s">
        <v>3186</v>
      </c>
      <c r="BN172" s="115" t="s">
        <v>3186</v>
      </c>
      <c r="BO172" s="2"/>
      <c r="BP172" s="3"/>
      <c r="BQ172" s="3"/>
      <c r="BR172" s="3"/>
      <c r="BS172" s="3"/>
    </row>
    <row r="173" spans="1:71" ht="15">
      <c r="A173" s="66" t="s">
        <v>391</v>
      </c>
      <c r="B173" s="67"/>
      <c r="C173" s="67"/>
      <c r="D173" s="68">
        <v>150</v>
      </c>
      <c r="E173" s="70"/>
      <c r="F173" s="102" t="str">
        <f>HYPERLINK("https://yt3.ggpht.com/L516Jll_Qbo8pq62w9ulKF6harFffwGuon_eAFWX91VEjJXdVUKeGrppMMTU3lMboHrragUFHg=s88-c-k-c0x00ffffff-no-rj")</f>
        <v>https://yt3.ggpht.com/L516Jll_Qbo8pq62w9ulKF6harFffwGuon_eAFWX91VEjJXdVUKeGrppMMTU3lMboHrragUFHg=s88-c-k-c0x00ffffff-no-rj</v>
      </c>
      <c r="G173" s="67"/>
      <c r="H173" s="71" t="s">
        <v>1467</v>
      </c>
      <c r="I173" s="72"/>
      <c r="J173" s="72" t="s">
        <v>159</v>
      </c>
      <c r="K173" s="71" t="s">
        <v>1467</v>
      </c>
      <c r="L173" s="75">
        <v>1</v>
      </c>
      <c r="M173" s="76">
        <v>4419.03076171875</v>
      </c>
      <c r="N173" s="76">
        <v>5855.60986328125</v>
      </c>
      <c r="O173" s="77"/>
      <c r="P173" s="78"/>
      <c r="Q173" s="78"/>
      <c r="R173" s="88"/>
      <c r="S173" s="49">
        <v>0</v>
      </c>
      <c r="T173" s="49">
        <v>1</v>
      </c>
      <c r="U173" s="50">
        <v>0</v>
      </c>
      <c r="V173" s="50">
        <v>0.177728</v>
      </c>
      <c r="W173" s="50">
        <v>0.049759</v>
      </c>
      <c r="X173" s="50">
        <v>0.001579</v>
      </c>
      <c r="Y173" s="50">
        <v>0</v>
      </c>
      <c r="Z173" s="50">
        <v>0</v>
      </c>
      <c r="AA173" s="73">
        <v>173</v>
      </c>
      <c r="AB173" s="73"/>
      <c r="AC173" s="74"/>
      <c r="AD173" s="81" t="s">
        <v>1467</v>
      </c>
      <c r="AE173" s="81"/>
      <c r="AF173" s="81"/>
      <c r="AG173" s="81"/>
      <c r="AH173" s="81"/>
      <c r="AI173" s="81" t="s">
        <v>2189</v>
      </c>
      <c r="AJ173" s="85">
        <v>43020.88327546296</v>
      </c>
      <c r="AK173" s="83" t="str">
        <f>HYPERLINK("https://yt3.ggpht.com/L516Jll_Qbo8pq62w9ulKF6harFffwGuon_eAFWX91VEjJXdVUKeGrppMMTU3lMboHrragUFHg=s88-c-k-c0x00ffffff-no-rj")</f>
        <v>https://yt3.ggpht.com/L516Jll_Qbo8pq62w9ulKF6harFffwGuon_eAFWX91VEjJXdVUKeGrppMMTU3lMboHrragUFHg=s88-c-k-c0x00ffffff-no-rj</v>
      </c>
      <c r="AL173" s="81">
        <v>0</v>
      </c>
      <c r="AM173" s="81">
        <v>0</v>
      </c>
      <c r="AN173" s="81">
        <v>38</v>
      </c>
      <c r="AO173" s="81" t="b">
        <v>0</v>
      </c>
      <c r="AP173" s="81">
        <v>0</v>
      </c>
      <c r="AQ173" s="81"/>
      <c r="AR173" s="81"/>
      <c r="AS173" s="81" t="s">
        <v>2571</v>
      </c>
      <c r="AT173" s="83" t="str">
        <f>HYPERLINK("https://www.youtube.com/channel/UC486OHc2Kgjmv9Y1LhK54Cg")</f>
        <v>https://www.youtube.com/channel/UC486OHc2Kgjmv9Y1LhK54Cg</v>
      </c>
      <c r="AU173" s="81">
        <v>1</v>
      </c>
      <c r="AV173" s="49">
        <v>0</v>
      </c>
      <c r="AW173" s="50">
        <v>0</v>
      </c>
      <c r="AX173" s="49">
        <v>0</v>
      </c>
      <c r="AY173" s="50">
        <v>0</v>
      </c>
      <c r="AZ173" s="49">
        <v>0</v>
      </c>
      <c r="BA173" s="50">
        <v>0</v>
      </c>
      <c r="BB173" s="49">
        <v>3</v>
      </c>
      <c r="BC173" s="50">
        <v>20</v>
      </c>
      <c r="BD173" s="49">
        <v>15</v>
      </c>
      <c r="BE173" s="49"/>
      <c r="BF173" s="49"/>
      <c r="BG173" s="49"/>
      <c r="BH173" s="49"/>
      <c r="BI173" s="49"/>
      <c r="BJ173" s="49"/>
      <c r="BK173" s="115" t="s">
        <v>2717</v>
      </c>
      <c r="BL173" s="115" t="s">
        <v>2717</v>
      </c>
      <c r="BM173" s="115" t="s">
        <v>3187</v>
      </c>
      <c r="BN173" s="115" t="s">
        <v>3187</v>
      </c>
      <c r="BO173" s="2"/>
      <c r="BP173" s="3"/>
      <c r="BQ173" s="3"/>
      <c r="BR173" s="3"/>
      <c r="BS173" s="3"/>
    </row>
    <row r="174" spans="1:71" ht="15">
      <c r="A174" s="66" t="s">
        <v>392</v>
      </c>
      <c r="B174" s="67"/>
      <c r="C174" s="67"/>
      <c r="D174" s="68">
        <v>150</v>
      </c>
      <c r="E174" s="70"/>
      <c r="F174" s="102" t="str">
        <f>HYPERLINK("https://yt3.ggpht.com/ytc/AOPolaRkoYMEbWDbDgz4Q93zOqj6udLmdNuiAhZpgrpK=s88-c-k-c0x00ffffff-no-rj")</f>
        <v>https://yt3.ggpht.com/ytc/AOPolaRkoYMEbWDbDgz4Q93zOqj6udLmdNuiAhZpgrpK=s88-c-k-c0x00ffffff-no-rj</v>
      </c>
      <c r="G174" s="67"/>
      <c r="H174" s="71" t="s">
        <v>1468</v>
      </c>
      <c r="I174" s="72"/>
      <c r="J174" s="72" t="s">
        <v>159</v>
      </c>
      <c r="K174" s="71" t="s">
        <v>1468</v>
      </c>
      <c r="L174" s="75">
        <v>1</v>
      </c>
      <c r="M174" s="76">
        <v>2850.410400390625</v>
      </c>
      <c r="N174" s="76">
        <v>5205.80419921875</v>
      </c>
      <c r="O174" s="77"/>
      <c r="P174" s="78"/>
      <c r="Q174" s="78"/>
      <c r="R174" s="88"/>
      <c r="S174" s="49">
        <v>0</v>
      </c>
      <c r="T174" s="49">
        <v>1</v>
      </c>
      <c r="U174" s="50">
        <v>0</v>
      </c>
      <c r="V174" s="50">
        <v>0.177728</v>
      </c>
      <c r="W174" s="50">
        <v>0.049759</v>
      </c>
      <c r="X174" s="50">
        <v>0.001579</v>
      </c>
      <c r="Y174" s="50">
        <v>0</v>
      </c>
      <c r="Z174" s="50">
        <v>0</v>
      </c>
      <c r="AA174" s="73">
        <v>174</v>
      </c>
      <c r="AB174" s="73"/>
      <c r="AC174" s="74"/>
      <c r="AD174" s="81" t="s">
        <v>1468</v>
      </c>
      <c r="AE174" s="81" t="s">
        <v>1947</v>
      </c>
      <c r="AF174" s="81"/>
      <c r="AG174" s="81"/>
      <c r="AH174" s="81"/>
      <c r="AI174" s="81" t="s">
        <v>2190</v>
      </c>
      <c r="AJ174" s="85">
        <v>40295.22856481482</v>
      </c>
      <c r="AK174" s="83" t="str">
        <f>HYPERLINK("https://yt3.ggpht.com/ytc/AOPolaRkoYMEbWDbDgz4Q93zOqj6udLmdNuiAhZpgrpK=s88-c-k-c0x00ffffff-no-rj")</f>
        <v>https://yt3.ggpht.com/ytc/AOPolaRkoYMEbWDbDgz4Q93zOqj6udLmdNuiAhZpgrpK=s88-c-k-c0x00ffffff-no-rj</v>
      </c>
      <c r="AL174" s="81">
        <v>3994</v>
      </c>
      <c r="AM174" s="81">
        <v>0</v>
      </c>
      <c r="AN174" s="81">
        <v>8</v>
      </c>
      <c r="AO174" s="81" t="b">
        <v>0</v>
      </c>
      <c r="AP174" s="81">
        <v>44</v>
      </c>
      <c r="AQ174" s="81"/>
      <c r="AR174" s="81"/>
      <c r="AS174" s="81" t="s">
        <v>2571</v>
      </c>
      <c r="AT174" s="83" t="str">
        <f>HYPERLINK("https://www.youtube.com/channel/UCUhhGZUr-PvgZfbJ7hMaTgg")</f>
        <v>https://www.youtube.com/channel/UCUhhGZUr-PvgZfbJ7hMaTgg</v>
      </c>
      <c r="AU174" s="81">
        <v>1</v>
      </c>
      <c r="AV174" s="49">
        <v>0</v>
      </c>
      <c r="AW174" s="50">
        <v>0</v>
      </c>
      <c r="AX174" s="49">
        <v>0</v>
      </c>
      <c r="AY174" s="50">
        <v>0</v>
      </c>
      <c r="AZ174" s="49">
        <v>0</v>
      </c>
      <c r="BA174" s="50">
        <v>0</v>
      </c>
      <c r="BB174" s="49">
        <v>1</v>
      </c>
      <c r="BC174" s="50">
        <v>100</v>
      </c>
      <c r="BD174" s="49">
        <v>1</v>
      </c>
      <c r="BE174" s="49"/>
      <c r="BF174" s="49"/>
      <c r="BG174" s="49"/>
      <c r="BH174" s="49"/>
      <c r="BI174" s="49"/>
      <c r="BJ174" s="49"/>
      <c r="BK174" s="115" t="s">
        <v>2718</v>
      </c>
      <c r="BL174" s="115" t="s">
        <v>2718</v>
      </c>
      <c r="BM174" s="115" t="s">
        <v>4477</v>
      </c>
      <c r="BN174" s="115" t="s">
        <v>4477</v>
      </c>
      <c r="BO174" s="2"/>
      <c r="BP174" s="3"/>
      <c r="BQ174" s="3"/>
      <c r="BR174" s="3"/>
      <c r="BS174" s="3"/>
    </row>
    <row r="175" spans="1:71" ht="15">
      <c r="A175" s="66" t="s">
        <v>393</v>
      </c>
      <c r="B175" s="67"/>
      <c r="C175" s="67"/>
      <c r="D175" s="68">
        <v>150</v>
      </c>
      <c r="E175" s="70"/>
      <c r="F175" s="102" t="str">
        <f>HYPERLINK("https://yt3.ggpht.com/ytc/AOPolaT2o-3JSD2RvYw8pKuPBNJg6LAMDZBk2GZmmgjg3Z1d98596a9kNwzVxU7OfNMx=s88-c-k-c0x00ffffff-no-rj")</f>
        <v>https://yt3.ggpht.com/ytc/AOPolaT2o-3JSD2RvYw8pKuPBNJg6LAMDZBk2GZmmgjg3Z1d98596a9kNwzVxU7OfNMx=s88-c-k-c0x00ffffff-no-rj</v>
      </c>
      <c r="G175" s="67"/>
      <c r="H175" s="71" t="s">
        <v>1469</v>
      </c>
      <c r="I175" s="72"/>
      <c r="J175" s="72" t="s">
        <v>159</v>
      </c>
      <c r="K175" s="71" t="s">
        <v>1469</v>
      </c>
      <c r="L175" s="75">
        <v>1</v>
      </c>
      <c r="M175" s="76">
        <v>814.326171875</v>
      </c>
      <c r="N175" s="76">
        <v>5963.57373046875</v>
      </c>
      <c r="O175" s="77"/>
      <c r="P175" s="78"/>
      <c r="Q175" s="78"/>
      <c r="R175" s="88"/>
      <c r="S175" s="49">
        <v>0</v>
      </c>
      <c r="T175" s="49">
        <v>1</v>
      </c>
      <c r="U175" s="50">
        <v>0</v>
      </c>
      <c r="V175" s="50">
        <v>0.177728</v>
      </c>
      <c r="W175" s="50">
        <v>0.049759</v>
      </c>
      <c r="X175" s="50">
        <v>0.001579</v>
      </c>
      <c r="Y175" s="50">
        <v>0</v>
      </c>
      <c r="Z175" s="50">
        <v>0</v>
      </c>
      <c r="AA175" s="73">
        <v>175</v>
      </c>
      <c r="AB175" s="73"/>
      <c r="AC175" s="74"/>
      <c r="AD175" s="81" t="s">
        <v>1469</v>
      </c>
      <c r="AE175" s="81"/>
      <c r="AF175" s="81"/>
      <c r="AG175" s="81"/>
      <c r="AH175" s="81"/>
      <c r="AI175" s="81" t="s">
        <v>2191</v>
      </c>
      <c r="AJ175" s="85">
        <v>44996.782326388886</v>
      </c>
      <c r="AK175" s="83" t="str">
        <f>HYPERLINK("https://yt3.ggpht.com/ytc/AOPolaT2o-3JSD2RvYw8pKuPBNJg6LAMDZBk2GZmmgjg3Z1d98596a9kNwzVxU7OfNMx=s88-c-k-c0x00ffffff-no-rj")</f>
        <v>https://yt3.ggpht.com/ytc/AOPolaT2o-3JSD2RvYw8pKuPBNJg6LAMDZBk2GZmmgjg3Z1d98596a9kNwzVxU7OfNMx=s88-c-k-c0x00ffffff-no-rj</v>
      </c>
      <c r="AL175" s="81">
        <v>0</v>
      </c>
      <c r="AM175" s="81">
        <v>0</v>
      </c>
      <c r="AN175" s="81">
        <v>0</v>
      </c>
      <c r="AO175" s="81" t="b">
        <v>0</v>
      </c>
      <c r="AP175" s="81">
        <v>0</v>
      </c>
      <c r="AQ175" s="81"/>
      <c r="AR175" s="81"/>
      <c r="AS175" s="81" t="s">
        <v>2571</v>
      </c>
      <c r="AT175" s="83" t="str">
        <f>HYPERLINK("https://www.youtube.com/channel/UCTi0cWN21BiZ0jYnZcoY8CA")</f>
        <v>https://www.youtube.com/channel/UCTi0cWN21BiZ0jYnZcoY8CA</v>
      </c>
      <c r="AU175" s="81">
        <v>1</v>
      </c>
      <c r="AV175" s="49">
        <v>0</v>
      </c>
      <c r="AW175" s="50">
        <v>0</v>
      </c>
      <c r="AX175" s="49">
        <v>0</v>
      </c>
      <c r="AY175" s="50">
        <v>0</v>
      </c>
      <c r="AZ175" s="49">
        <v>0</v>
      </c>
      <c r="BA175" s="50">
        <v>0</v>
      </c>
      <c r="BB175" s="49">
        <v>1</v>
      </c>
      <c r="BC175" s="50">
        <v>20</v>
      </c>
      <c r="BD175" s="49">
        <v>5</v>
      </c>
      <c r="BE175" s="49"/>
      <c r="BF175" s="49"/>
      <c r="BG175" s="49"/>
      <c r="BH175" s="49"/>
      <c r="BI175" s="49"/>
      <c r="BJ175" s="49"/>
      <c r="BK175" s="115" t="s">
        <v>2719</v>
      </c>
      <c r="BL175" s="115" t="s">
        <v>2719</v>
      </c>
      <c r="BM175" s="115" t="s">
        <v>4477</v>
      </c>
      <c r="BN175" s="115" t="s">
        <v>4477</v>
      </c>
      <c r="BO175" s="2"/>
      <c r="BP175" s="3"/>
      <c r="BQ175" s="3"/>
      <c r="BR175" s="3"/>
      <c r="BS175" s="3"/>
    </row>
    <row r="176" spans="1:71" ht="15">
      <c r="A176" s="66" t="s">
        <v>394</v>
      </c>
      <c r="B176" s="67"/>
      <c r="C176" s="67"/>
      <c r="D176" s="68">
        <v>150</v>
      </c>
      <c r="E176" s="70"/>
      <c r="F176" s="102" t="str">
        <f>HYPERLINK("https://yt3.ggpht.com/ytc/AOPolaQzChAbLoGCU654HKEiW1r_jmDlYyT0G0b8QS4pb7_y3AMikes9MNQzQc1Iag3g=s88-c-k-c0x00ffffff-no-rj")</f>
        <v>https://yt3.ggpht.com/ytc/AOPolaQzChAbLoGCU654HKEiW1r_jmDlYyT0G0b8QS4pb7_y3AMikes9MNQzQc1Iag3g=s88-c-k-c0x00ffffff-no-rj</v>
      </c>
      <c r="G176" s="67"/>
      <c r="H176" s="71" t="s">
        <v>1470</v>
      </c>
      <c r="I176" s="72"/>
      <c r="J176" s="72" t="s">
        <v>159</v>
      </c>
      <c r="K176" s="71" t="s">
        <v>1470</v>
      </c>
      <c r="L176" s="75">
        <v>1</v>
      </c>
      <c r="M176" s="76">
        <v>3238.10009765625</v>
      </c>
      <c r="N176" s="76">
        <v>9855.3359375</v>
      </c>
      <c r="O176" s="77"/>
      <c r="P176" s="78"/>
      <c r="Q176" s="78"/>
      <c r="R176" s="88"/>
      <c r="S176" s="49">
        <v>0</v>
      </c>
      <c r="T176" s="49">
        <v>1</v>
      </c>
      <c r="U176" s="50">
        <v>0</v>
      </c>
      <c r="V176" s="50">
        <v>0.177728</v>
      </c>
      <c r="W176" s="50">
        <v>0.049759</v>
      </c>
      <c r="X176" s="50">
        <v>0.001579</v>
      </c>
      <c r="Y176" s="50">
        <v>0</v>
      </c>
      <c r="Z176" s="50">
        <v>0</v>
      </c>
      <c r="AA176" s="73">
        <v>176</v>
      </c>
      <c r="AB176" s="73"/>
      <c r="AC176" s="74"/>
      <c r="AD176" s="81" t="s">
        <v>1470</v>
      </c>
      <c r="AE176" s="81"/>
      <c r="AF176" s="81"/>
      <c r="AG176" s="81"/>
      <c r="AH176" s="81"/>
      <c r="AI176" s="81" t="s">
        <v>2192</v>
      </c>
      <c r="AJ176" s="85">
        <v>44864.74605324074</v>
      </c>
      <c r="AK176" s="83" t="str">
        <f>HYPERLINK("https://yt3.ggpht.com/ytc/AOPolaQzChAbLoGCU654HKEiW1r_jmDlYyT0G0b8QS4pb7_y3AMikes9MNQzQc1Iag3g=s88-c-k-c0x00ffffff-no-rj")</f>
        <v>https://yt3.ggpht.com/ytc/AOPolaQzChAbLoGCU654HKEiW1r_jmDlYyT0G0b8QS4pb7_y3AMikes9MNQzQc1Iag3g=s88-c-k-c0x00ffffff-no-rj</v>
      </c>
      <c r="AL176" s="81">
        <v>0</v>
      </c>
      <c r="AM176" s="81">
        <v>0</v>
      </c>
      <c r="AN176" s="81">
        <v>4</v>
      </c>
      <c r="AO176" s="81" t="b">
        <v>0</v>
      </c>
      <c r="AP176" s="81">
        <v>0</v>
      </c>
      <c r="AQ176" s="81"/>
      <c r="AR176" s="81"/>
      <c r="AS176" s="81" t="s">
        <v>2571</v>
      </c>
      <c r="AT176" s="83" t="str">
        <f>HYPERLINK("https://www.youtube.com/channel/UCBrz7-Cy4J_XYdeQ7vZwAsA")</f>
        <v>https://www.youtube.com/channel/UCBrz7-Cy4J_XYdeQ7vZwAsA</v>
      </c>
      <c r="AU176" s="81">
        <v>1</v>
      </c>
      <c r="AV176" s="49">
        <v>0</v>
      </c>
      <c r="AW176" s="50">
        <v>0</v>
      </c>
      <c r="AX176" s="49">
        <v>1</v>
      </c>
      <c r="AY176" s="50">
        <v>20</v>
      </c>
      <c r="AZ176" s="49">
        <v>0</v>
      </c>
      <c r="BA176" s="50">
        <v>0</v>
      </c>
      <c r="BB176" s="49">
        <v>3</v>
      </c>
      <c r="BC176" s="50">
        <v>60</v>
      </c>
      <c r="BD176" s="49">
        <v>5</v>
      </c>
      <c r="BE176" s="49"/>
      <c r="BF176" s="49"/>
      <c r="BG176" s="49"/>
      <c r="BH176" s="49"/>
      <c r="BI176" s="49"/>
      <c r="BJ176" s="49"/>
      <c r="BK176" s="115" t="s">
        <v>2720</v>
      </c>
      <c r="BL176" s="115" t="s">
        <v>2720</v>
      </c>
      <c r="BM176" s="115" t="s">
        <v>3188</v>
      </c>
      <c r="BN176" s="115" t="s">
        <v>3188</v>
      </c>
      <c r="BO176" s="2"/>
      <c r="BP176" s="3"/>
      <c r="BQ176" s="3"/>
      <c r="BR176" s="3"/>
      <c r="BS176" s="3"/>
    </row>
    <row r="177" spans="1:71" ht="15">
      <c r="A177" s="66" t="s">
        <v>395</v>
      </c>
      <c r="B177" s="67"/>
      <c r="C177" s="67"/>
      <c r="D177" s="68">
        <v>150</v>
      </c>
      <c r="E177" s="70"/>
      <c r="F177" s="102" t="str">
        <f>HYPERLINK("https://yt3.ggpht.com/ytc/AOPolaRoYzyqO3J3ODbsUdtHZH3xMg3qMXZ330AASninxg=s88-c-k-c0x00ffffff-no-rj")</f>
        <v>https://yt3.ggpht.com/ytc/AOPolaRoYzyqO3J3ODbsUdtHZH3xMg3qMXZ330AASninxg=s88-c-k-c0x00ffffff-no-rj</v>
      </c>
      <c r="G177" s="67"/>
      <c r="H177" s="71" t="s">
        <v>1471</v>
      </c>
      <c r="I177" s="72"/>
      <c r="J177" s="72" t="s">
        <v>159</v>
      </c>
      <c r="K177" s="71" t="s">
        <v>1471</v>
      </c>
      <c r="L177" s="75">
        <v>1</v>
      </c>
      <c r="M177" s="76">
        <v>1260.1353759765625</v>
      </c>
      <c r="N177" s="76">
        <v>7786.07666015625</v>
      </c>
      <c r="O177" s="77"/>
      <c r="P177" s="78"/>
      <c r="Q177" s="78"/>
      <c r="R177" s="88"/>
      <c r="S177" s="49">
        <v>0</v>
      </c>
      <c r="T177" s="49">
        <v>1</v>
      </c>
      <c r="U177" s="50">
        <v>0</v>
      </c>
      <c r="V177" s="50">
        <v>0.177728</v>
      </c>
      <c r="W177" s="50">
        <v>0.049759</v>
      </c>
      <c r="X177" s="50">
        <v>0.001579</v>
      </c>
      <c r="Y177" s="50">
        <v>0</v>
      </c>
      <c r="Z177" s="50">
        <v>0</v>
      </c>
      <c r="AA177" s="73">
        <v>177</v>
      </c>
      <c r="AB177" s="73"/>
      <c r="AC177" s="74"/>
      <c r="AD177" s="81" t="s">
        <v>1471</v>
      </c>
      <c r="AE177" s="81"/>
      <c r="AF177" s="81"/>
      <c r="AG177" s="81"/>
      <c r="AH177" s="81"/>
      <c r="AI177" s="81" t="s">
        <v>2193</v>
      </c>
      <c r="AJ177" s="85">
        <v>41407.473912037036</v>
      </c>
      <c r="AK177" s="83" t="str">
        <f>HYPERLINK("https://yt3.ggpht.com/ytc/AOPolaRoYzyqO3J3ODbsUdtHZH3xMg3qMXZ330AASninxg=s88-c-k-c0x00ffffff-no-rj")</f>
        <v>https://yt3.ggpht.com/ytc/AOPolaRoYzyqO3J3ODbsUdtHZH3xMg3qMXZ330AASninxg=s88-c-k-c0x00ffffff-no-rj</v>
      </c>
      <c r="AL177" s="81">
        <v>0</v>
      </c>
      <c r="AM177" s="81">
        <v>0</v>
      </c>
      <c r="AN177" s="81">
        <v>15</v>
      </c>
      <c r="AO177" s="81" t="b">
        <v>0</v>
      </c>
      <c r="AP177" s="81">
        <v>0</v>
      </c>
      <c r="AQ177" s="81"/>
      <c r="AR177" s="81"/>
      <c r="AS177" s="81" t="s">
        <v>2571</v>
      </c>
      <c r="AT177" s="83" t="str">
        <f>HYPERLINK("https://www.youtube.com/channel/UCHP36EnSwECF9CJFHHgSSiA")</f>
        <v>https://www.youtube.com/channel/UCHP36EnSwECF9CJFHHgSSiA</v>
      </c>
      <c r="AU177" s="81">
        <v>1</v>
      </c>
      <c r="AV177" s="49">
        <v>0</v>
      </c>
      <c r="AW177" s="50">
        <v>0</v>
      </c>
      <c r="AX177" s="49">
        <v>0</v>
      </c>
      <c r="AY177" s="50">
        <v>0</v>
      </c>
      <c r="AZ177" s="49">
        <v>0</v>
      </c>
      <c r="BA177" s="50">
        <v>0</v>
      </c>
      <c r="BB177" s="49">
        <v>1</v>
      </c>
      <c r="BC177" s="50">
        <v>100</v>
      </c>
      <c r="BD177" s="49">
        <v>1</v>
      </c>
      <c r="BE177" s="49"/>
      <c r="BF177" s="49"/>
      <c r="BG177" s="49"/>
      <c r="BH177" s="49"/>
      <c r="BI177" s="49"/>
      <c r="BJ177" s="49"/>
      <c r="BK177" s="115" t="s">
        <v>2721</v>
      </c>
      <c r="BL177" s="115" t="s">
        <v>2721</v>
      </c>
      <c r="BM177" s="115" t="s">
        <v>4477</v>
      </c>
      <c r="BN177" s="115" t="s">
        <v>4477</v>
      </c>
      <c r="BO177" s="2"/>
      <c r="BP177" s="3"/>
      <c r="BQ177" s="3"/>
      <c r="BR177" s="3"/>
      <c r="BS177" s="3"/>
    </row>
    <row r="178" spans="1:71" ht="15">
      <c r="A178" s="66" t="s">
        <v>396</v>
      </c>
      <c r="B178" s="67"/>
      <c r="C178" s="67"/>
      <c r="D178" s="68">
        <v>150</v>
      </c>
      <c r="E178" s="70"/>
      <c r="F178" s="102" t="str">
        <f>HYPERLINK("https://yt3.ggpht.com/ytc/AOPolaSsOA6Nla9OsERcCnONYfqTJqS02bp-LTjULng8=s88-c-k-c0x00ffffff-no-rj")</f>
        <v>https://yt3.ggpht.com/ytc/AOPolaSsOA6Nla9OsERcCnONYfqTJqS02bp-LTjULng8=s88-c-k-c0x00ffffff-no-rj</v>
      </c>
      <c r="G178" s="67"/>
      <c r="H178" s="71" t="s">
        <v>1472</v>
      </c>
      <c r="I178" s="72"/>
      <c r="J178" s="72" t="s">
        <v>159</v>
      </c>
      <c r="K178" s="71" t="s">
        <v>1472</v>
      </c>
      <c r="L178" s="75">
        <v>1</v>
      </c>
      <c r="M178" s="76">
        <v>1858.6116943359375</v>
      </c>
      <c r="N178" s="76">
        <v>4789.74267578125</v>
      </c>
      <c r="O178" s="77"/>
      <c r="P178" s="78"/>
      <c r="Q178" s="78"/>
      <c r="R178" s="88"/>
      <c r="S178" s="49">
        <v>0</v>
      </c>
      <c r="T178" s="49">
        <v>1</v>
      </c>
      <c r="U178" s="50">
        <v>0</v>
      </c>
      <c r="V178" s="50">
        <v>0.177728</v>
      </c>
      <c r="W178" s="50">
        <v>0.049759</v>
      </c>
      <c r="X178" s="50">
        <v>0.001579</v>
      </c>
      <c r="Y178" s="50">
        <v>0</v>
      </c>
      <c r="Z178" s="50">
        <v>0</v>
      </c>
      <c r="AA178" s="73">
        <v>178</v>
      </c>
      <c r="AB178" s="73"/>
      <c r="AC178" s="74"/>
      <c r="AD178" s="81" t="s">
        <v>1472</v>
      </c>
      <c r="AE178" s="81"/>
      <c r="AF178" s="81"/>
      <c r="AG178" s="81"/>
      <c r="AH178" s="81"/>
      <c r="AI178" s="81" t="s">
        <v>2194</v>
      </c>
      <c r="AJ178" s="85">
        <v>40587.45284722222</v>
      </c>
      <c r="AK178" s="83" t="str">
        <f>HYPERLINK("https://yt3.ggpht.com/ytc/AOPolaSsOA6Nla9OsERcCnONYfqTJqS02bp-LTjULng8=s88-c-k-c0x00ffffff-no-rj")</f>
        <v>https://yt3.ggpht.com/ytc/AOPolaSsOA6Nla9OsERcCnONYfqTJqS02bp-LTjULng8=s88-c-k-c0x00ffffff-no-rj</v>
      </c>
      <c r="AL178" s="81">
        <v>0</v>
      </c>
      <c r="AM178" s="81">
        <v>0</v>
      </c>
      <c r="AN178" s="81">
        <v>4</v>
      </c>
      <c r="AO178" s="81" t="b">
        <v>0</v>
      </c>
      <c r="AP178" s="81">
        <v>0</v>
      </c>
      <c r="AQ178" s="81"/>
      <c r="AR178" s="81"/>
      <c r="AS178" s="81" t="s">
        <v>2571</v>
      </c>
      <c r="AT178" s="83" t="str">
        <f>HYPERLINK("https://www.youtube.com/channel/UCU1shm6JrEDvuq2yKfuehPw")</f>
        <v>https://www.youtube.com/channel/UCU1shm6JrEDvuq2yKfuehPw</v>
      </c>
      <c r="AU178" s="81">
        <v>1</v>
      </c>
      <c r="AV178" s="49">
        <v>0</v>
      </c>
      <c r="AW178" s="50">
        <v>0</v>
      </c>
      <c r="AX178" s="49">
        <v>1</v>
      </c>
      <c r="AY178" s="50">
        <v>20</v>
      </c>
      <c r="AZ178" s="49">
        <v>0</v>
      </c>
      <c r="BA178" s="50">
        <v>0</v>
      </c>
      <c r="BB178" s="49">
        <v>1</v>
      </c>
      <c r="BC178" s="50">
        <v>20</v>
      </c>
      <c r="BD178" s="49">
        <v>5</v>
      </c>
      <c r="BE178" s="49"/>
      <c r="BF178" s="49"/>
      <c r="BG178" s="49"/>
      <c r="BH178" s="49"/>
      <c r="BI178" s="49"/>
      <c r="BJ178" s="49"/>
      <c r="BK178" s="115" t="s">
        <v>2722</v>
      </c>
      <c r="BL178" s="115" t="s">
        <v>2722</v>
      </c>
      <c r="BM178" s="115" t="s">
        <v>3189</v>
      </c>
      <c r="BN178" s="115" t="s">
        <v>3189</v>
      </c>
      <c r="BO178" s="2"/>
      <c r="BP178" s="3"/>
      <c r="BQ178" s="3"/>
      <c r="BR178" s="3"/>
      <c r="BS178" s="3"/>
    </row>
    <row r="179" spans="1:71" ht="15">
      <c r="A179" s="66" t="s">
        <v>397</v>
      </c>
      <c r="B179" s="67"/>
      <c r="C179" s="67"/>
      <c r="D179" s="68">
        <v>150</v>
      </c>
      <c r="E179" s="70"/>
      <c r="F179" s="102" t="str">
        <f>HYPERLINK("https://yt3.ggpht.com/ytc/AOPolaTdc7C3Zc9llJMka663dBP9GhChbVZJbX2AaufZKx5WIg-nJ8V_8faf3EuRMZR9=s88-c-k-c0x00ffffff-no-rj")</f>
        <v>https://yt3.ggpht.com/ytc/AOPolaTdc7C3Zc9llJMka663dBP9GhChbVZJbX2AaufZKx5WIg-nJ8V_8faf3EuRMZR9=s88-c-k-c0x00ffffff-no-rj</v>
      </c>
      <c r="G179" s="67"/>
      <c r="H179" s="71" t="s">
        <v>1473</v>
      </c>
      <c r="I179" s="72"/>
      <c r="J179" s="72" t="s">
        <v>159</v>
      </c>
      <c r="K179" s="71" t="s">
        <v>1473</v>
      </c>
      <c r="L179" s="75">
        <v>1</v>
      </c>
      <c r="M179" s="76">
        <v>3212.79345703125</v>
      </c>
      <c r="N179" s="76">
        <v>7744.6005859375</v>
      </c>
      <c r="O179" s="77"/>
      <c r="P179" s="78"/>
      <c r="Q179" s="78"/>
      <c r="R179" s="88"/>
      <c r="S179" s="49">
        <v>0</v>
      </c>
      <c r="T179" s="49">
        <v>1</v>
      </c>
      <c r="U179" s="50">
        <v>0</v>
      </c>
      <c r="V179" s="50">
        <v>0.177728</v>
      </c>
      <c r="W179" s="50">
        <v>0.049759</v>
      </c>
      <c r="X179" s="50">
        <v>0.001579</v>
      </c>
      <c r="Y179" s="50">
        <v>0</v>
      </c>
      <c r="Z179" s="50">
        <v>0</v>
      </c>
      <c r="AA179" s="73">
        <v>179</v>
      </c>
      <c r="AB179" s="73"/>
      <c r="AC179" s="74"/>
      <c r="AD179" s="81" t="s">
        <v>1473</v>
      </c>
      <c r="AE179" s="81"/>
      <c r="AF179" s="81"/>
      <c r="AG179" s="81"/>
      <c r="AH179" s="81"/>
      <c r="AI179" s="81" t="s">
        <v>2195</v>
      </c>
      <c r="AJ179" s="85">
        <v>43399.323125</v>
      </c>
      <c r="AK179" s="83" t="str">
        <f>HYPERLINK("https://yt3.ggpht.com/ytc/AOPolaTdc7C3Zc9llJMka663dBP9GhChbVZJbX2AaufZKx5WIg-nJ8V_8faf3EuRMZR9=s88-c-k-c0x00ffffff-no-rj")</f>
        <v>https://yt3.ggpht.com/ytc/AOPolaTdc7C3Zc9llJMka663dBP9GhChbVZJbX2AaufZKx5WIg-nJ8V_8faf3EuRMZR9=s88-c-k-c0x00ffffff-no-rj</v>
      </c>
      <c r="AL179" s="81">
        <v>587</v>
      </c>
      <c r="AM179" s="81">
        <v>0</v>
      </c>
      <c r="AN179" s="81">
        <v>14</v>
      </c>
      <c r="AO179" s="81" t="b">
        <v>0</v>
      </c>
      <c r="AP179" s="81">
        <v>7</v>
      </c>
      <c r="AQ179" s="81"/>
      <c r="AR179" s="81"/>
      <c r="AS179" s="81" t="s">
        <v>2571</v>
      </c>
      <c r="AT179" s="83" t="str">
        <f>HYPERLINK("https://www.youtube.com/channel/UCyALyIYVo7UmyjIspPi3u3Q")</f>
        <v>https://www.youtube.com/channel/UCyALyIYVo7UmyjIspPi3u3Q</v>
      </c>
      <c r="AU179" s="81">
        <v>1</v>
      </c>
      <c r="AV179" s="49">
        <v>0</v>
      </c>
      <c r="AW179" s="50">
        <v>0</v>
      </c>
      <c r="AX179" s="49">
        <v>1</v>
      </c>
      <c r="AY179" s="50">
        <v>11.11111111111111</v>
      </c>
      <c r="AZ179" s="49">
        <v>0</v>
      </c>
      <c r="BA179" s="50">
        <v>0</v>
      </c>
      <c r="BB179" s="49">
        <v>3</v>
      </c>
      <c r="BC179" s="50">
        <v>33.333333333333336</v>
      </c>
      <c r="BD179" s="49">
        <v>9</v>
      </c>
      <c r="BE179" s="49"/>
      <c r="BF179" s="49"/>
      <c r="BG179" s="49"/>
      <c r="BH179" s="49"/>
      <c r="BI179" s="49"/>
      <c r="BJ179" s="49"/>
      <c r="BK179" s="115" t="s">
        <v>2723</v>
      </c>
      <c r="BL179" s="115" t="s">
        <v>2723</v>
      </c>
      <c r="BM179" s="115" t="s">
        <v>3190</v>
      </c>
      <c r="BN179" s="115" t="s">
        <v>3190</v>
      </c>
      <c r="BO179" s="2"/>
      <c r="BP179" s="3"/>
      <c r="BQ179" s="3"/>
      <c r="BR179" s="3"/>
      <c r="BS179" s="3"/>
    </row>
    <row r="180" spans="1:71" ht="15">
      <c r="A180" s="66" t="s">
        <v>398</v>
      </c>
      <c r="B180" s="67"/>
      <c r="C180" s="67"/>
      <c r="D180" s="68">
        <v>150</v>
      </c>
      <c r="E180" s="70"/>
      <c r="F180" s="102" t="str">
        <f>HYPERLINK("https://yt3.ggpht.com/ytc/AOPolaRGOWo2LVptj3qMm3jOpDfxdhnmCkB-PNcqdKBm=s88-c-k-c0x00ffffff-no-rj")</f>
        <v>https://yt3.ggpht.com/ytc/AOPolaRGOWo2LVptj3qMm3jOpDfxdhnmCkB-PNcqdKBm=s88-c-k-c0x00ffffff-no-rj</v>
      </c>
      <c r="G180" s="67"/>
      <c r="H180" s="71" t="s">
        <v>1474</v>
      </c>
      <c r="I180" s="72"/>
      <c r="J180" s="72" t="s">
        <v>159</v>
      </c>
      <c r="K180" s="71" t="s">
        <v>1474</v>
      </c>
      <c r="L180" s="75">
        <v>1</v>
      </c>
      <c r="M180" s="76">
        <v>397.4652404785156</v>
      </c>
      <c r="N180" s="76">
        <v>6666.72998046875</v>
      </c>
      <c r="O180" s="77"/>
      <c r="P180" s="78"/>
      <c r="Q180" s="78"/>
      <c r="R180" s="88"/>
      <c r="S180" s="49">
        <v>0</v>
      </c>
      <c r="T180" s="49">
        <v>1</v>
      </c>
      <c r="U180" s="50">
        <v>0</v>
      </c>
      <c r="V180" s="50">
        <v>0.177728</v>
      </c>
      <c r="W180" s="50">
        <v>0.049759</v>
      </c>
      <c r="X180" s="50">
        <v>0.001579</v>
      </c>
      <c r="Y180" s="50">
        <v>0</v>
      </c>
      <c r="Z180" s="50">
        <v>0</v>
      </c>
      <c r="AA180" s="73">
        <v>180</v>
      </c>
      <c r="AB180" s="73"/>
      <c r="AC180" s="74"/>
      <c r="AD180" s="81" t="s">
        <v>1474</v>
      </c>
      <c r="AE180" s="81" t="s">
        <v>1948</v>
      </c>
      <c r="AF180" s="81"/>
      <c r="AG180" s="81"/>
      <c r="AH180" s="81"/>
      <c r="AI180" s="81" t="s">
        <v>2196</v>
      </c>
      <c r="AJ180" s="85">
        <v>39549.236296296294</v>
      </c>
      <c r="AK180" s="83" t="str">
        <f>HYPERLINK("https://yt3.ggpht.com/ytc/AOPolaRGOWo2LVptj3qMm3jOpDfxdhnmCkB-PNcqdKBm=s88-c-k-c0x00ffffff-no-rj")</f>
        <v>https://yt3.ggpht.com/ytc/AOPolaRGOWo2LVptj3qMm3jOpDfxdhnmCkB-PNcqdKBm=s88-c-k-c0x00ffffff-no-rj</v>
      </c>
      <c r="AL180" s="81">
        <v>8458865</v>
      </c>
      <c r="AM180" s="81">
        <v>0</v>
      </c>
      <c r="AN180" s="81">
        <v>17100</v>
      </c>
      <c r="AO180" s="81" t="b">
        <v>0</v>
      </c>
      <c r="AP180" s="81">
        <v>1385</v>
      </c>
      <c r="AQ180" s="81"/>
      <c r="AR180" s="81"/>
      <c r="AS180" s="81" t="s">
        <v>2571</v>
      </c>
      <c r="AT180" s="83" t="str">
        <f>HYPERLINK("https://www.youtube.com/channel/UCWuhZOgUIJVM-uxdAzyK_nw")</f>
        <v>https://www.youtube.com/channel/UCWuhZOgUIJVM-uxdAzyK_nw</v>
      </c>
      <c r="AU180" s="81">
        <v>1</v>
      </c>
      <c r="AV180" s="49">
        <v>0</v>
      </c>
      <c r="AW180" s="50">
        <v>0</v>
      </c>
      <c r="AX180" s="49">
        <v>1</v>
      </c>
      <c r="AY180" s="50">
        <v>10</v>
      </c>
      <c r="AZ180" s="49">
        <v>0</v>
      </c>
      <c r="BA180" s="50">
        <v>0</v>
      </c>
      <c r="BB180" s="49">
        <v>3</v>
      </c>
      <c r="BC180" s="50">
        <v>30</v>
      </c>
      <c r="BD180" s="49">
        <v>10</v>
      </c>
      <c r="BE180" s="49"/>
      <c r="BF180" s="49"/>
      <c r="BG180" s="49"/>
      <c r="BH180" s="49"/>
      <c r="BI180" s="49"/>
      <c r="BJ180" s="49"/>
      <c r="BK180" s="115" t="s">
        <v>2724</v>
      </c>
      <c r="BL180" s="115" t="s">
        <v>2724</v>
      </c>
      <c r="BM180" s="115" t="s">
        <v>3191</v>
      </c>
      <c r="BN180" s="115" t="s">
        <v>3191</v>
      </c>
      <c r="BO180" s="2"/>
      <c r="BP180" s="3"/>
      <c r="BQ180" s="3"/>
      <c r="BR180" s="3"/>
      <c r="BS180" s="3"/>
    </row>
    <row r="181" spans="1:71" ht="15">
      <c r="A181" s="66" t="s">
        <v>399</v>
      </c>
      <c r="B181" s="67"/>
      <c r="C181" s="67"/>
      <c r="D181" s="68">
        <v>150</v>
      </c>
      <c r="E181" s="70"/>
      <c r="F181" s="102" t="str">
        <f>HYPERLINK("https://yt3.ggpht.com/ytc/AOPolaQPZl78N6aUxYa7yb69T-9v8zLv1mIe7KMoLw=s88-c-k-c0x00ffffff-no-rj")</f>
        <v>https://yt3.ggpht.com/ytc/AOPolaQPZl78N6aUxYa7yb69T-9v8zLv1mIe7KMoLw=s88-c-k-c0x00ffffff-no-rj</v>
      </c>
      <c r="G181" s="67"/>
      <c r="H181" s="71" t="s">
        <v>1475</v>
      </c>
      <c r="I181" s="72"/>
      <c r="J181" s="72" t="s">
        <v>159</v>
      </c>
      <c r="K181" s="71" t="s">
        <v>1475</v>
      </c>
      <c r="L181" s="75">
        <v>1</v>
      </c>
      <c r="M181" s="76">
        <v>5915.7578125</v>
      </c>
      <c r="N181" s="76">
        <v>6424.40234375</v>
      </c>
      <c r="O181" s="77"/>
      <c r="P181" s="78"/>
      <c r="Q181" s="78"/>
      <c r="R181" s="88"/>
      <c r="S181" s="49">
        <v>0</v>
      </c>
      <c r="T181" s="49">
        <v>1</v>
      </c>
      <c r="U181" s="50">
        <v>0</v>
      </c>
      <c r="V181" s="50">
        <v>0.177728</v>
      </c>
      <c r="W181" s="50">
        <v>0.049759</v>
      </c>
      <c r="X181" s="50">
        <v>0.001579</v>
      </c>
      <c r="Y181" s="50">
        <v>0</v>
      </c>
      <c r="Z181" s="50">
        <v>0</v>
      </c>
      <c r="AA181" s="73">
        <v>181</v>
      </c>
      <c r="AB181" s="73"/>
      <c r="AC181" s="74"/>
      <c r="AD181" s="81" t="s">
        <v>1475</v>
      </c>
      <c r="AE181" s="81"/>
      <c r="AF181" s="81"/>
      <c r="AG181" s="81"/>
      <c r="AH181" s="81"/>
      <c r="AI181" s="81" t="s">
        <v>2197</v>
      </c>
      <c r="AJ181" s="85">
        <v>41178.869375</v>
      </c>
      <c r="AK181" s="83" t="str">
        <f>HYPERLINK("https://yt3.ggpht.com/ytc/AOPolaQPZl78N6aUxYa7yb69T-9v8zLv1mIe7KMoLw=s88-c-k-c0x00ffffff-no-rj")</f>
        <v>https://yt3.ggpht.com/ytc/AOPolaQPZl78N6aUxYa7yb69T-9v8zLv1mIe7KMoLw=s88-c-k-c0x00ffffff-no-rj</v>
      </c>
      <c r="AL181" s="81">
        <v>0</v>
      </c>
      <c r="AM181" s="81">
        <v>0</v>
      </c>
      <c r="AN181" s="81">
        <v>6</v>
      </c>
      <c r="AO181" s="81" t="b">
        <v>0</v>
      </c>
      <c r="AP181" s="81">
        <v>0</v>
      </c>
      <c r="AQ181" s="81"/>
      <c r="AR181" s="81"/>
      <c r="AS181" s="81" t="s">
        <v>2571</v>
      </c>
      <c r="AT181" s="83" t="str">
        <f>HYPERLINK("https://www.youtube.com/channel/UCUiE6wxkLRK00sgNWg6Jkcw")</f>
        <v>https://www.youtube.com/channel/UCUiE6wxkLRK00sgNWg6Jkcw</v>
      </c>
      <c r="AU181" s="81">
        <v>1</v>
      </c>
      <c r="AV181" s="49">
        <v>2</v>
      </c>
      <c r="AW181" s="50">
        <v>14.285714285714286</v>
      </c>
      <c r="AX181" s="49">
        <v>1</v>
      </c>
      <c r="AY181" s="50">
        <v>7.142857142857143</v>
      </c>
      <c r="AZ181" s="49">
        <v>0</v>
      </c>
      <c r="BA181" s="50">
        <v>0</v>
      </c>
      <c r="BB181" s="49">
        <v>4</v>
      </c>
      <c r="BC181" s="50">
        <v>28.571428571428573</v>
      </c>
      <c r="BD181" s="49">
        <v>14</v>
      </c>
      <c r="BE181" s="49"/>
      <c r="BF181" s="49"/>
      <c r="BG181" s="49"/>
      <c r="BH181" s="49"/>
      <c r="BI181" s="49"/>
      <c r="BJ181" s="49"/>
      <c r="BK181" s="115" t="s">
        <v>2725</v>
      </c>
      <c r="BL181" s="115" t="s">
        <v>2725</v>
      </c>
      <c r="BM181" s="115" t="s">
        <v>3192</v>
      </c>
      <c r="BN181" s="115" t="s">
        <v>3192</v>
      </c>
      <c r="BO181" s="2"/>
      <c r="BP181" s="3"/>
      <c r="BQ181" s="3"/>
      <c r="BR181" s="3"/>
      <c r="BS181" s="3"/>
    </row>
    <row r="182" spans="1:71" ht="15">
      <c r="A182" s="66" t="s">
        <v>400</v>
      </c>
      <c r="B182" s="67"/>
      <c r="C182" s="67"/>
      <c r="D182" s="68">
        <v>150</v>
      </c>
      <c r="E182" s="70"/>
      <c r="F182" s="102" t="str">
        <f>HYPERLINK("https://yt3.ggpht.com/ytc/AOPolaR0gerDV9DdyRqrbCOOZlDFB1GhLnGyvG93MQ=s88-c-k-c0x00ffffff-no-rj")</f>
        <v>https://yt3.ggpht.com/ytc/AOPolaR0gerDV9DdyRqrbCOOZlDFB1GhLnGyvG93MQ=s88-c-k-c0x00ffffff-no-rj</v>
      </c>
      <c r="G182" s="67"/>
      <c r="H182" s="71" t="s">
        <v>1476</v>
      </c>
      <c r="I182" s="72"/>
      <c r="J182" s="72" t="s">
        <v>159</v>
      </c>
      <c r="K182" s="71" t="s">
        <v>1476</v>
      </c>
      <c r="L182" s="75">
        <v>1</v>
      </c>
      <c r="M182" s="76">
        <v>5580.21337890625</v>
      </c>
      <c r="N182" s="76">
        <v>6023.49853515625</v>
      </c>
      <c r="O182" s="77"/>
      <c r="P182" s="78"/>
      <c r="Q182" s="78"/>
      <c r="R182" s="88"/>
      <c r="S182" s="49">
        <v>0</v>
      </c>
      <c r="T182" s="49">
        <v>1</v>
      </c>
      <c r="U182" s="50">
        <v>0</v>
      </c>
      <c r="V182" s="50">
        <v>0.177728</v>
      </c>
      <c r="W182" s="50">
        <v>0.049759</v>
      </c>
      <c r="X182" s="50">
        <v>0.001579</v>
      </c>
      <c r="Y182" s="50">
        <v>0</v>
      </c>
      <c r="Z182" s="50">
        <v>0</v>
      </c>
      <c r="AA182" s="73">
        <v>182</v>
      </c>
      <c r="AB182" s="73"/>
      <c r="AC182" s="74"/>
      <c r="AD182" s="81" t="s">
        <v>1476</v>
      </c>
      <c r="AE182" s="81"/>
      <c r="AF182" s="81"/>
      <c r="AG182" s="81"/>
      <c r="AH182" s="81"/>
      <c r="AI182" s="81" t="s">
        <v>2198</v>
      </c>
      <c r="AJ182" s="85">
        <v>40304.432534722226</v>
      </c>
      <c r="AK182" s="83" t="str">
        <f>HYPERLINK("https://yt3.ggpht.com/ytc/AOPolaR0gerDV9DdyRqrbCOOZlDFB1GhLnGyvG93MQ=s88-c-k-c0x00ffffff-no-rj")</f>
        <v>https://yt3.ggpht.com/ytc/AOPolaR0gerDV9DdyRqrbCOOZlDFB1GhLnGyvG93MQ=s88-c-k-c0x00ffffff-no-rj</v>
      </c>
      <c r="AL182" s="81">
        <v>69</v>
      </c>
      <c r="AM182" s="81">
        <v>0</v>
      </c>
      <c r="AN182" s="81">
        <v>8</v>
      </c>
      <c r="AO182" s="81" t="b">
        <v>0</v>
      </c>
      <c r="AP182" s="81">
        <v>2</v>
      </c>
      <c r="AQ182" s="81"/>
      <c r="AR182" s="81"/>
      <c r="AS182" s="81" t="s">
        <v>2571</v>
      </c>
      <c r="AT182" s="83" t="str">
        <f>HYPERLINK("https://www.youtube.com/channel/UCUH9XHHkBCoPb9bo9b7Sw3A")</f>
        <v>https://www.youtube.com/channel/UCUH9XHHkBCoPb9bo9b7Sw3A</v>
      </c>
      <c r="AU182" s="81">
        <v>1</v>
      </c>
      <c r="AV182" s="49">
        <v>0</v>
      </c>
      <c r="AW182" s="50">
        <v>0</v>
      </c>
      <c r="AX182" s="49">
        <v>1</v>
      </c>
      <c r="AY182" s="50">
        <v>10</v>
      </c>
      <c r="AZ182" s="49">
        <v>0</v>
      </c>
      <c r="BA182" s="50">
        <v>0</v>
      </c>
      <c r="BB182" s="49">
        <v>4</v>
      </c>
      <c r="BC182" s="50">
        <v>40</v>
      </c>
      <c r="BD182" s="49">
        <v>10</v>
      </c>
      <c r="BE182" s="49"/>
      <c r="BF182" s="49"/>
      <c r="BG182" s="49"/>
      <c r="BH182" s="49"/>
      <c r="BI182" s="49"/>
      <c r="BJ182" s="49"/>
      <c r="BK182" s="115" t="s">
        <v>2726</v>
      </c>
      <c r="BL182" s="115" t="s">
        <v>2726</v>
      </c>
      <c r="BM182" s="115" t="s">
        <v>3193</v>
      </c>
      <c r="BN182" s="115" t="s">
        <v>3193</v>
      </c>
      <c r="BO182" s="2"/>
      <c r="BP182" s="3"/>
      <c r="BQ182" s="3"/>
      <c r="BR182" s="3"/>
      <c r="BS182" s="3"/>
    </row>
    <row r="183" spans="1:71" ht="15">
      <c r="A183" s="66" t="s">
        <v>401</v>
      </c>
      <c r="B183" s="67"/>
      <c r="C183" s="67"/>
      <c r="D183" s="68">
        <v>150</v>
      </c>
      <c r="E183" s="70"/>
      <c r="F183" s="102" t="str">
        <f>HYPERLINK("https://yt3.ggpht.com/ytc/AOPolaTjhLCbUTDP3r1n-JsHjM301somKXsqk_z7Mw=s88-c-k-c0x00ffffff-no-rj")</f>
        <v>https://yt3.ggpht.com/ytc/AOPolaTjhLCbUTDP3r1n-JsHjM301somKXsqk_z7Mw=s88-c-k-c0x00ffffff-no-rj</v>
      </c>
      <c r="G183" s="67"/>
      <c r="H183" s="71" t="s">
        <v>1477</v>
      </c>
      <c r="I183" s="72"/>
      <c r="J183" s="72" t="s">
        <v>159</v>
      </c>
      <c r="K183" s="71" t="s">
        <v>1477</v>
      </c>
      <c r="L183" s="75">
        <v>1</v>
      </c>
      <c r="M183" s="76">
        <v>6197.8271484375</v>
      </c>
      <c r="N183" s="76">
        <v>7515.83154296875</v>
      </c>
      <c r="O183" s="77"/>
      <c r="P183" s="78"/>
      <c r="Q183" s="78"/>
      <c r="R183" s="88"/>
      <c r="S183" s="49">
        <v>0</v>
      </c>
      <c r="T183" s="49">
        <v>1</v>
      </c>
      <c r="U183" s="50">
        <v>0</v>
      </c>
      <c r="V183" s="50">
        <v>0.177728</v>
      </c>
      <c r="W183" s="50">
        <v>0.049759</v>
      </c>
      <c r="X183" s="50">
        <v>0.001579</v>
      </c>
      <c r="Y183" s="50">
        <v>0</v>
      </c>
      <c r="Z183" s="50">
        <v>0</v>
      </c>
      <c r="AA183" s="73">
        <v>183</v>
      </c>
      <c r="AB183" s="73"/>
      <c r="AC183" s="74"/>
      <c r="AD183" s="81" t="s">
        <v>1477</v>
      </c>
      <c r="AE183" s="81"/>
      <c r="AF183" s="81"/>
      <c r="AG183" s="81"/>
      <c r="AH183" s="81"/>
      <c r="AI183" s="81" t="s">
        <v>2199</v>
      </c>
      <c r="AJ183" s="85">
        <v>40667.33484953704</v>
      </c>
      <c r="AK183" s="83" t="str">
        <f>HYPERLINK("https://yt3.ggpht.com/ytc/AOPolaTjhLCbUTDP3r1n-JsHjM301somKXsqk_z7Mw=s88-c-k-c0x00ffffff-no-rj")</f>
        <v>https://yt3.ggpht.com/ytc/AOPolaTjhLCbUTDP3r1n-JsHjM301somKXsqk_z7Mw=s88-c-k-c0x00ffffff-no-rj</v>
      </c>
      <c r="AL183" s="81">
        <v>0</v>
      </c>
      <c r="AM183" s="81">
        <v>0</v>
      </c>
      <c r="AN183" s="81">
        <v>0</v>
      </c>
      <c r="AO183" s="81" t="b">
        <v>0</v>
      </c>
      <c r="AP183" s="81">
        <v>0</v>
      </c>
      <c r="AQ183" s="81"/>
      <c r="AR183" s="81"/>
      <c r="AS183" s="81" t="s">
        <v>2571</v>
      </c>
      <c r="AT183" s="83" t="str">
        <f>HYPERLINK("https://www.youtube.com/channel/UCOE57eOfeMOOfqwjquRvzkQ")</f>
        <v>https://www.youtube.com/channel/UCOE57eOfeMOOfqwjquRvzkQ</v>
      </c>
      <c r="AU183" s="81">
        <v>1</v>
      </c>
      <c r="AV183" s="49">
        <v>1</v>
      </c>
      <c r="AW183" s="50">
        <v>7.6923076923076925</v>
      </c>
      <c r="AX183" s="49">
        <v>1</v>
      </c>
      <c r="AY183" s="50">
        <v>7.6923076923076925</v>
      </c>
      <c r="AZ183" s="49">
        <v>0</v>
      </c>
      <c r="BA183" s="50">
        <v>0</v>
      </c>
      <c r="BB183" s="49">
        <v>3</v>
      </c>
      <c r="BC183" s="50">
        <v>23.076923076923077</v>
      </c>
      <c r="BD183" s="49">
        <v>13</v>
      </c>
      <c r="BE183" s="49"/>
      <c r="BF183" s="49"/>
      <c r="BG183" s="49"/>
      <c r="BH183" s="49"/>
      <c r="BI183" s="49"/>
      <c r="BJ183" s="49"/>
      <c r="BK183" s="115" t="s">
        <v>2727</v>
      </c>
      <c r="BL183" s="115" t="s">
        <v>2727</v>
      </c>
      <c r="BM183" s="115" t="s">
        <v>3194</v>
      </c>
      <c r="BN183" s="115" t="s">
        <v>3194</v>
      </c>
      <c r="BO183" s="2"/>
      <c r="BP183" s="3"/>
      <c r="BQ183" s="3"/>
      <c r="BR183" s="3"/>
      <c r="BS183" s="3"/>
    </row>
    <row r="184" spans="1:71" ht="15">
      <c r="A184" s="66" t="s">
        <v>402</v>
      </c>
      <c r="B184" s="67"/>
      <c r="C184" s="67"/>
      <c r="D184" s="68">
        <v>150</v>
      </c>
      <c r="E184" s="70"/>
      <c r="F184" s="102" t="str">
        <f>HYPERLINK("https://yt3.ggpht.com/ytc/AOPolaT7K31tPA6en4iHqcVIJz5Dj6avNMmsSebv5vc72zKKhI7nApcEFbjw7pyOTSjF=s88-c-k-c0x00ffffff-no-rj")</f>
        <v>https://yt3.ggpht.com/ytc/AOPolaT7K31tPA6en4iHqcVIJz5Dj6avNMmsSebv5vc72zKKhI7nApcEFbjw7pyOTSjF=s88-c-k-c0x00ffffff-no-rj</v>
      </c>
      <c r="G184" s="67"/>
      <c r="H184" s="71" t="s">
        <v>1478</v>
      </c>
      <c r="I184" s="72"/>
      <c r="J184" s="72" t="s">
        <v>159</v>
      </c>
      <c r="K184" s="71" t="s">
        <v>1478</v>
      </c>
      <c r="L184" s="75">
        <v>1</v>
      </c>
      <c r="M184" s="76">
        <v>3646.376708984375</v>
      </c>
      <c r="N184" s="76">
        <v>6176.2138671875</v>
      </c>
      <c r="O184" s="77"/>
      <c r="P184" s="78"/>
      <c r="Q184" s="78"/>
      <c r="R184" s="88"/>
      <c r="S184" s="49">
        <v>0</v>
      </c>
      <c r="T184" s="49">
        <v>1</v>
      </c>
      <c r="U184" s="50">
        <v>0</v>
      </c>
      <c r="V184" s="50">
        <v>0.177728</v>
      </c>
      <c r="W184" s="50">
        <v>0.049759</v>
      </c>
      <c r="X184" s="50">
        <v>0.001579</v>
      </c>
      <c r="Y184" s="50">
        <v>0</v>
      </c>
      <c r="Z184" s="50">
        <v>0</v>
      </c>
      <c r="AA184" s="73">
        <v>184</v>
      </c>
      <c r="AB184" s="73"/>
      <c r="AC184" s="74"/>
      <c r="AD184" s="81" t="s">
        <v>1478</v>
      </c>
      <c r="AE184" s="81"/>
      <c r="AF184" s="81"/>
      <c r="AG184" s="81"/>
      <c r="AH184" s="81"/>
      <c r="AI184" s="81" t="s">
        <v>2200</v>
      </c>
      <c r="AJ184" s="85">
        <v>44958.77664351852</v>
      </c>
      <c r="AK184" s="83" t="str">
        <f>HYPERLINK("https://yt3.ggpht.com/ytc/AOPolaT7K31tPA6en4iHqcVIJz5Dj6avNMmsSebv5vc72zKKhI7nApcEFbjw7pyOTSjF=s88-c-k-c0x00ffffff-no-rj")</f>
        <v>https://yt3.ggpht.com/ytc/AOPolaT7K31tPA6en4iHqcVIJz5Dj6avNMmsSebv5vc72zKKhI7nApcEFbjw7pyOTSjF=s88-c-k-c0x00ffffff-no-rj</v>
      </c>
      <c r="AL184" s="81">
        <v>0</v>
      </c>
      <c r="AM184" s="81">
        <v>0</v>
      </c>
      <c r="AN184" s="81">
        <v>0</v>
      </c>
      <c r="AO184" s="81" t="b">
        <v>0</v>
      </c>
      <c r="AP184" s="81">
        <v>0</v>
      </c>
      <c r="AQ184" s="81"/>
      <c r="AR184" s="81"/>
      <c r="AS184" s="81" t="s">
        <v>2571</v>
      </c>
      <c r="AT184" s="83" t="str">
        <f>HYPERLINK("https://www.youtube.com/channel/UCPoUpe3fNIBPJCRcyvoSPSg")</f>
        <v>https://www.youtube.com/channel/UCPoUpe3fNIBPJCRcyvoSPSg</v>
      </c>
      <c r="AU184" s="81">
        <v>1</v>
      </c>
      <c r="AV184" s="49">
        <v>0</v>
      </c>
      <c r="AW184" s="50">
        <v>0</v>
      </c>
      <c r="AX184" s="49">
        <v>0</v>
      </c>
      <c r="AY184" s="50">
        <v>0</v>
      </c>
      <c r="AZ184" s="49">
        <v>0</v>
      </c>
      <c r="BA184" s="50">
        <v>0</v>
      </c>
      <c r="BB184" s="49">
        <v>1</v>
      </c>
      <c r="BC184" s="50">
        <v>100</v>
      </c>
      <c r="BD184" s="49">
        <v>1</v>
      </c>
      <c r="BE184" s="49"/>
      <c r="BF184" s="49"/>
      <c r="BG184" s="49"/>
      <c r="BH184" s="49"/>
      <c r="BI184" s="49"/>
      <c r="BJ184" s="49"/>
      <c r="BK184" s="115" t="s">
        <v>2728</v>
      </c>
      <c r="BL184" s="115" t="s">
        <v>2728</v>
      </c>
      <c r="BM184" s="115" t="s">
        <v>4477</v>
      </c>
      <c r="BN184" s="115" t="s">
        <v>4477</v>
      </c>
      <c r="BO184" s="2"/>
      <c r="BP184" s="3"/>
      <c r="BQ184" s="3"/>
      <c r="BR184" s="3"/>
      <c r="BS184" s="3"/>
    </row>
    <row r="185" spans="1:71" ht="15">
      <c r="A185" s="66" t="s">
        <v>403</v>
      </c>
      <c r="B185" s="67"/>
      <c r="C185" s="67"/>
      <c r="D185" s="68">
        <v>150</v>
      </c>
      <c r="E185" s="70"/>
      <c r="F185" s="102" t="str">
        <f>HYPERLINK("https://yt3.ggpht.com/ytc/AOPolaRss2tU-qqQmMI_GXH7K-lXLa68xpLJyryxQQ=s88-c-k-c0x00ffffff-no-rj")</f>
        <v>https://yt3.ggpht.com/ytc/AOPolaRss2tU-qqQmMI_GXH7K-lXLa68xpLJyryxQQ=s88-c-k-c0x00ffffff-no-rj</v>
      </c>
      <c r="G185" s="67"/>
      <c r="H185" s="71" t="s">
        <v>1479</v>
      </c>
      <c r="I185" s="72"/>
      <c r="J185" s="72" t="s">
        <v>159</v>
      </c>
      <c r="K185" s="71" t="s">
        <v>1479</v>
      </c>
      <c r="L185" s="75">
        <v>1</v>
      </c>
      <c r="M185" s="76">
        <v>4975.8193359375</v>
      </c>
      <c r="N185" s="76">
        <v>9176.8603515625</v>
      </c>
      <c r="O185" s="77"/>
      <c r="P185" s="78"/>
      <c r="Q185" s="78"/>
      <c r="R185" s="88"/>
      <c r="S185" s="49">
        <v>0</v>
      </c>
      <c r="T185" s="49">
        <v>1</v>
      </c>
      <c r="U185" s="50">
        <v>0</v>
      </c>
      <c r="V185" s="50">
        <v>0.177728</v>
      </c>
      <c r="W185" s="50">
        <v>0.049759</v>
      </c>
      <c r="X185" s="50">
        <v>0.001579</v>
      </c>
      <c r="Y185" s="50">
        <v>0</v>
      </c>
      <c r="Z185" s="50">
        <v>0</v>
      </c>
      <c r="AA185" s="73">
        <v>185</v>
      </c>
      <c r="AB185" s="73"/>
      <c r="AC185" s="74"/>
      <c r="AD185" s="81" t="s">
        <v>1479</v>
      </c>
      <c r="AE185" s="81"/>
      <c r="AF185" s="81"/>
      <c r="AG185" s="81"/>
      <c r="AH185" s="81"/>
      <c r="AI185" s="81" t="s">
        <v>2201</v>
      </c>
      <c r="AJ185" s="85">
        <v>44289.30459490741</v>
      </c>
      <c r="AK185" s="83" t="str">
        <f>HYPERLINK("https://yt3.ggpht.com/ytc/AOPolaRss2tU-qqQmMI_GXH7K-lXLa68xpLJyryxQQ=s88-c-k-c0x00ffffff-no-rj")</f>
        <v>https://yt3.ggpht.com/ytc/AOPolaRss2tU-qqQmMI_GXH7K-lXLa68xpLJyryxQQ=s88-c-k-c0x00ffffff-no-rj</v>
      </c>
      <c r="AL185" s="81">
        <v>0</v>
      </c>
      <c r="AM185" s="81">
        <v>0</v>
      </c>
      <c r="AN185" s="81">
        <v>12</v>
      </c>
      <c r="AO185" s="81" t="b">
        <v>0</v>
      </c>
      <c r="AP185" s="81">
        <v>0</v>
      </c>
      <c r="AQ185" s="81"/>
      <c r="AR185" s="81"/>
      <c r="AS185" s="81" t="s">
        <v>2571</v>
      </c>
      <c r="AT185" s="83" t="str">
        <f>HYPERLINK("https://www.youtube.com/channel/UChTy6Fa2ucd7PJkS_PU91pw")</f>
        <v>https://www.youtube.com/channel/UChTy6Fa2ucd7PJkS_PU91pw</v>
      </c>
      <c r="AU185" s="81">
        <v>1</v>
      </c>
      <c r="AV185" s="49">
        <v>0</v>
      </c>
      <c r="AW185" s="50">
        <v>0</v>
      </c>
      <c r="AX185" s="49">
        <v>0</v>
      </c>
      <c r="AY185" s="50">
        <v>0</v>
      </c>
      <c r="AZ185" s="49">
        <v>0</v>
      </c>
      <c r="BA185" s="50">
        <v>0</v>
      </c>
      <c r="BB185" s="49">
        <v>0</v>
      </c>
      <c r="BC185" s="50">
        <v>0</v>
      </c>
      <c r="BD185" s="49">
        <v>2</v>
      </c>
      <c r="BE185" s="49"/>
      <c r="BF185" s="49"/>
      <c r="BG185" s="49"/>
      <c r="BH185" s="49"/>
      <c r="BI185" s="49"/>
      <c r="BJ185" s="49"/>
      <c r="BK185" s="115" t="s">
        <v>4477</v>
      </c>
      <c r="BL185" s="115" t="s">
        <v>4477</v>
      </c>
      <c r="BM185" s="115" t="s">
        <v>4477</v>
      </c>
      <c r="BN185" s="115" t="s">
        <v>4477</v>
      </c>
      <c r="BO185" s="2"/>
      <c r="BP185" s="3"/>
      <c r="BQ185" s="3"/>
      <c r="BR185" s="3"/>
      <c r="BS185" s="3"/>
    </row>
    <row r="186" spans="1:71" ht="15">
      <c r="A186" s="66" t="s">
        <v>404</v>
      </c>
      <c r="B186" s="67"/>
      <c r="C186" s="67"/>
      <c r="D186" s="68">
        <v>150</v>
      </c>
      <c r="E186" s="70"/>
      <c r="F186" s="102" t="str">
        <f>HYPERLINK("https://yt3.ggpht.com/ytc/AOPolaQZMf4zNVjNWZUJoS-5s-s9nlT6KqniXNlfvWjrugyn0mCqx2EuBkDVHUgRtzdj=s88-c-k-c0x00ffffff-no-rj")</f>
        <v>https://yt3.ggpht.com/ytc/AOPolaQZMf4zNVjNWZUJoS-5s-s9nlT6KqniXNlfvWjrugyn0mCqx2EuBkDVHUgRtzdj=s88-c-k-c0x00ffffff-no-rj</v>
      </c>
      <c r="G186" s="67"/>
      <c r="H186" s="71" t="s">
        <v>1480</v>
      </c>
      <c r="I186" s="72"/>
      <c r="J186" s="72" t="s">
        <v>159</v>
      </c>
      <c r="K186" s="71" t="s">
        <v>1480</v>
      </c>
      <c r="L186" s="75">
        <v>1</v>
      </c>
      <c r="M186" s="76">
        <v>1262.841796875</v>
      </c>
      <c r="N186" s="76">
        <v>5371.19873046875</v>
      </c>
      <c r="O186" s="77"/>
      <c r="P186" s="78"/>
      <c r="Q186" s="78"/>
      <c r="R186" s="88"/>
      <c r="S186" s="49">
        <v>0</v>
      </c>
      <c r="T186" s="49">
        <v>1</v>
      </c>
      <c r="U186" s="50">
        <v>0</v>
      </c>
      <c r="V186" s="50">
        <v>0.177728</v>
      </c>
      <c r="W186" s="50">
        <v>0.049759</v>
      </c>
      <c r="X186" s="50">
        <v>0.001579</v>
      </c>
      <c r="Y186" s="50">
        <v>0</v>
      </c>
      <c r="Z186" s="50">
        <v>0</v>
      </c>
      <c r="AA186" s="73">
        <v>186</v>
      </c>
      <c r="AB186" s="73"/>
      <c r="AC186" s="74"/>
      <c r="AD186" s="81" t="s">
        <v>1480</v>
      </c>
      <c r="AE186" s="81"/>
      <c r="AF186" s="81"/>
      <c r="AG186" s="81"/>
      <c r="AH186" s="81"/>
      <c r="AI186" s="81" t="s">
        <v>2202</v>
      </c>
      <c r="AJ186" s="85">
        <v>42752.14273148148</v>
      </c>
      <c r="AK186" s="83" t="str">
        <f>HYPERLINK("https://yt3.ggpht.com/ytc/AOPolaQZMf4zNVjNWZUJoS-5s-s9nlT6KqniXNlfvWjrugyn0mCqx2EuBkDVHUgRtzdj=s88-c-k-c0x00ffffff-no-rj")</f>
        <v>https://yt3.ggpht.com/ytc/AOPolaQZMf4zNVjNWZUJoS-5s-s9nlT6KqniXNlfvWjrugyn0mCqx2EuBkDVHUgRtzdj=s88-c-k-c0x00ffffff-no-rj</v>
      </c>
      <c r="AL186" s="81">
        <v>78</v>
      </c>
      <c r="AM186" s="81">
        <v>0</v>
      </c>
      <c r="AN186" s="81">
        <v>6</v>
      </c>
      <c r="AO186" s="81" t="b">
        <v>0</v>
      </c>
      <c r="AP186" s="81">
        <v>4</v>
      </c>
      <c r="AQ186" s="81"/>
      <c r="AR186" s="81"/>
      <c r="AS186" s="81" t="s">
        <v>2571</v>
      </c>
      <c r="AT186" s="83" t="str">
        <f>HYPERLINK("https://www.youtube.com/channel/UCY1gtLRu8FLXAOpOyWfGv7A")</f>
        <v>https://www.youtube.com/channel/UCY1gtLRu8FLXAOpOyWfGv7A</v>
      </c>
      <c r="AU186" s="81">
        <v>1</v>
      </c>
      <c r="AV186" s="49">
        <v>0</v>
      </c>
      <c r="AW186" s="50">
        <v>0</v>
      </c>
      <c r="AX186" s="49">
        <v>1</v>
      </c>
      <c r="AY186" s="50">
        <v>6.25</v>
      </c>
      <c r="AZ186" s="49">
        <v>0</v>
      </c>
      <c r="BA186" s="50">
        <v>0</v>
      </c>
      <c r="BB186" s="49">
        <v>7</v>
      </c>
      <c r="BC186" s="50">
        <v>43.75</v>
      </c>
      <c r="BD186" s="49">
        <v>16</v>
      </c>
      <c r="BE186" s="49"/>
      <c r="BF186" s="49"/>
      <c r="BG186" s="49"/>
      <c r="BH186" s="49"/>
      <c r="BI186" s="49"/>
      <c r="BJ186" s="49"/>
      <c r="BK186" s="115" t="s">
        <v>2729</v>
      </c>
      <c r="BL186" s="115" t="s">
        <v>2729</v>
      </c>
      <c r="BM186" s="115" t="s">
        <v>3195</v>
      </c>
      <c r="BN186" s="115" t="s">
        <v>3195</v>
      </c>
      <c r="BO186" s="2"/>
      <c r="BP186" s="3"/>
      <c r="BQ186" s="3"/>
      <c r="BR186" s="3"/>
      <c r="BS186" s="3"/>
    </row>
    <row r="187" spans="1:71" ht="15">
      <c r="A187" s="66" t="s">
        <v>405</v>
      </c>
      <c r="B187" s="67"/>
      <c r="C187" s="67"/>
      <c r="D187" s="68">
        <v>150</v>
      </c>
      <c r="E187" s="70"/>
      <c r="F187" s="102" t="str">
        <f>HYPERLINK("https://yt3.ggpht.com/XNlg2M8iW36BiicZaADF5YHeIm2VQQN3hViWHY2e1Kzd6vVIju-75-7MrP0kugyI-cSbHF1LHQ=s88-c-k-c0x00ffffff-no-rj")</f>
        <v>https://yt3.ggpht.com/XNlg2M8iW36BiicZaADF5YHeIm2VQQN3hViWHY2e1Kzd6vVIju-75-7MrP0kugyI-cSbHF1LHQ=s88-c-k-c0x00ffffff-no-rj</v>
      </c>
      <c r="G187" s="67"/>
      <c r="H187" s="71" t="s">
        <v>1481</v>
      </c>
      <c r="I187" s="72"/>
      <c r="J187" s="72" t="s">
        <v>159</v>
      </c>
      <c r="K187" s="71" t="s">
        <v>1481</v>
      </c>
      <c r="L187" s="75">
        <v>1</v>
      </c>
      <c r="M187" s="76">
        <v>4006.623779296875</v>
      </c>
      <c r="N187" s="76">
        <v>4805.4755859375</v>
      </c>
      <c r="O187" s="77"/>
      <c r="P187" s="78"/>
      <c r="Q187" s="78"/>
      <c r="R187" s="88"/>
      <c r="S187" s="49">
        <v>0</v>
      </c>
      <c r="T187" s="49">
        <v>1</v>
      </c>
      <c r="U187" s="50">
        <v>0</v>
      </c>
      <c r="V187" s="50">
        <v>0.177728</v>
      </c>
      <c r="W187" s="50">
        <v>0.049759</v>
      </c>
      <c r="X187" s="50">
        <v>0.001579</v>
      </c>
      <c r="Y187" s="50">
        <v>0</v>
      </c>
      <c r="Z187" s="50">
        <v>0</v>
      </c>
      <c r="AA187" s="73">
        <v>187</v>
      </c>
      <c r="AB187" s="73"/>
      <c r="AC187" s="74"/>
      <c r="AD187" s="81" t="s">
        <v>1481</v>
      </c>
      <c r="AE187" s="81" t="s">
        <v>1949</v>
      </c>
      <c r="AF187" s="81"/>
      <c r="AG187" s="81"/>
      <c r="AH187" s="81"/>
      <c r="AI187" s="81" t="s">
        <v>2203</v>
      </c>
      <c r="AJ187" s="85">
        <v>44944.72554398148</v>
      </c>
      <c r="AK187" s="83" t="str">
        <f>HYPERLINK("https://yt3.ggpht.com/XNlg2M8iW36BiicZaADF5YHeIm2VQQN3hViWHY2e1Kzd6vVIju-75-7MrP0kugyI-cSbHF1LHQ=s88-c-k-c0x00ffffff-no-rj")</f>
        <v>https://yt3.ggpht.com/XNlg2M8iW36BiicZaADF5YHeIm2VQQN3hViWHY2e1Kzd6vVIju-75-7MrP0kugyI-cSbHF1LHQ=s88-c-k-c0x00ffffff-no-rj</v>
      </c>
      <c r="AL187" s="81">
        <v>955</v>
      </c>
      <c r="AM187" s="81">
        <v>0</v>
      </c>
      <c r="AN187" s="81">
        <v>19</v>
      </c>
      <c r="AO187" s="81" t="b">
        <v>0</v>
      </c>
      <c r="AP187" s="81">
        <v>31</v>
      </c>
      <c r="AQ187" s="81"/>
      <c r="AR187" s="81"/>
      <c r="AS187" s="81" t="s">
        <v>2571</v>
      </c>
      <c r="AT187" s="83" t="str">
        <f>HYPERLINK("https://www.youtube.com/channel/UCWniJty321S9IogviKluAWA")</f>
        <v>https://www.youtube.com/channel/UCWniJty321S9IogviKluAWA</v>
      </c>
      <c r="AU187" s="81">
        <v>1</v>
      </c>
      <c r="AV187" s="49">
        <v>1</v>
      </c>
      <c r="AW187" s="50">
        <v>6.666666666666667</v>
      </c>
      <c r="AX187" s="49">
        <v>1</v>
      </c>
      <c r="AY187" s="50">
        <v>6.666666666666667</v>
      </c>
      <c r="AZ187" s="49">
        <v>0</v>
      </c>
      <c r="BA187" s="50">
        <v>0</v>
      </c>
      <c r="BB187" s="49">
        <v>5</v>
      </c>
      <c r="BC187" s="50">
        <v>33.333333333333336</v>
      </c>
      <c r="BD187" s="49">
        <v>15</v>
      </c>
      <c r="BE187" s="49"/>
      <c r="BF187" s="49"/>
      <c r="BG187" s="49"/>
      <c r="BH187" s="49"/>
      <c r="BI187" s="49"/>
      <c r="BJ187" s="49"/>
      <c r="BK187" s="115" t="s">
        <v>2730</v>
      </c>
      <c r="BL187" s="115" t="s">
        <v>2730</v>
      </c>
      <c r="BM187" s="115" t="s">
        <v>3196</v>
      </c>
      <c r="BN187" s="115" t="s">
        <v>3196</v>
      </c>
      <c r="BO187" s="2"/>
      <c r="BP187" s="3"/>
      <c r="BQ187" s="3"/>
      <c r="BR187" s="3"/>
      <c r="BS187" s="3"/>
    </row>
    <row r="188" spans="1:71" ht="15">
      <c r="A188" s="66" t="s">
        <v>406</v>
      </c>
      <c r="B188" s="67"/>
      <c r="C188" s="67"/>
      <c r="D188" s="68">
        <v>150</v>
      </c>
      <c r="E188" s="70"/>
      <c r="F188" s="102" t="str">
        <f>HYPERLINK("https://yt3.ggpht.com/ytc/AOPolaR__W4p3yRg013RX9LT6NtzbrSN9-QYE1na4g=s88-c-k-c0x00ffffff-no-rj")</f>
        <v>https://yt3.ggpht.com/ytc/AOPolaR__W4p3yRg013RX9LT6NtzbrSN9-QYE1na4g=s88-c-k-c0x00ffffff-no-rj</v>
      </c>
      <c r="G188" s="67"/>
      <c r="H188" s="71" t="s">
        <v>1482</v>
      </c>
      <c r="I188" s="72"/>
      <c r="J188" s="72" t="s">
        <v>159</v>
      </c>
      <c r="K188" s="71" t="s">
        <v>1482</v>
      </c>
      <c r="L188" s="75">
        <v>1</v>
      </c>
      <c r="M188" s="76">
        <v>1919.1829833984375</v>
      </c>
      <c r="N188" s="76">
        <v>4735.52001953125</v>
      </c>
      <c r="O188" s="77"/>
      <c r="P188" s="78"/>
      <c r="Q188" s="78"/>
      <c r="R188" s="88"/>
      <c r="S188" s="49">
        <v>0</v>
      </c>
      <c r="T188" s="49">
        <v>1</v>
      </c>
      <c r="U188" s="50">
        <v>0</v>
      </c>
      <c r="V188" s="50">
        <v>0.177728</v>
      </c>
      <c r="W188" s="50">
        <v>0.049759</v>
      </c>
      <c r="X188" s="50">
        <v>0.001579</v>
      </c>
      <c r="Y188" s="50">
        <v>0</v>
      </c>
      <c r="Z188" s="50">
        <v>0</v>
      </c>
      <c r="AA188" s="73">
        <v>188</v>
      </c>
      <c r="AB188" s="73"/>
      <c r="AC188" s="74"/>
      <c r="AD188" s="81" t="s">
        <v>1482</v>
      </c>
      <c r="AE188" s="81"/>
      <c r="AF188" s="81"/>
      <c r="AG188" s="81"/>
      <c r="AH188" s="81"/>
      <c r="AI188" s="81" t="s">
        <v>2204</v>
      </c>
      <c r="AJ188" s="85">
        <v>42810.6340625</v>
      </c>
      <c r="AK188" s="83" t="str">
        <f>HYPERLINK("https://yt3.ggpht.com/ytc/AOPolaR__W4p3yRg013RX9LT6NtzbrSN9-QYE1na4g=s88-c-k-c0x00ffffff-no-rj")</f>
        <v>https://yt3.ggpht.com/ytc/AOPolaR__W4p3yRg013RX9LT6NtzbrSN9-QYE1na4g=s88-c-k-c0x00ffffff-no-rj</v>
      </c>
      <c r="AL188" s="81">
        <v>0</v>
      </c>
      <c r="AM188" s="81">
        <v>0</v>
      </c>
      <c r="AN188" s="81">
        <v>0</v>
      </c>
      <c r="AO188" s="81" t="b">
        <v>0</v>
      </c>
      <c r="AP188" s="81">
        <v>0</v>
      </c>
      <c r="AQ188" s="81"/>
      <c r="AR188" s="81"/>
      <c r="AS188" s="81" t="s">
        <v>2571</v>
      </c>
      <c r="AT188" s="83" t="str">
        <f>HYPERLINK("https://www.youtube.com/channel/UCeJ_Z2C8nVtM7LEC46GOEXw")</f>
        <v>https://www.youtube.com/channel/UCeJ_Z2C8nVtM7LEC46GOEXw</v>
      </c>
      <c r="AU188" s="81">
        <v>1</v>
      </c>
      <c r="AV188" s="49">
        <v>0</v>
      </c>
      <c r="AW188" s="50">
        <v>0</v>
      </c>
      <c r="AX188" s="49">
        <v>0</v>
      </c>
      <c r="AY188" s="50">
        <v>0</v>
      </c>
      <c r="AZ188" s="49">
        <v>0</v>
      </c>
      <c r="BA188" s="50">
        <v>0</v>
      </c>
      <c r="BB188" s="49">
        <v>1</v>
      </c>
      <c r="BC188" s="50">
        <v>16.666666666666668</v>
      </c>
      <c r="BD188" s="49">
        <v>6</v>
      </c>
      <c r="BE188" s="49"/>
      <c r="BF188" s="49"/>
      <c r="BG188" s="49"/>
      <c r="BH188" s="49"/>
      <c r="BI188" s="49"/>
      <c r="BJ188" s="49"/>
      <c r="BK188" s="115" t="s">
        <v>2731</v>
      </c>
      <c r="BL188" s="115" t="s">
        <v>2731</v>
      </c>
      <c r="BM188" s="115" t="s">
        <v>4477</v>
      </c>
      <c r="BN188" s="115" t="s">
        <v>4477</v>
      </c>
      <c r="BO188" s="2"/>
      <c r="BP188" s="3"/>
      <c r="BQ188" s="3"/>
      <c r="BR188" s="3"/>
      <c r="BS188" s="3"/>
    </row>
    <row r="189" spans="1:71" ht="15">
      <c r="A189" s="66" t="s">
        <v>407</v>
      </c>
      <c r="B189" s="67"/>
      <c r="C189" s="67"/>
      <c r="D189" s="68">
        <v>150</v>
      </c>
      <c r="E189" s="70"/>
      <c r="F189" s="102" t="str">
        <f>HYPERLINK("https://yt3.ggpht.com/ytc/AOPolaRlUaKdRkJxYqQXRfnZjI-LMsBHhSV9j9RiVg=s88-c-k-c0x00ffffff-no-rj")</f>
        <v>https://yt3.ggpht.com/ytc/AOPolaRlUaKdRkJxYqQXRfnZjI-LMsBHhSV9j9RiVg=s88-c-k-c0x00ffffff-no-rj</v>
      </c>
      <c r="G189" s="67"/>
      <c r="H189" s="71" t="s">
        <v>1483</v>
      </c>
      <c r="I189" s="72"/>
      <c r="J189" s="72" t="s">
        <v>159</v>
      </c>
      <c r="K189" s="71" t="s">
        <v>1483</v>
      </c>
      <c r="L189" s="75">
        <v>1</v>
      </c>
      <c r="M189" s="76">
        <v>4073.835205078125</v>
      </c>
      <c r="N189" s="76">
        <v>6416.12744140625</v>
      </c>
      <c r="O189" s="77"/>
      <c r="P189" s="78"/>
      <c r="Q189" s="78"/>
      <c r="R189" s="88"/>
      <c r="S189" s="49">
        <v>0</v>
      </c>
      <c r="T189" s="49">
        <v>1</v>
      </c>
      <c r="U189" s="50">
        <v>0</v>
      </c>
      <c r="V189" s="50">
        <v>0.177728</v>
      </c>
      <c r="W189" s="50">
        <v>0.049759</v>
      </c>
      <c r="X189" s="50">
        <v>0.001579</v>
      </c>
      <c r="Y189" s="50">
        <v>0</v>
      </c>
      <c r="Z189" s="50">
        <v>0</v>
      </c>
      <c r="AA189" s="73">
        <v>189</v>
      </c>
      <c r="AB189" s="73"/>
      <c r="AC189" s="74"/>
      <c r="AD189" s="81" t="s">
        <v>1483</v>
      </c>
      <c r="AE189" s="81"/>
      <c r="AF189" s="81"/>
      <c r="AG189" s="81"/>
      <c r="AH189" s="81"/>
      <c r="AI189" s="81" t="s">
        <v>2205</v>
      </c>
      <c r="AJ189" s="85">
        <v>44150.82503472222</v>
      </c>
      <c r="AK189" s="83" t="str">
        <f>HYPERLINK("https://yt3.ggpht.com/ytc/AOPolaRlUaKdRkJxYqQXRfnZjI-LMsBHhSV9j9RiVg=s88-c-k-c0x00ffffff-no-rj")</f>
        <v>https://yt3.ggpht.com/ytc/AOPolaRlUaKdRkJxYqQXRfnZjI-LMsBHhSV9j9RiVg=s88-c-k-c0x00ffffff-no-rj</v>
      </c>
      <c r="AL189" s="81">
        <v>0</v>
      </c>
      <c r="AM189" s="81">
        <v>0</v>
      </c>
      <c r="AN189" s="81">
        <v>0</v>
      </c>
      <c r="AO189" s="81" t="b">
        <v>0</v>
      </c>
      <c r="AP189" s="81">
        <v>0</v>
      </c>
      <c r="AQ189" s="81"/>
      <c r="AR189" s="81"/>
      <c r="AS189" s="81" t="s">
        <v>2571</v>
      </c>
      <c r="AT189" s="83" t="str">
        <f>HYPERLINK("https://www.youtube.com/channel/UCYRjKcjwFNck0alXc6_rJAQ")</f>
        <v>https://www.youtube.com/channel/UCYRjKcjwFNck0alXc6_rJAQ</v>
      </c>
      <c r="AU189" s="81">
        <v>1</v>
      </c>
      <c r="AV189" s="49">
        <v>0</v>
      </c>
      <c r="AW189" s="50">
        <v>0</v>
      </c>
      <c r="AX189" s="49">
        <v>0</v>
      </c>
      <c r="AY189" s="50">
        <v>0</v>
      </c>
      <c r="AZ189" s="49">
        <v>0</v>
      </c>
      <c r="BA189" s="50">
        <v>0</v>
      </c>
      <c r="BB189" s="49">
        <v>7</v>
      </c>
      <c r="BC189" s="50">
        <v>70</v>
      </c>
      <c r="BD189" s="49">
        <v>10</v>
      </c>
      <c r="BE189" s="49"/>
      <c r="BF189" s="49"/>
      <c r="BG189" s="49"/>
      <c r="BH189" s="49"/>
      <c r="BI189" s="49"/>
      <c r="BJ189" s="49"/>
      <c r="BK189" s="115" t="s">
        <v>2732</v>
      </c>
      <c r="BL189" s="115" t="s">
        <v>2732</v>
      </c>
      <c r="BM189" s="115" t="s">
        <v>3197</v>
      </c>
      <c r="BN189" s="115" t="s">
        <v>3197</v>
      </c>
      <c r="BO189" s="2"/>
      <c r="BP189" s="3"/>
      <c r="BQ189" s="3"/>
      <c r="BR189" s="3"/>
      <c r="BS189" s="3"/>
    </row>
    <row r="190" spans="1:71" ht="15">
      <c r="A190" s="66" t="s">
        <v>408</v>
      </c>
      <c r="B190" s="67"/>
      <c r="C190" s="67"/>
      <c r="D190" s="68">
        <v>150</v>
      </c>
      <c r="E190" s="70"/>
      <c r="F190" s="102" t="str">
        <f>HYPERLINK("https://yt3.ggpht.com/ytc/AOPolaQ_mX1bjFNTa5vtUMO2YqkwxGDcLSWiIRvHHQ=s88-c-k-c0x00ffffff-no-rj")</f>
        <v>https://yt3.ggpht.com/ytc/AOPolaQ_mX1bjFNTa5vtUMO2YqkwxGDcLSWiIRvHHQ=s88-c-k-c0x00ffffff-no-rj</v>
      </c>
      <c r="G190" s="67"/>
      <c r="H190" s="71" t="s">
        <v>1484</v>
      </c>
      <c r="I190" s="72"/>
      <c r="J190" s="72" t="s">
        <v>159</v>
      </c>
      <c r="K190" s="71" t="s">
        <v>1484</v>
      </c>
      <c r="L190" s="75">
        <v>1</v>
      </c>
      <c r="M190" s="76">
        <v>1161.145751953125</v>
      </c>
      <c r="N190" s="76">
        <v>6947.5576171875</v>
      </c>
      <c r="O190" s="77"/>
      <c r="P190" s="78"/>
      <c r="Q190" s="78"/>
      <c r="R190" s="88"/>
      <c r="S190" s="49">
        <v>0</v>
      </c>
      <c r="T190" s="49">
        <v>1</v>
      </c>
      <c r="U190" s="50">
        <v>0</v>
      </c>
      <c r="V190" s="50">
        <v>0.177728</v>
      </c>
      <c r="W190" s="50">
        <v>0.049759</v>
      </c>
      <c r="X190" s="50">
        <v>0.001579</v>
      </c>
      <c r="Y190" s="50">
        <v>0</v>
      </c>
      <c r="Z190" s="50">
        <v>0</v>
      </c>
      <c r="AA190" s="73">
        <v>190</v>
      </c>
      <c r="AB190" s="73"/>
      <c r="AC190" s="74"/>
      <c r="AD190" s="81" t="s">
        <v>1484</v>
      </c>
      <c r="AE190" s="81"/>
      <c r="AF190" s="81"/>
      <c r="AG190" s="81"/>
      <c r="AH190" s="81"/>
      <c r="AI190" s="81" t="s">
        <v>2206</v>
      </c>
      <c r="AJ190" s="85">
        <v>39865.81983796296</v>
      </c>
      <c r="AK190" s="83" t="str">
        <f>HYPERLINK("https://yt3.ggpht.com/ytc/AOPolaQ_mX1bjFNTa5vtUMO2YqkwxGDcLSWiIRvHHQ=s88-c-k-c0x00ffffff-no-rj")</f>
        <v>https://yt3.ggpht.com/ytc/AOPolaQ_mX1bjFNTa5vtUMO2YqkwxGDcLSWiIRvHHQ=s88-c-k-c0x00ffffff-no-rj</v>
      </c>
      <c r="AL190" s="81">
        <v>0</v>
      </c>
      <c r="AM190" s="81">
        <v>0</v>
      </c>
      <c r="AN190" s="81">
        <v>25</v>
      </c>
      <c r="AO190" s="81" t="b">
        <v>0</v>
      </c>
      <c r="AP190" s="81">
        <v>0</v>
      </c>
      <c r="AQ190" s="81"/>
      <c r="AR190" s="81"/>
      <c r="AS190" s="81" t="s">
        <v>2571</v>
      </c>
      <c r="AT190" s="83" t="str">
        <f>HYPERLINK("https://www.youtube.com/channel/UCZe61xRluV2bNs9axww2Uaw")</f>
        <v>https://www.youtube.com/channel/UCZe61xRluV2bNs9axww2Uaw</v>
      </c>
      <c r="AU190" s="81">
        <v>1</v>
      </c>
      <c r="AV190" s="49">
        <v>1</v>
      </c>
      <c r="AW190" s="50">
        <v>14.285714285714286</v>
      </c>
      <c r="AX190" s="49">
        <v>0</v>
      </c>
      <c r="AY190" s="50">
        <v>0</v>
      </c>
      <c r="AZ190" s="49">
        <v>0</v>
      </c>
      <c r="BA190" s="50">
        <v>0</v>
      </c>
      <c r="BB190" s="49">
        <v>5</v>
      </c>
      <c r="BC190" s="50">
        <v>71.42857142857143</v>
      </c>
      <c r="BD190" s="49">
        <v>7</v>
      </c>
      <c r="BE190" s="49"/>
      <c r="BF190" s="49"/>
      <c r="BG190" s="49"/>
      <c r="BH190" s="49"/>
      <c r="BI190" s="49"/>
      <c r="BJ190" s="49"/>
      <c r="BK190" s="115" t="s">
        <v>2733</v>
      </c>
      <c r="BL190" s="115" t="s">
        <v>2733</v>
      </c>
      <c r="BM190" s="115" t="s">
        <v>3198</v>
      </c>
      <c r="BN190" s="115" t="s">
        <v>3198</v>
      </c>
      <c r="BO190" s="2"/>
      <c r="BP190" s="3"/>
      <c r="BQ190" s="3"/>
      <c r="BR190" s="3"/>
      <c r="BS190" s="3"/>
    </row>
    <row r="191" spans="1:71" ht="15">
      <c r="A191" s="66" t="s">
        <v>409</v>
      </c>
      <c r="B191" s="67"/>
      <c r="C191" s="67"/>
      <c r="D191" s="68">
        <v>150</v>
      </c>
      <c r="E191" s="70"/>
      <c r="F191" s="102" t="str">
        <f>HYPERLINK("https://yt3.ggpht.com/ytc/AOPolaQazQ5t8zgBJHX_p4JD1gtLF0iBZPbjdDjpog=s88-c-k-c0x00ffffff-no-rj")</f>
        <v>https://yt3.ggpht.com/ytc/AOPolaQazQ5t8zgBJHX_p4JD1gtLF0iBZPbjdDjpog=s88-c-k-c0x00ffffff-no-rj</v>
      </c>
      <c r="G191" s="67"/>
      <c r="H191" s="71" t="s">
        <v>1485</v>
      </c>
      <c r="I191" s="72"/>
      <c r="J191" s="72" t="s">
        <v>159</v>
      </c>
      <c r="K191" s="71" t="s">
        <v>1485</v>
      </c>
      <c r="L191" s="75">
        <v>1</v>
      </c>
      <c r="M191" s="76">
        <v>2434.085693359375</v>
      </c>
      <c r="N191" s="76">
        <v>4410.478515625</v>
      </c>
      <c r="O191" s="77"/>
      <c r="P191" s="78"/>
      <c r="Q191" s="78"/>
      <c r="R191" s="88"/>
      <c r="S191" s="49">
        <v>0</v>
      </c>
      <c r="T191" s="49">
        <v>1</v>
      </c>
      <c r="U191" s="50">
        <v>0</v>
      </c>
      <c r="V191" s="50">
        <v>0.177728</v>
      </c>
      <c r="W191" s="50">
        <v>0.049759</v>
      </c>
      <c r="X191" s="50">
        <v>0.001579</v>
      </c>
      <c r="Y191" s="50">
        <v>0</v>
      </c>
      <c r="Z191" s="50">
        <v>0</v>
      </c>
      <c r="AA191" s="73">
        <v>191</v>
      </c>
      <c r="AB191" s="73"/>
      <c r="AC191" s="74"/>
      <c r="AD191" s="81" t="s">
        <v>1485</v>
      </c>
      <c r="AE191" s="81"/>
      <c r="AF191" s="81"/>
      <c r="AG191" s="81"/>
      <c r="AH191" s="81"/>
      <c r="AI191" s="81" t="s">
        <v>2207</v>
      </c>
      <c r="AJ191" s="85">
        <v>40830.310219907406</v>
      </c>
      <c r="AK191" s="83" t="str">
        <f>HYPERLINK("https://yt3.ggpht.com/ytc/AOPolaQazQ5t8zgBJHX_p4JD1gtLF0iBZPbjdDjpog=s88-c-k-c0x00ffffff-no-rj")</f>
        <v>https://yt3.ggpht.com/ytc/AOPolaQazQ5t8zgBJHX_p4JD1gtLF0iBZPbjdDjpog=s88-c-k-c0x00ffffff-no-rj</v>
      </c>
      <c r="AL191" s="81">
        <v>0</v>
      </c>
      <c r="AM191" s="81">
        <v>0</v>
      </c>
      <c r="AN191" s="81">
        <v>0</v>
      </c>
      <c r="AO191" s="81" t="b">
        <v>0</v>
      </c>
      <c r="AP191" s="81">
        <v>0</v>
      </c>
      <c r="AQ191" s="81"/>
      <c r="AR191" s="81"/>
      <c r="AS191" s="81" t="s">
        <v>2571</v>
      </c>
      <c r="AT191" s="83" t="str">
        <f>HYPERLINK("https://www.youtube.com/channel/UCZicpsqeD5GAD4LEA8GqkBA")</f>
        <v>https://www.youtube.com/channel/UCZicpsqeD5GAD4LEA8GqkBA</v>
      </c>
      <c r="AU191" s="81">
        <v>1</v>
      </c>
      <c r="AV191" s="49">
        <v>2</v>
      </c>
      <c r="AW191" s="50">
        <v>3.7037037037037037</v>
      </c>
      <c r="AX191" s="49">
        <v>4</v>
      </c>
      <c r="AY191" s="50">
        <v>7.407407407407407</v>
      </c>
      <c r="AZ191" s="49">
        <v>0</v>
      </c>
      <c r="BA191" s="50">
        <v>0</v>
      </c>
      <c r="BB191" s="49">
        <v>18</v>
      </c>
      <c r="BC191" s="50">
        <v>33.333333333333336</v>
      </c>
      <c r="BD191" s="49">
        <v>54</v>
      </c>
      <c r="BE191" s="49"/>
      <c r="BF191" s="49"/>
      <c r="BG191" s="49"/>
      <c r="BH191" s="49"/>
      <c r="BI191" s="49"/>
      <c r="BJ191" s="49"/>
      <c r="BK191" s="115" t="s">
        <v>2734</v>
      </c>
      <c r="BL191" s="115" t="s">
        <v>2734</v>
      </c>
      <c r="BM191" s="115" t="s">
        <v>3199</v>
      </c>
      <c r="BN191" s="115" t="s">
        <v>3199</v>
      </c>
      <c r="BO191" s="2"/>
      <c r="BP191" s="3"/>
      <c r="BQ191" s="3"/>
      <c r="BR191" s="3"/>
      <c r="BS191" s="3"/>
    </row>
    <row r="192" spans="1:71" ht="15">
      <c r="A192" s="66" t="s">
        <v>410</v>
      </c>
      <c r="B192" s="67"/>
      <c r="C192" s="67"/>
      <c r="D192" s="68">
        <v>150</v>
      </c>
      <c r="E192" s="70"/>
      <c r="F192" s="102" t="str">
        <f>HYPERLINK("https://yt3.ggpht.com/ytc/AOPolaQhwLsQzCyHc_Xkw4ThYzjN-n4BMNg1_93lAw=s88-c-k-c0x00ffffff-no-rj")</f>
        <v>https://yt3.ggpht.com/ytc/AOPolaQhwLsQzCyHc_Xkw4ThYzjN-n4BMNg1_93lAw=s88-c-k-c0x00ffffff-no-rj</v>
      </c>
      <c r="G192" s="67"/>
      <c r="H192" s="71" t="s">
        <v>1486</v>
      </c>
      <c r="I192" s="72"/>
      <c r="J192" s="72" t="s">
        <v>159</v>
      </c>
      <c r="K192" s="71" t="s">
        <v>1486</v>
      </c>
      <c r="L192" s="75">
        <v>1</v>
      </c>
      <c r="M192" s="76">
        <v>1060.9775390625</v>
      </c>
      <c r="N192" s="76">
        <v>6166.18310546875</v>
      </c>
      <c r="O192" s="77"/>
      <c r="P192" s="78"/>
      <c r="Q192" s="78"/>
      <c r="R192" s="88"/>
      <c r="S192" s="49">
        <v>0</v>
      </c>
      <c r="T192" s="49">
        <v>1</v>
      </c>
      <c r="U192" s="50">
        <v>0</v>
      </c>
      <c r="V192" s="50">
        <v>0.177728</v>
      </c>
      <c r="W192" s="50">
        <v>0.049759</v>
      </c>
      <c r="X192" s="50">
        <v>0.001579</v>
      </c>
      <c r="Y192" s="50">
        <v>0</v>
      </c>
      <c r="Z192" s="50">
        <v>0</v>
      </c>
      <c r="AA192" s="73">
        <v>192</v>
      </c>
      <c r="AB192" s="73"/>
      <c r="AC192" s="74"/>
      <c r="AD192" s="81" t="s">
        <v>1486</v>
      </c>
      <c r="AE192" s="81"/>
      <c r="AF192" s="81"/>
      <c r="AG192" s="81"/>
      <c r="AH192" s="81"/>
      <c r="AI192" s="81" t="s">
        <v>2208</v>
      </c>
      <c r="AJ192" s="85">
        <v>40321.93221064815</v>
      </c>
      <c r="AK192" s="83" t="str">
        <f>HYPERLINK("https://yt3.ggpht.com/ytc/AOPolaQhwLsQzCyHc_Xkw4ThYzjN-n4BMNg1_93lAw=s88-c-k-c0x00ffffff-no-rj")</f>
        <v>https://yt3.ggpht.com/ytc/AOPolaQhwLsQzCyHc_Xkw4ThYzjN-n4BMNg1_93lAw=s88-c-k-c0x00ffffff-no-rj</v>
      </c>
      <c r="AL192" s="81">
        <v>6487</v>
      </c>
      <c r="AM192" s="81">
        <v>0</v>
      </c>
      <c r="AN192" s="81">
        <v>2</v>
      </c>
      <c r="AO192" s="81" t="b">
        <v>0</v>
      </c>
      <c r="AP192" s="81">
        <v>1</v>
      </c>
      <c r="AQ192" s="81"/>
      <c r="AR192" s="81"/>
      <c r="AS192" s="81" t="s">
        <v>2571</v>
      </c>
      <c r="AT192" s="83" t="str">
        <f>HYPERLINK("https://www.youtube.com/channel/UCECg3dUl5Vqyg9pJZqEL80w")</f>
        <v>https://www.youtube.com/channel/UCECg3dUl5Vqyg9pJZqEL80w</v>
      </c>
      <c r="AU192" s="81">
        <v>1</v>
      </c>
      <c r="AV192" s="49">
        <v>0</v>
      </c>
      <c r="AW192" s="50">
        <v>0</v>
      </c>
      <c r="AX192" s="49">
        <v>0</v>
      </c>
      <c r="AY192" s="50">
        <v>0</v>
      </c>
      <c r="AZ192" s="49">
        <v>0</v>
      </c>
      <c r="BA192" s="50">
        <v>0</v>
      </c>
      <c r="BB192" s="49">
        <v>2</v>
      </c>
      <c r="BC192" s="50">
        <v>50</v>
      </c>
      <c r="BD192" s="49">
        <v>4</v>
      </c>
      <c r="BE192" s="49"/>
      <c r="BF192" s="49"/>
      <c r="BG192" s="49"/>
      <c r="BH192" s="49"/>
      <c r="BI192" s="49"/>
      <c r="BJ192" s="49"/>
      <c r="BK192" s="115" t="s">
        <v>2735</v>
      </c>
      <c r="BL192" s="115" t="s">
        <v>2735</v>
      </c>
      <c r="BM192" s="115" t="s">
        <v>3200</v>
      </c>
      <c r="BN192" s="115" t="s">
        <v>3200</v>
      </c>
      <c r="BO192" s="2"/>
      <c r="BP192" s="3"/>
      <c r="BQ192" s="3"/>
      <c r="BR192" s="3"/>
      <c r="BS192" s="3"/>
    </row>
    <row r="193" spans="1:71" ht="15">
      <c r="A193" s="66" t="s">
        <v>411</v>
      </c>
      <c r="B193" s="67"/>
      <c r="C193" s="67"/>
      <c r="D193" s="68">
        <v>150</v>
      </c>
      <c r="E193" s="70"/>
      <c r="F193" s="102" t="str">
        <f>HYPERLINK("https://yt3.ggpht.com/ytc/AOPolaQNSEdsdR_fQNzFrfcGaQ37l2OsmZL469Zruy-2=s88-c-k-c0x00ffffff-no-rj")</f>
        <v>https://yt3.ggpht.com/ytc/AOPolaQNSEdsdR_fQNzFrfcGaQ37l2OsmZL469Zruy-2=s88-c-k-c0x00ffffff-no-rj</v>
      </c>
      <c r="G193" s="67"/>
      <c r="H193" s="71" t="s">
        <v>1487</v>
      </c>
      <c r="I193" s="72"/>
      <c r="J193" s="72" t="s">
        <v>159</v>
      </c>
      <c r="K193" s="71" t="s">
        <v>1487</v>
      </c>
      <c r="L193" s="75">
        <v>1</v>
      </c>
      <c r="M193" s="76">
        <v>4354.80419921875</v>
      </c>
      <c r="N193" s="76">
        <v>8676.50390625</v>
      </c>
      <c r="O193" s="77"/>
      <c r="P193" s="78"/>
      <c r="Q193" s="78"/>
      <c r="R193" s="88"/>
      <c r="S193" s="49">
        <v>0</v>
      </c>
      <c r="T193" s="49">
        <v>1</v>
      </c>
      <c r="U193" s="50">
        <v>0</v>
      </c>
      <c r="V193" s="50">
        <v>0.177728</v>
      </c>
      <c r="W193" s="50">
        <v>0.049759</v>
      </c>
      <c r="X193" s="50">
        <v>0.001579</v>
      </c>
      <c r="Y193" s="50">
        <v>0</v>
      </c>
      <c r="Z193" s="50">
        <v>0</v>
      </c>
      <c r="AA193" s="73">
        <v>193</v>
      </c>
      <c r="AB193" s="73"/>
      <c r="AC193" s="74"/>
      <c r="AD193" s="81" t="s">
        <v>1487</v>
      </c>
      <c r="AE193" s="81"/>
      <c r="AF193" s="81"/>
      <c r="AG193" s="81"/>
      <c r="AH193" s="81"/>
      <c r="AI193" s="81" t="s">
        <v>2209</v>
      </c>
      <c r="AJ193" s="85">
        <v>40556.322430555556</v>
      </c>
      <c r="AK193" s="83" t="str">
        <f>HYPERLINK("https://yt3.ggpht.com/ytc/AOPolaQNSEdsdR_fQNzFrfcGaQ37l2OsmZL469Zruy-2=s88-c-k-c0x00ffffff-no-rj")</f>
        <v>https://yt3.ggpht.com/ytc/AOPolaQNSEdsdR_fQNzFrfcGaQ37l2OsmZL469Zruy-2=s88-c-k-c0x00ffffff-no-rj</v>
      </c>
      <c r="AL193" s="81">
        <v>0</v>
      </c>
      <c r="AM193" s="81">
        <v>0</v>
      </c>
      <c r="AN193" s="81">
        <v>13</v>
      </c>
      <c r="AO193" s="81" t="b">
        <v>0</v>
      </c>
      <c r="AP193" s="81">
        <v>0</v>
      </c>
      <c r="AQ193" s="81"/>
      <c r="AR193" s="81"/>
      <c r="AS193" s="81" t="s">
        <v>2571</v>
      </c>
      <c r="AT193" s="83" t="str">
        <f>HYPERLINK("https://www.youtube.com/channel/UCh6j_i-jA_QAK6LetczoBCw")</f>
        <v>https://www.youtube.com/channel/UCh6j_i-jA_QAK6LetczoBCw</v>
      </c>
      <c r="AU193" s="81">
        <v>1</v>
      </c>
      <c r="AV193" s="49">
        <v>3</v>
      </c>
      <c r="AW193" s="50">
        <v>12</v>
      </c>
      <c r="AX193" s="49">
        <v>0</v>
      </c>
      <c r="AY193" s="50">
        <v>0</v>
      </c>
      <c r="AZ193" s="49">
        <v>0</v>
      </c>
      <c r="BA193" s="50">
        <v>0</v>
      </c>
      <c r="BB193" s="49">
        <v>9</v>
      </c>
      <c r="BC193" s="50">
        <v>36</v>
      </c>
      <c r="BD193" s="49">
        <v>25</v>
      </c>
      <c r="BE193" s="49"/>
      <c r="BF193" s="49"/>
      <c r="BG193" s="49"/>
      <c r="BH193" s="49"/>
      <c r="BI193" s="49"/>
      <c r="BJ193" s="49"/>
      <c r="BK193" s="115" t="s">
        <v>2736</v>
      </c>
      <c r="BL193" s="115" t="s">
        <v>2736</v>
      </c>
      <c r="BM193" s="115" t="s">
        <v>3201</v>
      </c>
      <c r="BN193" s="115" t="s">
        <v>3201</v>
      </c>
      <c r="BO193" s="2"/>
      <c r="BP193" s="3"/>
      <c r="BQ193" s="3"/>
      <c r="BR193" s="3"/>
      <c r="BS193" s="3"/>
    </row>
    <row r="194" spans="1:71" ht="15">
      <c r="A194" s="66" t="s">
        <v>412</v>
      </c>
      <c r="B194" s="67"/>
      <c r="C194" s="67"/>
      <c r="D194" s="68">
        <v>150</v>
      </c>
      <c r="E194" s="70"/>
      <c r="F194" s="102" t="str">
        <f>HYPERLINK("https://yt3.ggpht.com/ytc/AOPolaR0HoeVgtltRcMGqmNu1y0ymfsX9KFhwUZX6SfvgXFVhE34C9Q_O9QqdQsZA0rU=s88-c-k-c0x00ffffff-no-rj")</f>
        <v>https://yt3.ggpht.com/ytc/AOPolaR0HoeVgtltRcMGqmNu1y0ymfsX9KFhwUZX6SfvgXFVhE34C9Q_O9QqdQsZA0rU=s88-c-k-c0x00ffffff-no-rj</v>
      </c>
      <c r="G194" s="67"/>
      <c r="H194" s="71" t="s">
        <v>1488</v>
      </c>
      <c r="I194" s="72"/>
      <c r="J194" s="72" t="s">
        <v>159</v>
      </c>
      <c r="K194" s="71" t="s">
        <v>1488</v>
      </c>
      <c r="L194" s="75">
        <v>1</v>
      </c>
      <c r="M194" s="76">
        <v>4964.17626953125</v>
      </c>
      <c r="N194" s="76">
        <v>5015.4306640625</v>
      </c>
      <c r="O194" s="77"/>
      <c r="P194" s="78"/>
      <c r="Q194" s="78"/>
      <c r="R194" s="88"/>
      <c r="S194" s="49">
        <v>0</v>
      </c>
      <c r="T194" s="49">
        <v>1</v>
      </c>
      <c r="U194" s="50">
        <v>0</v>
      </c>
      <c r="V194" s="50">
        <v>0.177728</v>
      </c>
      <c r="W194" s="50">
        <v>0.049759</v>
      </c>
      <c r="X194" s="50">
        <v>0.001579</v>
      </c>
      <c r="Y194" s="50">
        <v>0</v>
      </c>
      <c r="Z194" s="50">
        <v>0</v>
      </c>
      <c r="AA194" s="73">
        <v>194</v>
      </c>
      <c r="AB194" s="73"/>
      <c r="AC194" s="74"/>
      <c r="AD194" s="81" t="s">
        <v>1488</v>
      </c>
      <c r="AE194" s="81"/>
      <c r="AF194" s="81"/>
      <c r="AG194" s="81"/>
      <c r="AH194" s="81"/>
      <c r="AI194" s="81" t="s">
        <v>2210</v>
      </c>
      <c r="AJ194" s="85">
        <v>44380.9906712963</v>
      </c>
      <c r="AK194" s="83" t="str">
        <f>HYPERLINK("https://yt3.ggpht.com/ytc/AOPolaR0HoeVgtltRcMGqmNu1y0ymfsX9KFhwUZX6SfvgXFVhE34C9Q_O9QqdQsZA0rU=s88-c-k-c0x00ffffff-no-rj")</f>
        <v>https://yt3.ggpht.com/ytc/AOPolaR0HoeVgtltRcMGqmNu1y0ymfsX9KFhwUZX6SfvgXFVhE34C9Q_O9QqdQsZA0rU=s88-c-k-c0x00ffffff-no-rj</v>
      </c>
      <c r="AL194" s="81">
        <v>0</v>
      </c>
      <c r="AM194" s="81">
        <v>0</v>
      </c>
      <c r="AN194" s="81">
        <v>2</v>
      </c>
      <c r="AO194" s="81" t="b">
        <v>0</v>
      </c>
      <c r="AP194" s="81">
        <v>0</v>
      </c>
      <c r="AQ194" s="81"/>
      <c r="AR194" s="81"/>
      <c r="AS194" s="81" t="s">
        <v>2571</v>
      </c>
      <c r="AT194" s="83" t="str">
        <f>HYPERLINK("https://www.youtube.com/channel/UC24YSqxrKE3mENq9qC6uRKQ")</f>
        <v>https://www.youtube.com/channel/UC24YSqxrKE3mENq9qC6uRKQ</v>
      </c>
      <c r="AU194" s="81">
        <v>1</v>
      </c>
      <c r="AV194" s="49">
        <v>0</v>
      </c>
      <c r="AW194" s="50">
        <v>0</v>
      </c>
      <c r="AX194" s="49">
        <v>0</v>
      </c>
      <c r="AY194" s="50">
        <v>0</v>
      </c>
      <c r="AZ194" s="49">
        <v>0</v>
      </c>
      <c r="BA194" s="50">
        <v>0</v>
      </c>
      <c r="BB194" s="49">
        <v>3</v>
      </c>
      <c r="BC194" s="50">
        <v>100</v>
      </c>
      <c r="BD194" s="49">
        <v>3</v>
      </c>
      <c r="BE194" s="49"/>
      <c r="BF194" s="49"/>
      <c r="BG194" s="49"/>
      <c r="BH194" s="49"/>
      <c r="BI194" s="49"/>
      <c r="BJ194" s="49"/>
      <c r="BK194" s="115" t="s">
        <v>963</v>
      </c>
      <c r="BL194" s="115" t="s">
        <v>963</v>
      </c>
      <c r="BM194" s="115" t="s">
        <v>3202</v>
      </c>
      <c r="BN194" s="115" t="s">
        <v>3202</v>
      </c>
      <c r="BO194" s="2"/>
      <c r="BP194" s="3"/>
      <c r="BQ194" s="3"/>
      <c r="BR194" s="3"/>
      <c r="BS194" s="3"/>
    </row>
    <row r="195" spans="1:71" ht="15">
      <c r="A195" s="66" t="s">
        <v>413</v>
      </c>
      <c r="B195" s="67"/>
      <c r="C195" s="67"/>
      <c r="D195" s="68">
        <v>150</v>
      </c>
      <c r="E195" s="70"/>
      <c r="F195" s="102" t="str">
        <f>HYPERLINK("https://yt3.ggpht.com/ra2fxwJJwTVMKIDFlGNuMxWid0Qfed8_91gg_-gTjjlr0Z3iLU92SuZoAP9HCh83rOHA5MndLw=s88-c-k-c0x00ffffff-no-rj")</f>
        <v>https://yt3.ggpht.com/ra2fxwJJwTVMKIDFlGNuMxWid0Qfed8_91gg_-gTjjlr0Z3iLU92SuZoAP9HCh83rOHA5MndLw=s88-c-k-c0x00ffffff-no-rj</v>
      </c>
      <c r="G195" s="67"/>
      <c r="H195" s="71" t="s">
        <v>1489</v>
      </c>
      <c r="I195" s="72"/>
      <c r="J195" s="72" t="s">
        <v>159</v>
      </c>
      <c r="K195" s="71" t="s">
        <v>1489</v>
      </c>
      <c r="L195" s="75">
        <v>1</v>
      </c>
      <c r="M195" s="76">
        <v>2087.515625</v>
      </c>
      <c r="N195" s="76">
        <v>8643.2939453125</v>
      </c>
      <c r="O195" s="77"/>
      <c r="P195" s="78"/>
      <c r="Q195" s="78"/>
      <c r="R195" s="88"/>
      <c r="S195" s="49">
        <v>0</v>
      </c>
      <c r="T195" s="49">
        <v>1</v>
      </c>
      <c r="U195" s="50">
        <v>0</v>
      </c>
      <c r="V195" s="50">
        <v>0.177728</v>
      </c>
      <c r="W195" s="50">
        <v>0.049759</v>
      </c>
      <c r="X195" s="50">
        <v>0.001579</v>
      </c>
      <c r="Y195" s="50">
        <v>0</v>
      </c>
      <c r="Z195" s="50">
        <v>0</v>
      </c>
      <c r="AA195" s="73">
        <v>195</v>
      </c>
      <c r="AB195" s="73"/>
      <c r="AC195" s="74"/>
      <c r="AD195" s="81" t="s">
        <v>1489</v>
      </c>
      <c r="AE195" s="81"/>
      <c r="AF195" s="81"/>
      <c r="AG195" s="81"/>
      <c r="AH195" s="81"/>
      <c r="AI195" s="81" t="s">
        <v>2211</v>
      </c>
      <c r="AJ195" s="85">
        <v>40823.33068287037</v>
      </c>
      <c r="AK195" s="83" t="str">
        <f>HYPERLINK("https://yt3.ggpht.com/ra2fxwJJwTVMKIDFlGNuMxWid0Qfed8_91gg_-gTjjlr0Z3iLU92SuZoAP9HCh83rOHA5MndLw=s88-c-k-c0x00ffffff-no-rj")</f>
        <v>https://yt3.ggpht.com/ra2fxwJJwTVMKIDFlGNuMxWid0Qfed8_91gg_-gTjjlr0Z3iLU92SuZoAP9HCh83rOHA5MndLw=s88-c-k-c0x00ffffff-no-rj</v>
      </c>
      <c r="AL195" s="81">
        <v>0</v>
      </c>
      <c r="AM195" s="81">
        <v>0</v>
      </c>
      <c r="AN195" s="81">
        <v>1</v>
      </c>
      <c r="AO195" s="81" t="b">
        <v>0</v>
      </c>
      <c r="AP195" s="81">
        <v>0</v>
      </c>
      <c r="AQ195" s="81"/>
      <c r="AR195" s="81"/>
      <c r="AS195" s="81" t="s">
        <v>2571</v>
      </c>
      <c r="AT195" s="83" t="str">
        <f>HYPERLINK("https://www.youtube.com/channel/UCx06jHpdMU5F-nHyqkEJCQw")</f>
        <v>https://www.youtube.com/channel/UCx06jHpdMU5F-nHyqkEJCQw</v>
      </c>
      <c r="AU195" s="81">
        <v>1</v>
      </c>
      <c r="AV195" s="49">
        <v>0</v>
      </c>
      <c r="AW195" s="50">
        <v>0</v>
      </c>
      <c r="AX195" s="49">
        <v>0</v>
      </c>
      <c r="AY195" s="50">
        <v>0</v>
      </c>
      <c r="AZ195" s="49">
        <v>0</v>
      </c>
      <c r="BA195" s="50">
        <v>0</v>
      </c>
      <c r="BB195" s="49">
        <v>1</v>
      </c>
      <c r="BC195" s="50">
        <v>33.333333333333336</v>
      </c>
      <c r="BD195" s="49">
        <v>3</v>
      </c>
      <c r="BE195" s="49"/>
      <c r="BF195" s="49"/>
      <c r="BG195" s="49"/>
      <c r="BH195" s="49"/>
      <c r="BI195" s="49"/>
      <c r="BJ195" s="49"/>
      <c r="BK195" s="115" t="s">
        <v>2737</v>
      </c>
      <c r="BL195" s="115" t="s">
        <v>2737</v>
      </c>
      <c r="BM195" s="115" t="s">
        <v>4477</v>
      </c>
      <c r="BN195" s="115" t="s">
        <v>4477</v>
      </c>
      <c r="BO195" s="2"/>
      <c r="BP195" s="3"/>
      <c r="BQ195" s="3"/>
      <c r="BR195" s="3"/>
      <c r="BS195" s="3"/>
    </row>
    <row r="196" spans="1:71" ht="15">
      <c r="A196" s="66" t="s">
        <v>414</v>
      </c>
      <c r="B196" s="67"/>
      <c r="C196" s="67"/>
      <c r="D196" s="68">
        <v>150</v>
      </c>
      <c r="E196" s="70"/>
      <c r="F196" s="102" t="str">
        <f>HYPERLINK("https://yt3.ggpht.com/ytc/AOPolaRizYv9DehYvJaNsE8SAfZbGvN2kLYbOSbLiA=s88-c-k-c0x00ffffff-no-rj")</f>
        <v>https://yt3.ggpht.com/ytc/AOPolaRizYv9DehYvJaNsE8SAfZbGvN2kLYbOSbLiA=s88-c-k-c0x00ffffff-no-rj</v>
      </c>
      <c r="G196" s="67"/>
      <c r="H196" s="71" t="s">
        <v>1490</v>
      </c>
      <c r="I196" s="72"/>
      <c r="J196" s="72" t="s">
        <v>159</v>
      </c>
      <c r="K196" s="71" t="s">
        <v>1490</v>
      </c>
      <c r="L196" s="75">
        <v>1</v>
      </c>
      <c r="M196" s="76">
        <v>383.4535827636719</v>
      </c>
      <c r="N196" s="76">
        <v>7590.953125</v>
      </c>
      <c r="O196" s="77"/>
      <c r="P196" s="78"/>
      <c r="Q196" s="78"/>
      <c r="R196" s="88"/>
      <c r="S196" s="49">
        <v>0</v>
      </c>
      <c r="T196" s="49">
        <v>1</v>
      </c>
      <c r="U196" s="50">
        <v>0</v>
      </c>
      <c r="V196" s="50">
        <v>0.177728</v>
      </c>
      <c r="W196" s="50">
        <v>0.049759</v>
      </c>
      <c r="X196" s="50">
        <v>0.001579</v>
      </c>
      <c r="Y196" s="50">
        <v>0</v>
      </c>
      <c r="Z196" s="50">
        <v>0</v>
      </c>
      <c r="AA196" s="73">
        <v>196</v>
      </c>
      <c r="AB196" s="73"/>
      <c r="AC196" s="74"/>
      <c r="AD196" s="81" t="s">
        <v>1490</v>
      </c>
      <c r="AE196" s="81"/>
      <c r="AF196" s="81"/>
      <c r="AG196" s="81"/>
      <c r="AH196" s="81"/>
      <c r="AI196" s="81" t="s">
        <v>2212</v>
      </c>
      <c r="AJ196" s="85">
        <v>43967.02040509259</v>
      </c>
      <c r="AK196" s="83" t="str">
        <f>HYPERLINK("https://yt3.ggpht.com/ytc/AOPolaRizYv9DehYvJaNsE8SAfZbGvN2kLYbOSbLiA=s88-c-k-c0x00ffffff-no-rj")</f>
        <v>https://yt3.ggpht.com/ytc/AOPolaRizYv9DehYvJaNsE8SAfZbGvN2kLYbOSbLiA=s88-c-k-c0x00ffffff-no-rj</v>
      </c>
      <c r="AL196" s="81">
        <v>0</v>
      </c>
      <c r="AM196" s="81">
        <v>0</v>
      </c>
      <c r="AN196" s="81">
        <v>3</v>
      </c>
      <c r="AO196" s="81" t="b">
        <v>0</v>
      </c>
      <c r="AP196" s="81">
        <v>0</v>
      </c>
      <c r="AQ196" s="81"/>
      <c r="AR196" s="81"/>
      <c r="AS196" s="81" t="s">
        <v>2571</v>
      </c>
      <c r="AT196" s="83" t="str">
        <f>HYPERLINK("https://www.youtube.com/channel/UCqD3A52h1h0jSb3rANFqv1w")</f>
        <v>https://www.youtube.com/channel/UCqD3A52h1h0jSb3rANFqv1w</v>
      </c>
      <c r="AU196" s="81">
        <v>1</v>
      </c>
      <c r="AV196" s="49">
        <v>3</v>
      </c>
      <c r="AW196" s="50">
        <v>42.857142857142854</v>
      </c>
      <c r="AX196" s="49">
        <v>0</v>
      </c>
      <c r="AY196" s="50">
        <v>0</v>
      </c>
      <c r="AZ196" s="49">
        <v>0</v>
      </c>
      <c r="BA196" s="50">
        <v>0</v>
      </c>
      <c r="BB196" s="49">
        <v>1</v>
      </c>
      <c r="BC196" s="50">
        <v>14.285714285714286</v>
      </c>
      <c r="BD196" s="49">
        <v>7</v>
      </c>
      <c r="BE196" s="49"/>
      <c r="BF196" s="49"/>
      <c r="BG196" s="49"/>
      <c r="BH196" s="49"/>
      <c r="BI196" s="49"/>
      <c r="BJ196" s="49"/>
      <c r="BK196" s="115" t="s">
        <v>2738</v>
      </c>
      <c r="BL196" s="115" t="s">
        <v>2738</v>
      </c>
      <c r="BM196" s="115" t="s">
        <v>3203</v>
      </c>
      <c r="BN196" s="115" t="s">
        <v>3203</v>
      </c>
      <c r="BO196" s="2"/>
      <c r="BP196" s="3"/>
      <c r="BQ196" s="3"/>
      <c r="BR196" s="3"/>
      <c r="BS196" s="3"/>
    </row>
    <row r="197" spans="1:71" ht="15">
      <c r="A197" s="66" t="s">
        <v>415</v>
      </c>
      <c r="B197" s="67"/>
      <c r="C197" s="67"/>
      <c r="D197" s="68">
        <v>150</v>
      </c>
      <c r="E197" s="70"/>
      <c r="F197" s="102" t="str">
        <f>HYPERLINK("https://yt3.ggpht.com/ytc/AOPolaQ3Txo3GEYRaCf36prnNI7Hu-QKvTNbplOSQ4S6Dmw5Iv6jmSGhOa4VQkfkbug6=s88-c-k-c0x00ffffff-no-rj")</f>
        <v>https://yt3.ggpht.com/ytc/AOPolaQ3Txo3GEYRaCf36prnNI7Hu-QKvTNbplOSQ4S6Dmw5Iv6jmSGhOa4VQkfkbug6=s88-c-k-c0x00ffffff-no-rj</v>
      </c>
      <c r="G197" s="67"/>
      <c r="H197" s="71" t="s">
        <v>1491</v>
      </c>
      <c r="I197" s="72"/>
      <c r="J197" s="72" t="s">
        <v>159</v>
      </c>
      <c r="K197" s="71" t="s">
        <v>1491</v>
      </c>
      <c r="L197" s="75">
        <v>1</v>
      </c>
      <c r="M197" s="76">
        <v>874.0791015625</v>
      </c>
      <c r="N197" s="76">
        <v>5671.2607421875</v>
      </c>
      <c r="O197" s="77"/>
      <c r="P197" s="78"/>
      <c r="Q197" s="78"/>
      <c r="R197" s="88"/>
      <c r="S197" s="49">
        <v>0</v>
      </c>
      <c r="T197" s="49">
        <v>1</v>
      </c>
      <c r="U197" s="50">
        <v>0</v>
      </c>
      <c r="V197" s="50">
        <v>0.177728</v>
      </c>
      <c r="W197" s="50">
        <v>0.049759</v>
      </c>
      <c r="X197" s="50">
        <v>0.001579</v>
      </c>
      <c r="Y197" s="50">
        <v>0</v>
      </c>
      <c r="Z197" s="50">
        <v>0</v>
      </c>
      <c r="AA197" s="73">
        <v>197</v>
      </c>
      <c r="AB197" s="73"/>
      <c r="AC197" s="74"/>
      <c r="AD197" s="81" t="s">
        <v>1491</v>
      </c>
      <c r="AE197" s="81"/>
      <c r="AF197" s="81"/>
      <c r="AG197" s="81"/>
      <c r="AH197" s="81"/>
      <c r="AI197" s="81" t="s">
        <v>2213</v>
      </c>
      <c r="AJ197" s="85">
        <v>44588.78</v>
      </c>
      <c r="AK197" s="83" t="str">
        <f>HYPERLINK("https://yt3.ggpht.com/ytc/AOPolaQ3Txo3GEYRaCf36prnNI7Hu-QKvTNbplOSQ4S6Dmw5Iv6jmSGhOa4VQkfkbug6=s88-c-k-c0x00ffffff-no-rj")</f>
        <v>https://yt3.ggpht.com/ytc/AOPolaQ3Txo3GEYRaCf36prnNI7Hu-QKvTNbplOSQ4S6Dmw5Iv6jmSGhOa4VQkfkbug6=s88-c-k-c0x00ffffff-no-rj</v>
      </c>
      <c r="AL197" s="81">
        <v>0</v>
      </c>
      <c r="AM197" s="81">
        <v>0</v>
      </c>
      <c r="AN197" s="81">
        <v>0</v>
      </c>
      <c r="AO197" s="81" t="b">
        <v>0</v>
      </c>
      <c r="AP197" s="81">
        <v>0</v>
      </c>
      <c r="AQ197" s="81"/>
      <c r="AR197" s="81"/>
      <c r="AS197" s="81" t="s">
        <v>2571</v>
      </c>
      <c r="AT197" s="83" t="str">
        <f>HYPERLINK("https://www.youtube.com/channel/UCmmcom5caQMTS6Kckp0Jt_w")</f>
        <v>https://www.youtube.com/channel/UCmmcom5caQMTS6Kckp0Jt_w</v>
      </c>
      <c r="AU197" s="81">
        <v>1</v>
      </c>
      <c r="AV197" s="49">
        <v>1</v>
      </c>
      <c r="AW197" s="50">
        <v>3.8461538461538463</v>
      </c>
      <c r="AX197" s="49">
        <v>2</v>
      </c>
      <c r="AY197" s="50">
        <v>7.6923076923076925</v>
      </c>
      <c r="AZ197" s="49">
        <v>0</v>
      </c>
      <c r="BA197" s="50">
        <v>0</v>
      </c>
      <c r="BB197" s="49">
        <v>8</v>
      </c>
      <c r="BC197" s="50">
        <v>30.76923076923077</v>
      </c>
      <c r="BD197" s="49">
        <v>26</v>
      </c>
      <c r="BE197" s="49"/>
      <c r="BF197" s="49"/>
      <c r="BG197" s="49"/>
      <c r="BH197" s="49"/>
      <c r="BI197" s="49"/>
      <c r="BJ197" s="49"/>
      <c r="BK197" s="115" t="s">
        <v>2739</v>
      </c>
      <c r="BL197" s="115" t="s">
        <v>2739</v>
      </c>
      <c r="BM197" s="115" t="s">
        <v>3204</v>
      </c>
      <c r="BN197" s="115" t="s">
        <v>3204</v>
      </c>
      <c r="BO197" s="2"/>
      <c r="BP197" s="3"/>
      <c r="BQ197" s="3"/>
      <c r="BR197" s="3"/>
      <c r="BS197" s="3"/>
    </row>
    <row r="198" spans="1:71" ht="15">
      <c r="A198" s="66" t="s">
        <v>416</v>
      </c>
      <c r="B198" s="67"/>
      <c r="C198" s="67"/>
      <c r="D198" s="68">
        <v>150</v>
      </c>
      <c r="E198" s="70"/>
      <c r="F198" s="102" t="str">
        <f>HYPERLINK("https://yt3.ggpht.com/ytc/AOPolaRvLm1WPeaG8YKGMtf2_B7O81AnE7czRyLkk0WXcg=s88-c-k-c0x00ffffff-no-rj")</f>
        <v>https://yt3.ggpht.com/ytc/AOPolaRvLm1WPeaG8YKGMtf2_B7O81AnE7czRyLkk0WXcg=s88-c-k-c0x00ffffff-no-rj</v>
      </c>
      <c r="G198" s="67"/>
      <c r="H198" s="71" t="s">
        <v>1492</v>
      </c>
      <c r="I198" s="72"/>
      <c r="J198" s="72" t="s">
        <v>159</v>
      </c>
      <c r="K198" s="71" t="s">
        <v>1492</v>
      </c>
      <c r="L198" s="75">
        <v>1</v>
      </c>
      <c r="M198" s="76">
        <v>454.708251953125</v>
      </c>
      <c r="N198" s="76">
        <v>7861.09521484375</v>
      </c>
      <c r="O198" s="77"/>
      <c r="P198" s="78"/>
      <c r="Q198" s="78"/>
      <c r="R198" s="88"/>
      <c r="S198" s="49">
        <v>0</v>
      </c>
      <c r="T198" s="49">
        <v>1</v>
      </c>
      <c r="U198" s="50">
        <v>0</v>
      </c>
      <c r="V198" s="50">
        <v>0.177728</v>
      </c>
      <c r="W198" s="50">
        <v>0.049759</v>
      </c>
      <c r="X198" s="50">
        <v>0.001579</v>
      </c>
      <c r="Y198" s="50">
        <v>0</v>
      </c>
      <c r="Z198" s="50">
        <v>0</v>
      </c>
      <c r="AA198" s="73">
        <v>198</v>
      </c>
      <c r="AB198" s="73"/>
      <c r="AC198" s="74"/>
      <c r="AD198" s="81" t="s">
        <v>1492</v>
      </c>
      <c r="AE198" s="81" t="s">
        <v>1950</v>
      </c>
      <c r="AF198" s="81"/>
      <c r="AG198" s="81"/>
      <c r="AH198" s="81"/>
      <c r="AI198" s="81" t="s">
        <v>2214</v>
      </c>
      <c r="AJ198" s="85">
        <v>43315.37050925926</v>
      </c>
      <c r="AK198" s="83" t="str">
        <f>HYPERLINK("https://yt3.ggpht.com/ytc/AOPolaRvLm1WPeaG8YKGMtf2_B7O81AnE7czRyLkk0WXcg=s88-c-k-c0x00ffffff-no-rj")</f>
        <v>https://yt3.ggpht.com/ytc/AOPolaRvLm1WPeaG8YKGMtf2_B7O81AnE7czRyLkk0WXcg=s88-c-k-c0x00ffffff-no-rj</v>
      </c>
      <c r="AL198" s="81">
        <v>66</v>
      </c>
      <c r="AM198" s="81">
        <v>0</v>
      </c>
      <c r="AN198" s="81">
        <v>4</v>
      </c>
      <c r="AO198" s="81" t="b">
        <v>0</v>
      </c>
      <c r="AP198" s="81">
        <v>2</v>
      </c>
      <c r="AQ198" s="81"/>
      <c r="AR198" s="81"/>
      <c r="AS198" s="81" t="s">
        <v>2571</v>
      </c>
      <c r="AT198" s="83" t="str">
        <f>HYPERLINK("https://www.youtube.com/channel/UCwzGlzLIo7UrarduC4C_aZw")</f>
        <v>https://www.youtube.com/channel/UCwzGlzLIo7UrarduC4C_aZw</v>
      </c>
      <c r="AU198" s="81">
        <v>1</v>
      </c>
      <c r="AV198" s="49">
        <v>1</v>
      </c>
      <c r="AW198" s="50">
        <v>12.5</v>
      </c>
      <c r="AX198" s="49">
        <v>0</v>
      </c>
      <c r="AY198" s="50">
        <v>0</v>
      </c>
      <c r="AZ198" s="49">
        <v>0</v>
      </c>
      <c r="BA198" s="50">
        <v>0</v>
      </c>
      <c r="BB198" s="49">
        <v>4</v>
      </c>
      <c r="BC198" s="50">
        <v>50</v>
      </c>
      <c r="BD198" s="49">
        <v>8</v>
      </c>
      <c r="BE198" s="49"/>
      <c r="BF198" s="49"/>
      <c r="BG198" s="49"/>
      <c r="BH198" s="49"/>
      <c r="BI198" s="49"/>
      <c r="BJ198" s="49"/>
      <c r="BK198" s="115" t="s">
        <v>2740</v>
      </c>
      <c r="BL198" s="115" t="s">
        <v>2740</v>
      </c>
      <c r="BM198" s="115" t="s">
        <v>3205</v>
      </c>
      <c r="BN198" s="115" t="s">
        <v>3205</v>
      </c>
      <c r="BO198" s="2"/>
      <c r="BP198" s="3"/>
      <c r="BQ198" s="3"/>
      <c r="BR198" s="3"/>
      <c r="BS198" s="3"/>
    </row>
    <row r="199" spans="1:71" ht="15">
      <c r="A199" s="66" t="s">
        <v>417</v>
      </c>
      <c r="B199" s="67"/>
      <c r="C199" s="67"/>
      <c r="D199" s="68">
        <v>150</v>
      </c>
      <c r="E199" s="70"/>
      <c r="F199" s="102" t="str">
        <f>HYPERLINK("https://yt3.ggpht.com/ytc/AOPolaQ_j0QMhOuJnCJHmRV5acoizTZsa8phO8TkqcRELBzmKW-qqiBTkrklhr77ZkNa=s88-c-k-c0x00ffffff-no-rj")</f>
        <v>https://yt3.ggpht.com/ytc/AOPolaQ_j0QMhOuJnCJHmRV5acoizTZsa8phO8TkqcRELBzmKW-qqiBTkrklhr77ZkNa=s88-c-k-c0x00ffffff-no-rj</v>
      </c>
      <c r="G199" s="67"/>
      <c r="H199" s="71" t="s">
        <v>1493</v>
      </c>
      <c r="I199" s="72"/>
      <c r="J199" s="72" t="s">
        <v>159</v>
      </c>
      <c r="K199" s="71" t="s">
        <v>1493</v>
      </c>
      <c r="L199" s="75">
        <v>1</v>
      </c>
      <c r="M199" s="76">
        <v>3446.0771484375</v>
      </c>
      <c r="N199" s="76">
        <v>5273.0693359375</v>
      </c>
      <c r="O199" s="77"/>
      <c r="P199" s="78"/>
      <c r="Q199" s="78"/>
      <c r="R199" s="88"/>
      <c r="S199" s="49">
        <v>0</v>
      </c>
      <c r="T199" s="49">
        <v>1</v>
      </c>
      <c r="U199" s="50">
        <v>0</v>
      </c>
      <c r="V199" s="50">
        <v>0.177728</v>
      </c>
      <c r="W199" s="50">
        <v>0.049759</v>
      </c>
      <c r="X199" s="50">
        <v>0.001579</v>
      </c>
      <c r="Y199" s="50">
        <v>0</v>
      </c>
      <c r="Z199" s="50">
        <v>0</v>
      </c>
      <c r="AA199" s="73">
        <v>199</v>
      </c>
      <c r="AB199" s="73"/>
      <c r="AC199" s="74"/>
      <c r="AD199" s="81" t="s">
        <v>1493</v>
      </c>
      <c r="AE199" s="81"/>
      <c r="AF199" s="81"/>
      <c r="AG199" s="81"/>
      <c r="AH199" s="81"/>
      <c r="AI199" s="81" t="s">
        <v>2215</v>
      </c>
      <c r="AJ199" s="85">
        <v>44436.14475694444</v>
      </c>
      <c r="AK199" s="83" t="str">
        <f>HYPERLINK("https://yt3.ggpht.com/ytc/AOPolaQ_j0QMhOuJnCJHmRV5acoizTZsa8phO8TkqcRELBzmKW-qqiBTkrklhr77ZkNa=s88-c-k-c0x00ffffff-no-rj")</f>
        <v>https://yt3.ggpht.com/ytc/AOPolaQ_j0QMhOuJnCJHmRV5acoizTZsa8phO8TkqcRELBzmKW-qqiBTkrklhr77ZkNa=s88-c-k-c0x00ffffff-no-rj</v>
      </c>
      <c r="AL199" s="81">
        <v>0</v>
      </c>
      <c r="AM199" s="81">
        <v>0</v>
      </c>
      <c r="AN199" s="81">
        <v>0</v>
      </c>
      <c r="AO199" s="81" t="b">
        <v>0</v>
      </c>
      <c r="AP199" s="81">
        <v>0</v>
      </c>
      <c r="AQ199" s="81"/>
      <c r="AR199" s="81"/>
      <c r="AS199" s="81" t="s">
        <v>2571</v>
      </c>
      <c r="AT199" s="83" t="str">
        <f>HYPERLINK("https://www.youtube.com/channel/UCM21IbEfPiy-ntIODvhCSIA")</f>
        <v>https://www.youtube.com/channel/UCM21IbEfPiy-ntIODvhCSIA</v>
      </c>
      <c r="AU199" s="81">
        <v>1</v>
      </c>
      <c r="AV199" s="49">
        <v>0</v>
      </c>
      <c r="AW199" s="50">
        <v>0</v>
      </c>
      <c r="AX199" s="49">
        <v>0</v>
      </c>
      <c r="AY199" s="50">
        <v>0</v>
      </c>
      <c r="AZ199" s="49">
        <v>0</v>
      </c>
      <c r="BA199" s="50">
        <v>0</v>
      </c>
      <c r="BB199" s="49">
        <v>1</v>
      </c>
      <c r="BC199" s="50">
        <v>100</v>
      </c>
      <c r="BD199" s="49">
        <v>1</v>
      </c>
      <c r="BE199" s="49"/>
      <c r="BF199" s="49"/>
      <c r="BG199" s="49"/>
      <c r="BH199" s="49"/>
      <c r="BI199" s="49"/>
      <c r="BJ199" s="49"/>
      <c r="BK199" s="115" t="s">
        <v>2741</v>
      </c>
      <c r="BL199" s="115" t="s">
        <v>2741</v>
      </c>
      <c r="BM199" s="115" t="s">
        <v>4477</v>
      </c>
      <c r="BN199" s="115" t="s">
        <v>4477</v>
      </c>
      <c r="BO199" s="2"/>
      <c r="BP199" s="3"/>
      <c r="BQ199" s="3"/>
      <c r="BR199" s="3"/>
      <c r="BS199" s="3"/>
    </row>
    <row r="200" spans="1:71" ht="15">
      <c r="A200" s="66" t="s">
        <v>418</v>
      </c>
      <c r="B200" s="67"/>
      <c r="C200" s="67"/>
      <c r="D200" s="68">
        <v>150</v>
      </c>
      <c r="E200" s="70"/>
      <c r="F200" s="102" t="str">
        <f>HYPERLINK("https://yt3.ggpht.com/ytc/AOPolaQXjeWKgm3HxpJ0OqxGCxbh2Rf20asjm96Cm8zUBb09OJtXURSdTtJ9pnRraDLb=s88-c-k-c0x00ffffff-no-rj")</f>
        <v>https://yt3.ggpht.com/ytc/AOPolaQXjeWKgm3HxpJ0OqxGCxbh2Rf20asjm96Cm8zUBb09OJtXURSdTtJ9pnRraDLb=s88-c-k-c0x00ffffff-no-rj</v>
      </c>
      <c r="G200" s="67"/>
      <c r="H200" s="71" t="s">
        <v>1494</v>
      </c>
      <c r="I200" s="72"/>
      <c r="J200" s="72" t="s">
        <v>159</v>
      </c>
      <c r="K200" s="71" t="s">
        <v>1494</v>
      </c>
      <c r="L200" s="75">
        <v>1</v>
      </c>
      <c r="M200" s="76">
        <v>3613.990966796875</v>
      </c>
      <c r="N200" s="76">
        <v>9070.279296875</v>
      </c>
      <c r="O200" s="77"/>
      <c r="P200" s="78"/>
      <c r="Q200" s="78"/>
      <c r="R200" s="88"/>
      <c r="S200" s="49">
        <v>0</v>
      </c>
      <c r="T200" s="49">
        <v>1</v>
      </c>
      <c r="U200" s="50">
        <v>0</v>
      </c>
      <c r="V200" s="50">
        <v>0.177728</v>
      </c>
      <c r="W200" s="50">
        <v>0.049759</v>
      </c>
      <c r="X200" s="50">
        <v>0.001579</v>
      </c>
      <c r="Y200" s="50">
        <v>0</v>
      </c>
      <c r="Z200" s="50">
        <v>0</v>
      </c>
      <c r="AA200" s="73">
        <v>200</v>
      </c>
      <c r="AB200" s="73"/>
      <c r="AC200" s="74"/>
      <c r="AD200" s="81" t="s">
        <v>1494</v>
      </c>
      <c r="AE200" s="81"/>
      <c r="AF200" s="81"/>
      <c r="AG200" s="81"/>
      <c r="AH200" s="81"/>
      <c r="AI200" s="81" t="s">
        <v>2216</v>
      </c>
      <c r="AJ200" s="85">
        <v>45090.235347222224</v>
      </c>
      <c r="AK200" s="83" t="str">
        <f>HYPERLINK("https://yt3.ggpht.com/ytc/AOPolaQXjeWKgm3HxpJ0OqxGCxbh2Rf20asjm96Cm8zUBb09OJtXURSdTtJ9pnRraDLb=s88-c-k-c0x00ffffff-no-rj")</f>
        <v>https://yt3.ggpht.com/ytc/AOPolaQXjeWKgm3HxpJ0OqxGCxbh2Rf20asjm96Cm8zUBb09OJtXURSdTtJ9pnRraDLb=s88-c-k-c0x00ffffff-no-rj</v>
      </c>
      <c r="AL200" s="81">
        <v>0</v>
      </c>
      <c r="AM200" s="81">
        <v>0</v>
      </c>
      <c r="AN200" s="81">
        <v>3</v>
      </c>
      <c r="AO200" s="81" t="b">
        <v>0</v>
      </c>
      <c r="AP200" s="81">
        <v>0</v>
      </c>
      <c r="AQ200" s="81"/>
      <c r="AR200" s="81"/>
      <c r="AS200" s="81" t="s">
        <v>2571</v>
      </c>
      <c r="AT200" s="83" t="str">
        <f>HYPERLINK("https://www.youtube.com/channel/UC8PaiC2YsE3rda3ZQUL-gcw")</f>
        <v>https://www.youtube.com/channel/UC8PaiC2YsE3rda3ZQUL-gcw</v>
      </c>
      <c r="AU200" s="81">
        <v>1</v>
      </c>
      <c r="AV200" s="49">
        <v>1</v>
      </c>
      <c r="AW200" s="50">
        <v>100</v>
      </c>
      <c r="AX200" s="49">
        <v>0</v>
      </c>
      <c r="AY200" s="50">
        <v>0</v>
      </c>
      <c r="AZ200" s="49">
        <v>0</v>
      </c>
      <c r="BA200" s="50">
        <v>0</v>
      </c>
      <c r="BB200" s="49">
        <v>0</v>
      </c>
      <c r="BC200" s="50">
        <v>0</v>
      </c>
      <c r="BD200" s="49">
        <v>1</v>
      </c>
      <c r="BE200" s="49"/>
      <c r="BF200" s="49"/>
      <c r="BG200" s="49"/>
      <c r="BH200" s="49"/>
      <c r="BI200" s="49"/>
      <c r="BJ200" s="49"/>
      <c r="BK200" s="115" t="s">
        <v>2742</v>
      </c>
      <c r="BL200" s="115" t="s">
        <v>2742</v>
      </c>
      <c r="BM200" s="115" t="s">
        <v>4477</v>
      </c>
      <c r="BN200" s="115" t="s">
        <v>4477</v>
      </c>
      <c r="BO200" s="2"/>
      <c r="BP200" s="3"/>
      <c r="BQ200" s="3"/>
      <c r="BR200" s="3"/>
      <c r="BS200" s="3"/>
    </row>
    <row r="201" spans="1:71" ht="15">
      <c r="A201" s="66" t="s">
        <v>419</v>
      </c>
      <c r="B201" s="67"/>
      <c r="C201" s="67"/>
      <c r="D201" s="68">
        <v>150</v>
      </c>
      <c r="E201" s="70"/>
      <c r="F201" s="102" t="str">
        <f>HYPERLINK("https://yt3.ggpht.com/ytc/AOPolaRno7mb3M4dW5WTVeBNhWav-bMoBITROQpo5w=s88-c-k-c0x00ffffff-no-rj")</f>
        <v>https://yt3.ggpht.com/ytc/AOPolaRno7mb3M4dW5WTVeBNhWav-bMoBITROQpo5w=s88-c-k-c0x00ffffff-no-rj</v>
      </c>
      <c r="G201" s="67"/>
      <c r="H201" s="71" t="s">
        <v>1495</v>
      </c>
      <c r="I201" s="72"/>
      <c r="J201" s="72" t="s">
        <v>159</v>
      </c>
      <c r="K201" s="71" t="s">
        <v>1495</v>
      </c>
      <c r="L201" s="75">
        <v>1</v>
      </c>
      <c r="M201" s="76">
        <v>4323.51513671875</v>
      </c>
      <c r="N201" s="76">
        <v>8232.8125</v>
      </c>
      <c r="O201" s="77"/>
      <c r="P201" s="78"/>
      <c r="Q201" s="78"/>
      <c r="R201" s="88"/>
      <c r="S201" s="49">
        <v>0</v>
      </c>
      <c r="T201" s="49">
        <v>1</v>
      </c>
      <c r="U201" s="50">
        <v>0</v>
      </c>
      <c r="V201" s="50">
        <v>0.177728</v>
      </c>
      <c r="W201" s="50">
        <v>0.049759</v>
      </c>
      <c r="X201" s="50">
        <v>0.001579</v>
      </c>
      <c r="Y201" s="50">
        <v>0</v>
      </c>
      <c r="Z201" s="50">
        <v>0</v>
      </c>
      <c r="AA201" s="73">
        <v>201</v>
      </c>
      <c r="AB201" s="73"/>
      <c r="AC201" s="74"/>
      <c r="AD201" s="81" t="s">
        <v>1495</v>
      </c>
      <c r="AE201" s="81"/>
      <c r="AF201" s="81"/>
      <c r="AG201" s="81"/>
      <c r="AH201" s="81"/>
      <c r="AI201" s="81" t="s">
        <v>2217</v>
      </c>
      <c r="AJ201" s="85">
        <v>42651.500451388885</v>
      </c>
      <c r="AK201" s="83" t="str">
        <f>HYPERLINK("https://yt3.ggpht.com/ytc/AOPolaRno7mb3M4dW5WTVeBNhWav-bMoBITROQpo5w=s88-c-k-c0x00ffffff-no-rj")</f>
        <v>https://yt3.ggpht.com/ytc/AOPolaRno7mb3M4dW5WTVeBNhWav-bMoBITROQpo5w=s88-c-k-c0x00ffffff-no-rj</v>
      </c>
      <c r="AL201" s="81">
        <v>141</v>
      </c>
      <c r="AM201" s="81">
        <v>0</v>
      </c>
      <c r="AN201" s="81">
        <v>15</v>
      </c>
      <c r="AO201" s="81" t="b">
        <v>0</v>
      </c>
      <c r="AP201" s="81">
        <v>2</v>
      </c>
      <c r="AQ201" s="81"/>
      <c r="AR201" s="81"/>
      <c r="AS201" s="81" t="s">
        <v>2571</v>
      </c>
      <c r="AT201" s="83" t="str">
        <f>HYPERLINK("https://www.youtube.com/channel/UCdvR7iV4G-vnMvu0NI4zWhA")</f>
        <v>https://www.youtube.com/channel/UCdvR7iV4G-vnMvu0NI4zWhA</v>
      </c>
      <c r="AU201" s="81">
        <v>1</v>
      </c>
      <c r="AV201" s="49">
        <v>1</v>
      </c>
      <c r="AW201" s="50">
        <v>7.142857142857143</v>
      </c>
      <c r="AX201" s="49">
        <v>0</v>
      </c>
      <c r="AY201" s="50">
        <v>0</v>
      </c>
      <c r="AZ201" s="49">
        <v>0</v>
      </c>
      <c r="BA201" s="50">
        <v>0</v>
      </c>
      <c r="BB201" s="49">
        <v>5</v>
      </c>
      <c r="BC201" s="50">
        <v>35.714285714285715</v>
      </c>
      <c r="BD201" s="49">
        <v>14</v>
      </c>
      <c r="BE201" s="49"/>
      <c r="BF201" s="49"/>
      <c r="BG201" s="49"/>
      <c r="BH201" s="49"/>
      <c r="BI201" s="49"/>
      <c r="BJ201" s="49"/>
      <c r="BK201" s="115" t="s">
        <v>2743</v>
      </c>
      <c r="BL201" s="115" t="s">
        <v>2743</v>
      </c>
      <c r="BM201" s="115" t="s">
        <v>3206</v>
      </c>
      <c r="BN201" s="115" t="s">
        <v>3206</v>
      </c>
      <c r="BO201" s="2"/>
      <c r="BP201" s="3"/>
      <c r="BQ201" s="3"/>
      <c r="BR201" s="3"/>
      <c r="BS201" s="3"/>
    </row>
    <row r="202" spans="1:71" ht="15">
      <c r="A202" s="66" t="s">
        <v>420</v>
      </c>
      <c r="B202" s="67"/>
      <c r="C202" s="67"/>
      <c r="D202" s="68">
        <v>150</v>
      </c>
      <c r="E202" s="70"/>
      <c r="F202" s="102" t="str">
        <f>HYPERLINK("https://yt3.ggpht.com/ytc/AOPolaSMPDZMC5H23zILe4z0VmmACQvhEmoDTvW-Gg=s88-c-k-c0x00ffffff-no-rj")</f>
        <v>https://yt3.ggpht.com/ytc/AOPolaSMPDZMC5H23zILe4z0VmmACQvhEmoDTvW-Gg=s88-c-k-c0x00ffffff-no-rj</v>
      </c>
      <c r="G202" s="67"/>
      <c r="H202" s="71" t="s">
        <v>1496</v>
      </c>
      <c r="I202" s="72"/>
      <c r="J202" s="72" t="s">
        <v>159</v>
      </c>
      <c r="K202" s="71" t="s">
        <v>1496</v>
      </c>
      <c r="L202" s="75">
        <v>1</v>
      </c>
      <c r="M202" s="76">
        <v>3883.4638671875</v>
      </c>
      <c r="N202" s="76">
        <v>8355.8330078125</v>
      </c>
      <c r="O202" s="77"/>
      <c r="P202" s="78"/>
      <c r="Q202" s="78"/>
      <c r="R202" s="88"/>
      <c r="S202" s="49">
        <v>0</v>
      </c>
      <c r="T202" s="49">
        <v>1</v>
      </c>
      <c r="U202" s="50">
        <v>0</v>
      </c>
      <c r="V202" s="50">
        <v>0.177728</v>
      </c>
      <c r="W202" s="50">
        <v>0.049759</v>
      </c>
      <c r="X202" s="50">
        <v>0.001579</v>
      </c>
      <c r="Y202" s="50">
        <v>0</v>
      </c>
      <c r="Z202" s="50">
        <v>0</v>
      </c>
      <c r="AA202" s="73">
        <v>202</v>
      </c>
      <c r="AB202" s="73"/>
      <c r="AC202" s="74"/>
      <c r="AD202" s="81" t="s">
        <v>1496</v>
      </c>
      <c r="AE202" s="81"/>
      <c r="AF202" s="81"/>
      <c r="AG202" s="81"/>
      <c r="AH202" s="81"/>
      <c r="AI202" s="81" t="s">
        <v>2218</v>
      </c>
      <c r="AJ202" s="85">
        <v>40495.68934027778</v>
      </c>
      <c r="AK202" s="83" t="str">
        <f>HYPERLINK("https://yt3.ggpht.com/ytc/AOPolaSMPDZMC5H23zILe4z0VmmACQvhEmoDTvW-Gg=s88-c-k-c0x00ffffff-no-rj")</f>
        <v>https://yt3.ggpht.com/ytc/AOPolaSMPDZMC5H23zILe4z0VmmACQvhEmoDTvW-Gg=s88-c-k-c0x00ffffff-no-rj</v>
      </c>
      <c r="AL202" s="81">
        <v>196</v>
      </c>
      <c r="AM202" s="81">
        <v>0</v>
      </c>
      <c r="AN202" s="81">
        <v>2</v>
      </c>
      <c r="AO202" s="81" t="b">
        <v>0</v>
      </c>
      <c r="AP202" s="81">
        <v>2</v>
      </c>
      <c r="AQ202" s="81"/>
      <c r="AR202" s="81"/>
      <c r="AS202" s="81" t="s">
        <v>2571</v>
      </c>
      <c r="AT202" s="83" t="str">
        <f>HYPERLINK("https://www.youtube.com/channel/UCAVJG0fxaA_kPUINLhmfA-w")</f>
        <v>https://www.youtube.com/channel/UCAVJG0fxaA_kPUINLhmfA-w</v>
      </c>
      <c r="AU202" s="81">
        <v>1</v>
      </c>
      <c r="AV202" s="49">
        <v>0</v>
      </c>
      <c r="AW202" s="50">
        <v>0</v>
      </c>
      <c r="AX202" s="49">
        <v>0</v>
      </c>
      <c r="AY202" s="50">
        <v>0</v>
      </c>
      <c r="AZ202" s="49">
        <v>0</v>
      </c>
      <c r="BA202" s="50">
        <v>0</v>
      </c>
      <c r="BB202" s="49">
        <v>21</v>
      </c>
      <c r="BC202" s="50">
        <v>31.34328358208955</v>
      </c>
      <c r="BD202" s="49">
        <v>67</v>
      </c>
      <c r="BE202" s="49" t="s">
        <v>4405</v>
      </c>
      <c r="BF202" s="49" t="s">
        <v>4405</v>
      </c>
      <c r="BG202" s="49" t="s">
        <v>2573</v>
      </c>
      <c r="BH202" s="49" t="s">
        <v>2573</v>
      </c>
      <c r="BI202" s="49"/>
      <c r="BJ202" s="49"/>
      <c r="BK202" s="115" t="s">
        <v>2744</v>
      </c>
      <c r="BL202" s="115" t="s">
        <v>2744</v>
      </c>
      <c r="BM202" s="115" t="s">
        <v>3207</v>
      </c>
      <c r="BN202" s="115" t="s">
        <v>3207</v>
      </c>
      <c r="BO202" s="2"/>
      <c r="BP202" s="3"/>
      <c r="BQ202" s="3"/>
      <c r="BR202" s="3"/>
      <c r="BS202" s="3"/>
    </row>
    <row r="203" spans="1:71" ht="15">
      <c r="A203" s="66" t="s">
        <v>421</v>
      </c>
      <c r="B203" s="67"/>
      <c r="C203" s="67"/>
      <c r="D203" s="68">
        <v>150</v>
      </c>
      <c r="E203" s="70"/>
      <c r="F203" s="102" t="str">
        <f>HYPERLINK("https://yt3.ggpht.com/hojlRsxoNWzbEs_-nvOCn3bQS4RfAGtbrNOi943Pzj_WYnrqHK-w7LKpgx8neA6wrgvuOiZlA9g=s88-c-k-c0x00ffffff-no-rj")</f>
        <v>https://yt3.ggpht.com/hojlRsxoNWzbEs_-nvOCn3bQS4RfAGtbrNOi943Pzj_WYnrqHK-w7LKpgx8neA6wrgvuOiZlA9g=s88-c-k-c0x00ffffff-no-rj</v>
      </c>
      <c r="G203" s="67"/>
      <c r="H203" s="71" t="s">
        <v>1497</v>
      </c>
      <c r="I203" s="72"/>
      <c r="J203" s="72" t="s">
        <v>159</v>
      </c>
      <c r="K203" s="71" t="s">
        <v>1497</v>
      </c>
      <c r="L203" s="75">
        <v>1</v>
      </c>
      <c r="M203" s="76">
        <v>5906.80859375</v>
      </c>
      <c r="N203" s="76">
        <v>8000.0048828125</v>
      </c>
      <c r="O203" s="77"/>
      <c r="P203" s="78"/>
      <c r="Q203" s="78"/>
      <c r="R203" s="88"/>
      <c r="S203" s="49">
        <v>0</v>
      </c>
      <c r="T203" s="49">
        <v>1</v>
      </c>
      <c r="U203" s="50">
        <v>0</v>
      </c>
      <c r="V203" s="50">
        <v>0.177728</v>
      </c>
      <c r="W203" s="50">
        <v>0.049759</v>
      </c>
      <c r="X203" s="50">
        <v>0.001579</v>
      </c>
      <c r="Y203" s="50">
        <v>0</v>
      </c>
      <c r="Z203" s="50">
        <v>0</v>
      </c>
      <c r="AA203" s="73">
        <v>203</v>
      </c>
      <c r="AB203" s="73"/>
      <c r="AC203" s="74"/>
      <c r="AD203" s="81" t="s">
        <v>1497</v>
      </c>
      <c r="AE203" s="81" t="s">
        <v>1951</v>
      </c>
      <c r="AF203" s="81"/>
      <c r="AG203" s="81"/>
      <c r="AH203" s="81"/>
      <c r="AI203" s="81" t="s">
        <v>2219</v>
      </c>
      <c r="AJ203" s="85">
        <v>43831.60954861111</v>
      </c>
      <c r="AK203" s="83" t="str">
        <f>HYPERLINK("https://yt3.ggpht.com/hojlRsxoNWzbEs_-nvOCn3bQS4RfAGtbrNOi943Pzj_WYnrqHK-w7LKpgx8neA6wrgvuOiZlA9g=s88-c-k-c0x00ffffff-no-rj")</f>
        <v>https://yt3.ggpht.com/hojlRsxoNWzbEs_-nvOCn3bQS4RfAGtbrNOi943Pzj_WYnrqHK-w7LKpgx8neA6wrgvuOiZlA9g=s88-c-k-c0x00ffffff-no-rj</v>
      </c>
      <c r="AL203" s="81">
        <v>0</v>
      </c>
      <c r="AM203" s="81">
        <v>0</v>
      </c>
      <c r="AN203" s="81">
        <v>0</v>
      </c>
      <c r="AO203" s="81" t="b">
        <v>0</v>
      </c>
      <c r="AP203" s="81">
        <v>0</v>
      </c>
      <c r="AQ203" s="81"/>
      <c r="AR203" s="81"/>
      <c r="AS203" s="81" t="s">
        <v>2571</v>
      </c>
      <c r="AT203" s="83" t="str">
        <f>HYPERLINK("https://www.youtube.com/channel/UC0k06fmk6sT_VHAbedR5VQw")</f>
        <v>https://www.youtube.com/channel/UC0k06fmk6sT_VHAbedR5VQw</v>
      </c>
      <c r="AU203" s="81">
        <v>1</v>
      </c>
      <c r="AV203" s="49">
        <v>7</v>
      </c>
      <c r="AW203" s="50">
        <v>2.7777777777777777</v>
      </c>
      <c r="AX203" s="49">
        <v>11</v>
      </c>
      <c r="AY203" s="50">
        <v>4.365079365079365</v>
      </c>
      <c r="AZ203" s="49">
        <v>0</v>
      </c>
      <c r="BA203" s="50">
        <v>0</v>
      </c>
      <c r="BB203" s="49">
        <v>79</v>
      </c>
      <c r="BC203" s="50">
        <v>31.349206349206348</v>
      </c>
      <c r="BD203" s="49">
        <v>252</v>
      </c>
      <c r="BE203" s="49"/>
      <c r="BF203" s="49"/>
      <c r="BG203" s="49"/>
      <c r="BH203" s="49"/>
      <c r="BI203" s="49"/>
      <c r="BJ203" s="49"/>
      <c r="BK203" s="115" t="s">
        <v>2745</v>
      </c>
      <c r="BL203" s="115" t="s">
        <v>2745</v>
      </c>
      <c r="BM203" s="115" t="s">
        <v>3208</v>
      </c>
      <c r="BN203" s="115" t="s">
        <v>3208</v>
      </c>
      <c r="BO203" s="2"/>
      <c r="BP203" s="3"/>
      <c r="BQ203" s="3"/>
      <c r="BR203" s="3"/>
      <c r="BS203" s="3"/>
    </row>
    <row r="204" spans="1:71" ht="15">
      <c r="A204" s="66" t="s">
        <v>422</v>
      </c>
      <c r="B204" s="67"/>
      <c r="C204" s="67"/>
      <c r="D204" s="68">
        <v>150</v>
      </c>
      <c r="E204" s="70"/>
      <c r="F204" s="102" t="str">
        <f>HYPERLINK("https://yt3.ggpht.com/ytc/AOPolaQAnZ0W5ak4Clq8yujrC00QrDrN9hc4im-OFRG7jQ=s88-c-k-c0x00ffffff-no-rj")</f>
        <v>https://yt3.ggpht.com/ytc/AOPolaQAnZ0W5ak4Clq8yujrC00QrDrN9hc4im-OFRG7jQ=s88-c-k-c0x00ffffff-no-rj</v>
      </c>
      <c r="G204" s="67"/>
      <c r="H204" s="71" t="s">
        <v>1498</v>
      </c>
      <c r="I204" s="72"/>
      <c r="J204" s="72" t="s">
        <v>159</v>
      </c>
      <c r="K204" s="71" t="s">
        <v>1498</v>
      </c>
      <c r="L204" s="75">
        <v>1</v>
      </c>
      <c r="M204" s="76">
        <v>4262.5625</v>
      </c>
      <c r="N204" s="76">
        <v>9322.6962890625</v>
      </c>
      <c r="O204" s="77"/>
      <c r="P204" s="78"/>
      <c r="Q204" s="78"/>
      <c r="R204" s="88"/>
      <c r="S204" s="49">
        <v>0</v>
      </c>
      <c r="T204" s="49">
        <v>1</v>
      </c>
      <c r="U204" s="50">
        <v>0</v>
      </c>
      <c r="V204" s="50">
        <v>0.177728</v>
      </c>
      <c r="W204" s="50">
        <v>0.049759</v>
      </c>
      <c r="X204" s="50">
        <v>0.001579</v>
      </c>
      <c r="Y204" s="50">
        <v>0</v>
      </c>
      <c r="Z204" s="50">
        <v>0</v>
      </c>
      <c r="AA204" s="73">
        <v>204</v>
      </c>
      <c r="AB204" s="73"/>
      <c r="AC204" s="74"/>
      <c r="AD204" s="81" t="s">
        <v>1498</v>
      </c>
      <c r="AE204" s="81" t="s">
        <v>1952</v>
      </c>
      <c r="AF204" s="81"/>
      <c r="AG204" s="81"/>
      <c r="AH204" s="81"/>
      <c r="AI204" s="81" t="s">
        <v>2220</v>
      </c>
      <c r="AJ204" s="85">
        <v>41585.48180555556</v>
      </c>
      <c r="AK204" s="83" t="str">
        <f>HYPERLINK("https://yt3.ggpht.com/ytc/AOPolaQAnZ0W5ak4Clq8yujrC00QrDrN9hc4im-OFRG7jQ=s88-c-k-c0x00ffffff-no-rj")</f>
        <v>https://yt3.ggpht.com/ytc/AOPolaQAnZ0W5ak4Clq8yujrC00QrDrN9hc4im-OFRG7jQ=s88-c-k-c0x00ffffff-no-rj</v>
      </c>
      <c r="AL204" s="81">
        <v>0</v>
      </c>
      <c r="AM204" s="81">
        <v>0</v>
      </c>
      <c r="AN204" s="81">
        <v>22</v>
      </c>
      <c r="AO204" s="81" t="b">
        <v>0</v>
      </c>
      <c r="AP204" s="81">
        <v>0</v>
      </c>
      <c r="AQ204" s="81"/>
      <c r="AR204" s="81"/>
      <c r="AS204" s="81" t="s">
        <v>2571</v>
      </c>
      <c r="AT204" s="83" t="str">
        <f>HYPERLINK("https://www.youtube.com/channel/UCz7toGDN_Fd4eoM7uumJFYw")</f>
        <v>https://www.youtube.com/channel/UCz7toGDN_Fd4eoM7uumJFYw</v>
      </c>
      <c r="AU204" s="81">
        <v>1</v>
      </c>
      <c r="AV204" s="49">
        <v>1</v>
      </c>
      <c r="AW204" s="50">
        <v>5</v>
      </c>
      <c r="AX204" s="49">
        <v>1</v>
      </c>
      <c r="AY204" s="50">
        <v>5</v>
      </c>
      <c r="AZ204" s="49">
        <v>0</v>
      </c>
      <c r="BA204" s="50">
        <v>0</v>
      </c>
      <c r="BB204" s="49">
        <v>7</v>
      </c>
      <c r="BC204" s="50">
        <v>35</v>
      </c>
      <c r="BD204" s="49">
        <v>20</v>
      </c>
      <c r="BE204" s="49"/>
      <c r="BF204" s="49"/>
      <c r="BG204" s="49"/>
      <c r="BH204" s="49"/>
      <c r="BI204" s="49"/>
      <c r="BJ204" s="49"/>
      <c r="BK204" s="115" t="s">
        <v>2746</v>
      </c>
      <c r="BL204" s="115" t="s">
        <v>2746</v>
      </c>
      <c r="BM204" s="115" t="s">
        <v>3209</v>
      </c>
      <c r="BN204" s="115" t="s">
        <v>3209</v>
      </c>
      <c r="BO204" s="2"/>
      <c r="BP204" s="3"/>
      <c r="BQ204" s="3"/>
      <c r="BR204" s="3"/>
      <c r="BS204" s="3"/>
    </row>
    <row r="205" spans="1:71" ht="15">
      <c r="A205" s="66" t="s">
        <v>423</v>
      </c>
      <c r="B205" s="67"/>
      <c r="C205" s="67"/>
      <c r="D205" s="68">
        <v>150</v>
      </c>
      <c r="E205" s="70"/>
      <c r="F205" s="102" t="str">
        <f>HYPERLINK("https://yt3.ggpht.com/q3RLppg-wEv1DFcDETcJIXM9soPZ6FiB7v18Rmgs_vHGk9rUGEdlEV-9BoX-cPiknAQcySkR=s88-c-k-c0x00ffffff-no-rj")</f>
        <v>https://yt3.ggpht.com/q3RLppg-wEv1DFcDETcJIXM9soPZ6FiB7v18Rmgs_vHGk9rUGEdlEV-9BoX-cPiknAQcySkR=s88-c-k-c0x00ffffff-no-rj</v>
      </c>
      <c r="G205" s="67"/>
      <c r="H205" s="71" t="s">
        <v>1499</v>
      </c>
      <c r="I205" s="72"/>
      <c r="J205" s="72" t="s">
        <v>159</v>
      </c>
      <c r="K205" s="71" t="s">
        <v>1499</v>
      </c>
      <c r="L205" s="75">
        <v>1</v>
      </c>
      <c r="M205" s="76">
        <v>5890.7236328125</v>
      </c>
      <c r="N205" s="76">
        <v>7374.9609375</v>
      </c>
      <c r="O205" s="77"/>
      <c r="P205" s="78"/>
      <c r="Q205" s="78"/>
      <c r="R205" s="88"/>
      <c r="S205" s="49">
        <v>0</v>
      </c>
      <c r="T205" s="49">
        <v>1</v>
      </c>
      <c r="U205" s="50">
        <v>0</v>
      </c>
      <c r="V205" s="50">
        <v>0.177728</v>
      </c>
      <c r="W205" s="50">
        <v>0.049759</v>
      </c>
      <c r="X205" s="50">
        <v>0.001579</v>
      </c>
      <c r="Y205" s="50">
        <v>0</v>
      </c>
      <c r="Z205" s="50">
        <v>0</v>
      </c>
      <c r="AA205" s="73">
        <v>205</v>
      </c>
      <c r="AB205" s="73"/>
      <c r="AC205" s="74"/>
      <c r="AD205" s="81" t="s">
        <v>1499</v>
      </c>
      <c r="AE205" s="81"/>
      <c r="AF205" s="81"/>
      <c r="AG205" s="81"/>
      <c r="AH205" s="81"/>
      <c r="AI205" s="81" t="s">
        <v>2221</v>
      </c>
      <c r="AJ205" s="85">
        <v>42273.34074074074</v>
      </c>
      <c r="AK205" s="83" t="str">
        <f>HYPERLINK("https://yt3.ggpht.com/q3RLppg-wEv1DFcDETcJIXM9soPZ6FiB7v18Rmgs_vHGk9rUGEdlEV-9BoX-cPiknAQcySkR=s88-c-k-c0x00ffffff-no-rj")</f>
        <v>https://yt3.ggpht.com/q3RLppg-wEv1DFcDETcJIXM9soPZ6FiB7v18Rmgs_vHGk9rUGEdlEV-9BoX-cPiknAQcySkR=s88-c-k-c0x00ffffff-no-rj</v>
      </c>
      <c r="AL205" s="81">
        <v>23</v>
      </c>
      <c r="AM205" s="81">
        <v>0</v>
      </c>
      <c r="AN205" s="81">
        <v>448</v>
      </c>
      <c r="AO205" s="81" t="b">
        <v>0</v>
      </c>
      <c r="AP205" s="81">
        <v>1</v>
      </c>
      <c r="AQ205" s="81"/>
      <c r="AR205" s="81"/>
      <c r="AS205" s="81" t="s">
        <v>2571</v>
      </c>
      <c r="AT205" s="83" t="str">
        <f>HYPERLINK("https://www.youtube.com/channel/UC0ZASB-kRxfZJ2JOp3JvK0A")</f>
        <v>https://www.youtube.com/channel/UC0ZASB-kRxfZJ2JOp3JvK0A</v>
      </c>
      <c r="AU205" s="81">
        <v>1</v>
      </c>
      <c r="AV205" s="49">
        <v>1</v>
      </c>
      <c r="AW205" s="50">
        <v>3.3333333333333335</v>
      </c>
      <c r="AX205" s="49">
        <v>0</v>
      </c>
      <c r="AY205" s="50">
        <v>0</v>
      </c>
      <c r="AZ205" s="49">
        <v>0</v>
      </c>
      <c r="BA205" s="50">
        <v>0</v>
      </c>
      <c r="BB205" s="49">
        <v>11</v>
      </c>
      <c r="BC205" s="50">
        <v>36.666666666666664</v>
      </c>
      <c r="BD205" s="49">
        <v>30</v>
      </c>
      <c r="BE205" s="49"/>
      <c r="BF205" s="49"/>
      <c r="BG205" s="49"/>
      <c r="BH205" s="49"/>
      <c r="BI205" s="49"/>
      <c r="BJ205" s="49"/>
      <c r="BK205" s="115" t="s">
        <v>2747</v>
      </c>
      <c r="BL205" s="115" t="s">
        <v>2747</v>
      </c>
      <c r="BM205" s="115" t="s">
        <v>3210</v>
      </c>
      <c r="BN205" s="115" t="s">
        <v>3210</v>
      </c>
      <c r="BO205" s="2"/>
      <c r="BP205" s="3"/>
      <c r="BQ205" s="3"/>
      <c r="BR205" s="3"/>
      <c r="BS205" s="3"/>
    </row>
    <row r="206" spans="1:71" ht="15">
      <c r="A206" s="66" t="s">
        <v>424</v>
      </c>
      <c r="B206" s="67"/>
      <c r="C206" s="67"/>
      <c r="D206" s="68">
        <v>150</v>
      </c>
      <c r="E206" s="70"/>
      <c r="F206" s="102" t="str">
        <f>HYPERLINK("https://yt3.ggpht.com/ytc/AOPolaRSiX3Drjl8jU-kbP60U5DwYuQwn2IRrq4GJC9g=s88-c-k-c0x00ffffff-no-rj")</f>
        <v>https://yt3.ggpht.com/ytc/AOPolaRSiX3Drjl8jU-kbP60U5DwYuQwn2IRrq4GJC9g=s88-c-k-c0x00ffffff-no-rj</v>
      </c>
      <c r="G206" s="67"/>
      <c r="H206" s="71" t="s">
        <v>1500</v>
      </c>
      <c r="I206" s="72"/>
      <c r="J206" s="72" t="s">
        <v>159</v>
      </c>
      <c r="K206" s="71" t="s">
        <v>1500</v>
      </c>
      <c r="L206" s="75">
        <v>1</v>
      </c>
      <c r="M206" s="76">
        <v>1544.424072265625</v>
      </c>
      <c r="N206" s="76">
        <v>6846.0908203125</v>
      </c>
      <c r="O206" s="77"/>
      <c r="P206" s="78"/>
      <c r="Q206" s="78"/>
      <c r="R206" s="88"/>
      <c r="S206" s="49">
        <v>0</v>
      </c>
      <c r="T206" s="49">
        <v>1</v>
      </c>
      <c r="U206" s="50">
        <v>0</v>
      </c>
      <c r="V206" s="50">
        <v>0.177728</v>
      </c>
      <c r="W206" s="50">
        <v>0.049759</v>
      </c>
      <c r="X206" s="50">
        <v>0.001579</v>
      </c>
      <c r="Y206" s="50">
        <v>0</v>
      </c>
      <c r="Z206" s="50">
        <v>0</v>
      </c>
      <c r="AA206" s="73">
        <v>206</v>
      </c>
      <c r="AB206" s="73"/>
      <c r="AC206" s="74"/>
      <c r="AD206" s="81" t="s">
        <v>1500</v>
      </c>
      <c r="AE206" s="81"/>
      <c r="AF206" s="81"/>
      <c r="AG206" s="81"/>
      <c r="AH206" s="81"/>
      <c r="AI206" s="81" t="s">
        <v>2222</v>
      </c>
      <c r="AJ206" s="85">
        <v>40834.60734953704</v>
      </c>
      <c r="AK206" s="83" t="str">
        <f>HYPERLINK("https://yt3.ggpht.com/ytc/AOPolaRSiX3Drjl8jU-kbP60U5DwYuQwn2IRrq4GJC9g=s88-c-k-c0x00ffffff-no-rj")</f>
        <v>https://yt3.ggpht.com/ytc/AOPolaRSiX3Drjl8jU-kbP60U5DwYuQwn2IRrq4GJC9g=s88-c-k-c0x00ffffff-no-rj</v>
      </c>
      <c r="AL206" s="81">
        <v>0</v>
      </c>
      <c r="AM206" s="81">
        <v>0</v>
      </c>
      <c r="AN206" s="81">
        <v>1</v>
      </c>
      <c r="AO206" s="81" t="b">
        <v>0</v>
      </c>
      <c r="AP206" s="81">
        <v>0</v>
      </c>
      <c r="AQ206" s="81"/>
      <c r="AR206" s="81"/>
      <c r="AS206" s="81" t="s">
        <v>2571</v>
      </c>
      <c r="AT206" s="83" t="str">
        <f>HYPERLINK("https://www.youtube.com/channel/UCYoJZQPtv6zVLIrCY__Oy3w")</f>
        <v>https://www.youtube.com/channel/UCYoJZQPtv6zVLIrCY__Oy3w</v>
      </c>
      <c r="AU206" s="81">
        <v>1</v>
      </c>
      <c r="AV206" s="49">
        <v>0</v>
      </c>
      <c r="AW206" s="50">
        <v>0</v>
      </c>
      <c r="AX206" s="49">
        <v>1</v>
      </c>
      <c r="AY206" s="50">
        <v>11.11111111111111</v>
      </c>
      <c r="AZ206" s="49">
        <v>0</v>
      </c>
      <c r="BA206" s="50">
        <v>0</v>
      </c>
      <c r="BB206" s="49">
        <v>2</v>
      </c>
      <c r="BC206" s="50">
        <v>22.22222222222222</v>
      </c>
      <c r="BD206" s="49">
        <v>9</v>
      </c>
      <c r="BE206" s="49"/>
      <c r="BF206" s="49"/>
      <c r="BG206" s="49"/>
      <c r="BH206" s="49"/>
      <c r="BI206" s="49"/>
      <c r="BJ206" s="49"/>
      <c r="BK206" s="115" t="s">
        <v>2748</v>
      </c>
      <c r="BL206" s="115" t="s">
        <v>2748</v>
      </c>
      <c r="BM206" s="115" t="s">
        <v>3211</v>
      </c>
      <c r="BN206" s="115" t="s">
        <v>3211</v>
      </c>
      <c r="BO206" s="2"/>
      <c r="BP206" s="3"/>
      <c r="BQ206" s="3"/>
      <c r="BR206" s="3"/>
      <c r="BS206" s="3"/>
    </row>
    <row r="207" spans="1:71" ht="15">
      <c r="A207" s="66" t="s">
        <v>425</v>
      </c>
      <c r="B207" s="67"/>
      <c r="C207" s="67"/>
      <c r="D207" s="68">
        <v>150</v>
      </c>
      <c r="E207" s="70"/>
      <c r="F207" s="102" t="str">
        <f>HYPERLINK("https://yt3.ggpht.com/ytc/AOPolaRZXhCnqx-HdcHoBjl0ZXYD25bxVNkhwQYFAg=s88-c-k-c0x00ffffff-no-rj")</f>
        <v>https://yt3.ggpht.com/ytc/AOPolaRZXhCnqx-HdcHoBjl0ZXYD25bxVNkhwQYFAg=s88-c-k-c0x00ffffff-no-rj</v>
      </c>
      <c r="G207" s="67"/>
      <c r="H207" s="71" t="s">
        <v>1501</v>
      </c>
      <c r="I207" s="72"/>
      <c r="J207" s="72" t="s">
        <v>159</v>
      </c>
      <c r="K207" s="71" t="s">
        <v>1501</v>
      </c>
      <c r="L207" s="75">
        <v>1</v>
      </c>
      <c r="M207" s="76">
        <v>6076.46240234375</v>
      </c>
      <c r="N207" s="76">
        <v>7074.08203125</v>
      </c>
      <c r="O207" s="77"/>
      <c r="P207" s="78"/>
      <c r="Q207" s="78"/>
      <c r="R207" s="88"/>
      <c r="S207" s="49">
        <v>0</v>
      </c>
      <c r="T207" s="49">
        <v>1</v>
      </c>
      <c r="U207" s="50">
        <v>0</v>
      </c>
      <c r="V207" s="50">
        <v>0.177728</v>
      </c>
      <c r="W207" s="50">
        <v>0.049759</v>
      </c>
      <c r="X207" s="50">
        <v>0.001579</v>
      </c>
      <c r="Y207" s="50">
        <v>0</v>
      </c>
      <c r="Z207" s="50">
        <v>0</v>
      </c>
      <c r="AA207" s="73">
        <v>207</v>
      </c>
      <c r="AB207" s="73"/>
      <c r="AC207" s="74"/>
      <c r="AD207" s="81" t="s">
        <v>1501</v>
      </c>
      <c r="AE207" s="81"/>
      <c r="AF207" s="81"/>
      <c r="AG207" s="81"/>
      <c r="AH207" s="81"/>
      <c r="AI207" s="81" t="s">
        <v>2223</v>
      </c>
      <c r="AJ207" s="85">
        <v>42964.60302083333</v>
      </c>
      <c r="AK207" s="83" t="str">
        <f>HYPERLINK("https://yt3.ggpht.com/ytc/AOPolaRZXhCnqx-HdcHoBjl0ZXYD25bxVNkhwQYFAg=s88-c-k-c0x00ffffff-no-rj")</f>
        <v>https://yt3.ggpht.com/ytc/AOPolaRZXhCnqx-HdcHoBjl0ZXYD25bxVNkhwQYFAg=s88-c-k-c0x00ffffff-no-rj</v>
      </c>
      <c r="AL207" s="81">
        <v>0</v>
      </c>
      <c r="AM207" s="81">
        <v>0</v>
      </c>
      <c r="AN207" s="81">
        <v>1</v>
      </c>
      <c r="AO207" s="81" t="b">
        <v>0</v>
      </c>
      <c r="AP207" s="81">
        <v>0</v>
      </c>
      <c r="AQ207" s="81"/>
      <c r="AR207" s="81"/>
      <c r="AS207" s="81" t="s">
        <v>2571</v>
      </c>
      <c r="AT207" s="83" t="str">
        <f>HYPERLINK("https://www.youtube.com/channel/UCPmxv3vx1NWwTxkS5MnN1mw")</f>
        <v>https://www.youtube.com/channel/UCPmxv3vx1NWwTxkS5MnN1mw</v>
      </c>
      <c r="AU207" s="81">
        <v>1</v>
      </c>
      <c r="AV207" s="49">
        <v>0</v>
      </c>
      <c r="AW207" s="50">
        <v>0</v>
      </c>
      <c r="AX207" s="49">
        <v>0</v>
      </c>
      <c r="AY207" s="50">
        <v>0</v>
      </c>
      <c r="AZ207" s="49">
        <v>0</v>
      </c>
      <c r="BA207" s="50">
        <v>0</v>
      </c>
      <c r="BB207" s="49">
        <v>3</v>
      </c>
      <c r="BC207" s="50">
        <v>50</v>
      </c>
      <c r="BD207" s="49">
        <v>6</v>
      </c>
      <c r="BE207" s="49"/>
      <c r="BF207" s="49"/>
      <c r="BG207" s="49"/>
      <c r="BH207" s="49"/>
      <c r="BI207" s="49"/>
      <c r="BJ207" s="49"/>
      <c r="BK207" s="115" t="s">
        <v>2749</v>
      </c>
      <c r="BL207" s="115" t="s">
        <v>2749</v>
      </c>
      <c r="BM207" s="115" t="s">
        <v>3212</v>
      </c>
      <c r="BN207" s="115" t="s">
        <v>3212</v>
      </c>
      <c r="BO207" s="2"/>
      <c r="BP207" s="3"/>
      <c r="BQ207" s="3"/>
      <c r="BR207" s="3"/>
      <c r="BS207" s="3"/>
    </row>
    <row r="208" spans="1:71" ht="15">
      <c r="A208" s="66" t="s">
        <v>426</v>
      </c>
      <c r="B208" s="67"/>
      <c r="C208" s="67"/>
      <c r="D208" s="68">
        <v>150</v>
      </c>
      <c r="E208" s="70"/>
      <c r="F208" s="102" t="str">
        <f>HYPERLINK("https://yt3.ggpht.com/ytc/AOPolaQmIoUKSxF5530QdlelaSzFCjpt5uXZ2yzkJA=s88-c-k-c0x00ffffff-no-rj")</f>
        <v>https://yt3.ggpht.com/ytc/AOPolaQmIoUKSxF5530QdlelaSzFCjpt5uXZ2yzkJA=s88-c-k-c0x00ffffff-no-rj</v>
      </c>
      <c r="G208" s="67"/>
      <c r="H208" s="71" t="s">
        <v>1502</v>
      </c>
      <c r="I208" s="72"/>
      <c r="J208" s="72" t="s">
        <v>159</v>
      </c>
      <c r="K208" s="71" t="s">
        <v>1502</v>
      </c>
      <c r="L208" s="75">
        <v>1</v>
      </c>
      <c r="M208" s="76">
        <v>1002.3302612304688</v>
      </c>
      <c r="N208" s="76">
        <v>8713.609375</v>
      </c>
      <c r="O208" s="77"/>
      <c r="P208" s="78"/>
      <c r="Q208" s="78"/>
      <c r="R208" s="88"/>
      <c r="S208" s="49">
        <v>0</v>
      </c>
      <c r="T208" s="49">
        <v>1</v>
      </c>
      <c r="U208" s="50">
        <v>0</v>
      </c>
      <c r="V208" s="50">
        <v>0.177728</v>
      </c>
      <c r="W208" s="50">
        <v>0.049759</v>
      </c>
      <c r="X208" s="50">
        <v>0.001579</v>
      </c>
      <c r="Y208" s="50">
        <v>0</v>
      </c>
      <c r="Z208" s="50">
        <v>0</v>
      </c>
      <c r="AA208" s="73">
        <v>208</v>
      </c>
      <c r="AB208" s="73"/>
      <c r="AC208" s="74"/>
      <c r="AD208" s="81" t="s">
        <v>1502</v>
      </c>
      <c r="AE208" s="81"/>
      <c r="AF208" s="81"/>
      <c r="AG208" s="81"/>
      <c r="AH208" s="81"/>
      <c r="AI208" s="81" t="s">
        <v>2224</v>
      </c>
      <c r="AJ208" s="85">
        <v>41013.15572916667</v>
      </c>
      <c r="AK208" s="83" t="str">
        <f>HYPERLINK("https://yt3.ggpht.com/ytc/AOPolaQmIoUKSxF5530QdlelaSzFCjpt5uXZ2yzkJA=s88-c-k-c0x00ffffff-no-rj")</f>
        <v>https://yt3.ggpht.com/ytc/AOPolaQmIoUKSxF5530QdlelaSzFCjpt5uXZ2yzkJA=s88-c-k-c0x00ffffff-no-rj</v>
      </c>
      <c r="AL208" s="81">
        <v>0</v>
      </c>
      <c r="AM208" s="81">
        <v>0</v>
      </c>
      <c r="AN208" s="81">
        <v>0</v>
      </c>
      <c r="AO208" s="81" t="b">
        <v>0</v>
      </c>
      <c r="AP208" s="81">
        <v>0</v>
      </c>
      <c r="AQ208" s="81"/>
      <c r="AR208" s="81"/>
      <c r="AS208" s="81" t="s">
        <v>2571</v>
      </c>
      <c r="AT208" s="83" t="str">
        <f>HYPERLINK("https://www.youtube.com/channel/UCnVOZByeAVNoZ9qU3mnBggg")</f>
        <v>https://www.youtube.com/channel/UCnVOZByeAVNoZ9qU3mnBggg</v>
      </c>
      <c r="AU208" s="81">
        <v>1</v>
      </c>
      <c r="AV208" s="49">
        <v>2</v>
      </c>
      <c r="AW208" s="50">
        <v>13.333333333333334</v>
      </c>
      <c r="AX208" s="49">
        <v>2</v>
      </c>
      <c r="AY208" s="50">
        <v>13.333333333333334</v>
      </c>
      <c r="AZ208" s="49">
        <v>0</v>
      </c>
      <c r="BA208" s="50">
        <v>0</v>
      </c>
      <c r="BB208" s="49">
        <v>4</v>
      </c>
      <c r="BC208" s="50">
        <v>26.666666666666668</v>
      </c>
      <c r="BD208" s="49">
        <v>15</v>
      </c>
      <c r="BE208" s="49"/>
      <c r="BF208" s="49"/>
      <c r="BG208" s="49"/>
      <c r="BH208" s="49"/>
      <c r="BI208" s="49"/>
      <c r="BJ208" s="49"/>
      <c r="BK208" s="115" t="s">
        <v>2750</v>
      </c>
      <c r="BL208" s="115" t="s">
        <v>2750</v>
      </c>
      <c r="BM208" s="115" t="s">
        <v>3213</v>
      </c>
      <c r="BN208" s="115" t="s">
        <v>3213</v>
      </c>
      <c r="BO208" s="2"/>
      <c r="BP208" s="3"/>
      <c r="BQ208" s="3"/>
      <c r="BR208" s="3"/>
      <c r="BS208" s="3"/>
    </row>
    <row r="209" spans="1:71" ht="15">
      <c r="A209" s="66" t="s">
        <v>427</v>
      </c>
      <c r="B209" s="67"/>
      <c r="C209" s="67"/>
      <c r="D209" s="68">
        <v>150</v>
      </c>
      <c r="E209" s="70"/>
      <c r="F209" s="102" t="str">
        <f>HYPERLINK("https://yt3.ggpht.com/ytc/AOPolaTuVsozMD419EfHOVYgwWW3KbdbcObR8yOabskkig=s88-c-k-c0x00ffffff-no-rj")</f>
        <v>https://yt3.ggpht.com/ytc/AOPolaTuVsozMD419EfHOVYgwWW3KbdbcObR8yOabskkig=s88-c-k-c0x00ffffff-no-rj</v>
      </c>
      <c r="G209" s="67"/>
      <c r="H209" s="71" t="s">
        <v>1503</v>
      </c>
      <c r="I209" s="72"/>
      <c r="J209" s="72" t="s">
        <v>159</v>
      </c>
      <c r="K209" s="71" t="s">
        <v>1503</v>
      </c>
      <c r="L209" s="75">
        <v>1</v>
      </c>
      <c r="M209" s="76">
        <v>4786.63623046875</v>
      </c>
      <c r="N209" s="76">
        <v>5083.70361328125</v>
      </c>
      <c r="O209" s="77"/>
      <c r="P209" s="78"/>
      <c r="Q209" s="78"/>
      <c r="R209" s="88"/>
      <c r="S209" s="49">
        <v>0</v>
      </c>
      <c r="T209" s="49">
        <v>1</v>
      </c>
      <c r="U209" s="50">
        <v>0</v>
      </c>
      <c r="V209" s="50">
        <v>0.177728</v>
      </c>
      <c r="W209" s="50">
        <v>0.049759</v>
      </c>
      <c r="X209" s="50">
        <v>0.001579</v>
      </c>
      <c r="Y209" s="50">
        <v>0</v>
      </c>
      <c r="Z209" s="50">
        <v>0</v>
      </c>
      <c r="AA209" s="73">
        <v>209</v>
      </c>
      <c r="AB209" s="73"/>
      <c r="AC209" s="74"/>
      <c r="AD209" s="81" t="s">
        <v>1503</v>
      </c>
      <c r="AE209" s="81"/>
      <c r="AF209" s="81"/>
      <c r="AG209" s="81"/>
      <c r="AH209" s="81"/>
      <c r="AI209" s="81" t="s">
        <v>2225</v>
      </c>
      <c r="AJ209" s="85">
        <v>43034.18653935185</v>
      </c>
      <c r="AK209" s="83" t="str">
        <f>HYPERLINK("https://yt3.ggpht.com/ytc/AOPolaTuVsozMD419EfHOVYgwWW3KbdbcObR8yOabskkig=s88-c-k-c0x00ffffff-no-rj")</f>
        <v>https://yt3.ggpht.com/ytc/AOPolaTuVsozMD419EfHOVYgwWW3KbdbcObR8yOabskkig=s88-c-k-c0x00ffffff-no-rj</v>
      </c>
      <c r="AL209" s="81">
        <v>0</v>
      </c>
      <c r="AM209" s="81">
        <v>0</v>
      </c>
      <c r="AN209" s="81">
        <v>1</v>
      </c>
      <c r="AO209" s="81" t="b">
        <v>0</v>
      </c>
      <c r="AP209" s="81">
        <v>0</v>
      </c>
      <c r="AQ209" s="81"/>
      <c r="AR209" s="81"/>
      <c r="AS209" s="81" t="s">
        <v>2571</v>
      </c>
      <c r="AT209" s="83" t="str">
        <f>HYPERLINK("https://www.youtube.com/channel/UCVwXSn1A_C4VjQlFOdiPeSQ")</f>
        <v>https://www.youtube.com/channel/UCVwXSn1A_C4VjQlFOdiPeSQ</v>
      </c>
      <c r="AU209" s="81">
        <v>1</v>
      </c>
      <c r="AV209" s="49">
        <v>1</v>
      </c>
      <c r="AW209" s="50">
        <v>3.4482758620689653</v>
      </c>
      <c r="AX209" s="49">
        <v>1</v>
      </c>
      <c r="AY209" s="50">
        <v>3.4482758620689653</v>
      </c>
      <c r="AZ209" s="49">
        <v>0</v>
      </c>
      <c r="BA209" s="50">
        <v>0</v>
      </c>
      <c r="BB209" s="49">
        <v>11</v>
      </c>
      <c r="BC209" s="50">
        <v>37.93103448275862</v>
      </c>
      <c r="BD209" s="49">
        <v>29</v>
      </c>
      <c r="BE209" s="49"/>
      <c r="BF209" s="49"/>
      <c r="BG209" s="49"/>
      <c r="BH209" s="49"/>
      <c r="BI209" s="49"/>
      <c r="BJ209" s="49"/>
      <c r="BK209" s="115" t="s">
        <v>2751</v>
      </c>
      <c r="BL209" s="115" t="s">
        <v>2751</v>
      </c>
      <c r="BM209" s="115" t="s">
        <v>3214</v>
      </c>
      <c r="BN209" s="115" t="s">
        <v>3214</v>
      </c>
      <c r="BO209" s="2"/>
      <c r="BP209" s="3"/>
      <c r="BQ209" s="3"/>
      <c r="BR209" s="3"/>
      <c r="BS209" s="3"/>
    </row>
    <row r="210" spans="1:71" ht="15">
      <c r="A210" s="66" t="s">
        <v>428</v>
      </c>
      <c r="B210" s="67"/>
      <c r="C210" s="67"/>
      <c r="D210" s="68">
        <v>150</v>
      </c>
      <c r="E210" s="70"/>
      <c r="F210" s="102" t="str">
        <f>HYPERLINK("https://yt3.ggpht.com/ytc/AOPolaSvx7T1VZkcgAk71EjP6DzKvF8PZVF81lyCdQ=s88-c-k-c0x00ffffff-no-rj")</f>
        <v>https://yt3.ggpht.com/ytc/AOPolaSvx7T1VZkcgAk71EjP6DzKvF8PZVF81lyCdQ=s88-c-k-c0x00ffffff-no-rj</v>
      </c>
      <c r="G210" s="67"/>
      <c r="H210" s="71" t="s">
        <v>1504</v>
      </c>
      <c r="I210" s="72"/>
      <c r="J210" s="72" t="s">
        <v>159</v>
      </c>
      <c r="K210" s="71" t="s">
        <v>1504</v>
      </c>
      <c r="L210" s="75">
        <v>1</v>
      </c>
      <c r="M210" s="76">
        <v>2219.884765625</v>
      </c>
      <c r="N210" s="76">
        <v>7572.3251953125</v>
      </c>
      <c r="O210" s="77"/>
      <c r="P210" s="78"/>
      <c r="Q210" s="78"/>
      <c r="R210" s="88"/>
      <c r="S210" s="49">
        <v>0</v>
      </c>
      <c r="T210" s="49">
        <v>1</v>
      </c>
      <c r="U210" s="50">
        <v>0</v>
      </c>
      <c r="V210" s="50">
        <v>0.177728</v>
      </c>
      <c r="W210" s="50">
        <v>0.049759</v>
      </c>
      <c r="X210" s="50">
        <v>0.001579</v>
      </c>
      <c r="Y210" s="50">
        <v>0</v>
      </c>
      <c r="Z210" s="50">
        <v>0</v>
      </c>
      <c r="AA210" s="73">
        <v>210</v>
      </c>
      <c r="AB210" s="73"/>
      <c r="AC210" s="74"/>
      <c r="AD210" s="81" t="s">
        <v>1504</v>
      </c>
      <c r="AE210" s="81"/>
      <c r="AF210" s="81"/>
      <c r="AG210" s="81"/>
      <c r="AH210" s="81"/>
      <c r="AI210" s="81" t="s">
        <v>2226</v>
      </c>
      <c r="AJ210" s="85">
        <v>40658.956145833334</v>
      </c>
      <c r="AK210" s="83" t="str">
        <f>HYPERLINK("https://yt3.ggpht.com/ytc/AOPolaSvx7T1VZkcgAk71EjP6DzKvF8PZVF81lyCdQ=s88-c-k-c0x00ffffff-no-rj")</f>
        <v>https://yt3.ggpht.com/ytc/AOPolaSvx7T1VZkcgAk71EjP6DzKvF8PZVF81lyCdQ=s88-c-k-c0x00ffffff-no-rj</v>
      </c>
      <c r="AL210" s="81">
        <v>149</v>
      </c>
      <c r="AM210" s="81">
        <v>0</v>
      </c>
      <c r="AN210" s="81">
        <v>7</v>
      </c>
      <c r="AO210" s="81" t="b">
        <v>0</v>
      </c>
      <c r="AP210" s="81">
        <v>2</v>
      </c>
      <c r="AQ210" s="81"/>
      <c r="AR210" s="81"/>
      <c r="AS210" s="81" t="s">
        <v>2571</v>
      </c>
      <c r="AT210" s="83" t="str">
        <f>HYPERLINK("https://www.youtube.com/channel/UCD46RdLs8Q37Avnc5bm7KUA")</f>
        <v>https://www.youtube.com/channel/UCD46RdLs8Q37Avnc5bm7KUA</v>
      </c>
      <c r="AU210" s="81">
        <v>1</v>
      </c>
      <c r="AV210" s="49">
        <v>0</v>
      </c>
      <c r="AW210" s="50">
        <v>0</v>
      </c>
      <c r="AX210" s="49">
        <v>1</v>
      </c>
      <c r="AY210" s="50">
        <v>3.5714285714285716</v>
      </c>
      <c r="AZ210" s="49">
        <v>0</v>
      </c>
      <c r="BA210" s="50">
        <v>0</v>
      </c>
      <c r="BB210" s="49">
        <v>16</v>
      </c>
      <c r="BC210" s="50">
        <v>57.142857142857146</v>
      </c>
      <c r="BD210" s="49">
        <v>28</v>
      </c>
      <c r="BE210" s="49"/>
      <c r="BF210" s="49"/>
      <c r="BG210" s="49"/>
      <c r="BH210" s="49"/>
      <c r="BI210" s="49"/>
      <c r="BJ210" s="49"/>
      <c r="BK210" s="115" t="s">
        <v>2752</v>
      </c>
      <c r="BL210" s="115" t="s">
        <v>2752</v>
      </c>
      <c r="BM210" s="115" t="s">
        <v>3215</v>
      </c>
      <c r="BN210" s="115" t="s">
        <v>3215</v>
      </c>
      <c r="BO210" s="2"/>
      <c r="BP210" s="3"/>
      <c r="BQ210" s="3"/>
      <c r="BR210" s="3"/>
      <c r="BS210" s="3"/>
    </row>
    <row r="211" spans="1:71" ht="15">
      <c r="A211" s="66" t="s">
        <v>429</v>
      </c>
      <c r="B211" s="67"/>
      <c r="C211" s="67"/>
      <c r="D211" s="68">
        <v>150</v>
      </c>
      <c r="E211" s="70"/>
      <c r="F211" s="102" t="str">
        <f>HYPERLINK("https://yt3.ggpht.com/ytc/AOPolaRVJ5teglS2O7N1m6cuJLk4KyebcawTUubF2A=s88-c-k-c0x00ffffff-no-rj")</f>
        <v>https://yt3.ggpht.com/ytc/AOPolaRVJ5teglS2O7N1m6cuJLk4KyebcawTUubF2A=s88-c-k-c0x00ffffff-no-rj</v>
      </c>
      <c r="G211" s="67"/>
      <c r="H211" s="71" t="s">
        <v>1505</v>
      </c>
      <c r="I211" s="72"/>
      <c r="J211" s="72" t="s">
        <v>159</v>
      </c>
      <c r="K211" s="71" t="s">
        <v>1505</v>
      </c>
      <c r="L211" s="75">
        <v>1</v>
      </c>
      <c r="M211" s="76">
        <v>2555.585693359375</v>
      </c>
      <c r="N211" s="76">
        <v>7627.03125</v>
      </c>
      <c r="O211" s="77"/>
      <c r="P211" s="78"/>
      <c r="Q211" s="78"/>
      <c r="R211" s="88"/>
      <c r="S211" s="49">
        <v>0</v>
      </c>
      <c r="T211" s="49">
        <v>1</v>
      </c>
      <c r="U211" s="50">
        <v>0</v>
      </c>
      <c r="V211" s="50">
        <v>0.177728</v>
      </c>
      <c r="W211" s="50">
        <v>0.049759</v>
      </c>
      <c r="X211" s="50">
        <v>0.001579</v>
      </c>
      <c r="Y211" s="50">
        <v>0</v>
      </c>
      <c r="Z211" s="50">
        <v>0</v>
      </c>
      <c r="AA211" s="73">
        <v>211</v>
      </c>
      <c r="AB211" s="73"/>
      <c r="AC211" s="74"/>
      <c r="AD211" s="81" t="s">
        <v>1505</v>
      </c>
      <c r="AE211" s="81"/>
      <c r="AF211" s="81"/>
      <c r="AG211" s="81"/>
      <c r="AH211" s="81"/>
      <c r="AI211" s="81" t="s">
        <v>2227</v>
      </c>
      <c r="AJ211" s="85">
        <v>44119.063125</v>
      </c>
      <c r="AK211" s="83" t="str">
        <f>HYPERLINK("https://yt3.ggpht.com/ytc/AOPolaRVJ5teglS2O7N1m6cuJLk4KyebcawTUubF2A=s88-c-k-c0x00ffffff-no-rj")</f>
        <v>https://yt3.ggpht.com/ytc/AOPolaRVJ5teglS2O7N1m6cuJLk4KyebcawTUubF2A=s88-c-k-c0x00ffffff-no-rj</v>
      </c>
      <c r="AL211" s="81">
        <v>0</v>
      </c>
      <c r="AM211" s="81">
        <v>0</v>
      </c>
      <c r="AN211" s="81">
        <v>0</v>
      </c>
      <c r="AO211" s="81" t="b">
        <v>0</v>
      </c>
      <c r="AP211" s="81">
        <v>0</v>
      </c>
      <c r="AQ211" s="81"/>
      <c r="AR211" s="81"/>
      <c r="AS211" s="81" t="s">
        <v>2571</v>
      </c>
      <c r="AT211" s="83" t="str">
        <f>HYPERLINK("https://www.youtube.com/channel/UC7C1PF4RNOpISxcGFW1eIKg")</f>
        <v>https://www.youtube.com/channel/UC7C1PF4RNOpISxcGFW1eIKg</v>
      </c>
      <c r="AU211" s="81">
        <v>1</v>
      </c>
      <c r="AV211" s="49">
        <v>0</v>
      </c>
      <c r="AW211" s="50">
        <v>0</v>
      </c>
      <c r="AX211" s="49">
        <v>0</v>
      </c>
      <c r="AY211" s="50">
        <v>0</v>
      </c>
      <c r="AZ211" s="49">
        <v>0</v>
      </c>
      <c r="BA211" s="50">
        <v>0</v>
      </c>
      <c r="BB211" s="49">
        <v>3</v>
      </c>
      <c r="BC211" s="50">
        <v>60</v>
      </c>
      <c r="BD211" s="49">
        <v>5</v>
      </c>
      <c r="BE211" s="49"/>
      <c r="BF211" s="49"/>
      <c r="BG211" s="49"/>
      <c r="BH211" s="49"/>
      <c r="BI211" s="49"/>
      <c r="BJ211" s="49"/>
      <c r="BK211" s="115" t="s">
        <v>2753</v>
      </c>
      <c r="BL211" s="115" t="s">
        <v>2753</v>
      </c>
      <c r="BM211" s="115" t="s">
        <v>3216</v>
      </c>
      <c r="BN211" s="115" t="s">
        <v>3216</v>
      </c>
      <c r="BO211" s="2"/>
      <c r="BP211" s="3"/>
      <c r="BQ211" s="3"/>
      <c r="BR211" s="3"/>
      <c r="BS211" s="3"/>
    </row>
    <row r="212" spans="1:71" ht="15">
      <c r="A212" s="66" t="s">
        <v>430</v>
      </c>
      <c r="B212" s="67"/>
      <c r="C212" s="67"/>
      <c r="D212" s="68">
        <v>150</v>
      </c>
      <c r="E212" s="70"/>
      <c r="F212" s="102" t="str">
        <f>HYPERLINK("https://yt3.ggpht.com/Sd2Z5M2RIq0pzXXLwDCNQNLkc5y9zyq1vnoGgzQ6S9ugLqKEA04sDoFUwPn17c5vEVprSb_R-Iw=s88-c-k-c0x00ffffff-no-rj")</f>
        <v>https://yt3.ggpht.com/Sd2Z5M2RIq0pzXXLwDCNQNLkc5y9zyq1vnoGgzQ6S9ugLqKEA04sDoFUwPn17c5vEVprSb_R-Iw=s88-c-k-c0x00ffffff-no-rj</v>
      </c>
      <c r="G212" s="67"/>
      <c r="H212" s="71" t="s">
        <v>1506</v>
      </c>
      <c r="I212" s="72"/>
      <c r="J212" s="72" t="s">
        <v>159</v>
      </c>
      <c r="K212" s="71" t="s">
        <v>1506</v>
      </c>
      <c r="L212" s="75">
        <v>1</v>
      </c>
      <c r="M212" s="76">
        <v>546.1058959960938</v>
      </c>
      <c r="N212" s="76">
        <v>7046.392578125</v>
      </c>
      <c r="O212" s="77"/>
      <c r="P212" s="78"/>
      <c r="Q212" s="78"/>
      <c r="R212" s="88"/>
      <c r="S212" s="49">
        <v>0</v>
      </c>
      <c r="T212" s="49">
        <v>1</v>
      </c>
      <c r="U212" s="50">
        <v>0</v>
      </c>
      <c r="V212" s="50">
        <v>0.177728</v>
      </c>
      <c r="W212" s="50">
        <v>0.049759</v>
      </c>
      <c r="X212" s="50">
        <v>0.001579</v>
      </c>
      <c r="Y212" s="50">
        <v>0</v>
      </c>
      <c r="Z212" s="50">
        <v>0</v>
      </c>
      <c r="AA212" s="73">
        <v>212</v>
      </c>
      <c r="AB212" s="73"/>
      <c r="AC212" s="74"/>
      <c r="AD212" s="81" t="s">
        <v>1506</v>
      </c>
      <c r="AE212" s="81" t="s">
        <v>1953</v>
      </c>
      <c r="AF212" s="81"/>
      <c r="AG212" s="81"/>
      <c r="AH212" s="81"/>
      <c r="AI212" s="81" t="s">
        <v>2228</v>
      </c>
      <c r="AJ212" s="85">
        <v>42915.946377314816</v>
      </c>
      <c r="AK212" s="83" t="str">
        <f>HYPERLINK("https://yt3.ggpht.com/Sd2Z5M2RIq0pzXXLwDCNQNLkc5y9zyq1vnoGgzQ6S9ugLqKEA04sDoFUwPn17c5vEVprSb_R-Iw=s88-c-k-c0x00ffffff-no-rj")</f>
        <v>https://yt3.ggpht.com/Sd2Z5M2RIq0pzXXLwDCNQNLkc5y9zyq1vnoGgzQ6S9ugLqKEA04sDoFUwPn17c5vEVprSb_R-Iw=s88-c-k-c0x00ffffff-no-rj</v>
      </c>
      <c r="AL212" s="81">
        <v>0</v>
      </c>
      <c r="AM212" s="81">
        <v>0</v>
      </c>
      <c r="AN212" s="81">
        <v>31</v>
      </c>
      <c r="AO212" s="81" t="b">
        <v>0</v>
      </c>
      <c r="AP212" s="81">
        <v>0</v>
      </c>
      <c r="AQ212" s="81"/>
      <c r="AR212" s="81"/>
      <c r="AS212" s="81" t="s">
        <v>2571</v>
      </c>
      <c r="AT212" s="83" t="str">
        <f>HYPERLINK("https://www.youtube.com/channel/UCwR4ZB_SV2yq14iSslrVsqg")</f>
        <v>https://www.youtube.com/channel/UCwR4ZB_SV2yq14iSslrVsqg</v>
      </c>
      <c r="AU212" s="81">
        <v>1</v>
      </c>
      <c r="AV212" s="49">
        <v>0</v>
      </c>
      <c r="AW212" s="50">
        <v>0</v>
      </c>
      <c r="AX212" s="49">
        <v>0</v>
      </c>
      <c r="AY212" s="50">
        <v>0</v>
      </c>
      <c r="AZ212" s="49">
        <v>0</v>
      </c>
      <c r="BA212" s="50">
        <v>0</v>
      </c>
      <c r="BB212" s="49">
        <v>6</v>
      </c>
      <c r="BC212" s="50">
        <v>28.571428571428573</v>
      </c>
      <c r="BD212" s="49">
        <v>21</v>
      </c>
      <c r="BE212" s="49"/>
      <c r="BF212" s="49"/>
      <c r="BG212" s="49"/>
      <c r="BH212" s="49"/>
      <c r="BI212" s="49"/>
      <c r="BJ212" s="49"/>
      <c r="BK212" s="115" t="s">
        <v>2754</v>
      </c>
      <c r="BL212" s="115" t="s">
        <v>2754</v>
      </c>
      <c r="BM212" s="115" t="s">
        <v>3217</v>
      </c>
      <c r="BN212" s="115" t="s">
        <v>3217</v>
      </c>
      <c r="BO212" s="2"/>
      <c r="BP212" s="3"/>
      <c r="BQ212" s="3"/>
      <c r="BR212" s="3"/>
      <c r="BS212" s="3"/>
    </row>
    <row r="213" spans="1:71" ht="15">
      <c r="A213" s="66" t="s">
        <v>431</v>
      </c>
      <c r="B213" s="67"/>
      <c r="C213" s="67"/>
      <c r="D213" s="68">
        <v>150</v>
      </c>
      <c r="E213" s="70"/>
      <c r="F213" s="102" t="str">
        <f>HYPERLINK("https://yt3.ggpht.com/t-xVc--YlBx272ACrKU7_h85P69X-wu6iLPGqmZt5hDZmrIgeybSiiXFE5Y86buXrB0AKw1evQ=s88-c-k-c0x00ffffff-no-rj")</f>
        <v>https://yt3.ggpht.com/t-xVc--YlBx272ACrKU7_h85P69X-wu6iLPGqmZt5hDZmrIgeybSiiXFE5Y86buXrB0AKw1evQ=s88-c-k-c0x00ffffff-no-rj</v>
      </c>
      <c r="G213" s="67"/>
      <c r="H213" s="71" t="s">
        <v>1507</v>
      </c>
      <c r="I213" s="72"/>
      <c r="J213" s="72" t="s">
        <v>159</v>
      </c>
      <c r="K213" s="71" t="s">
        <v>1507</v>
      </c>
      <c r="L213" s="75">
        <v>1</v>
      </c>
      <c r="M213" s="76">
        <v>6008.9873046875</v>
      </c>
      <c r="N213" s="76">
        <v>6780.69677734375</v>
      </c>
      <c r="O213" s="77"/>
      <c r="P213" s="78"/>
      <c r="Q213" s="78"/>
      <c r="R213" s="88"/>
      <c r="S213" s="49">
        <v>0</v>
      </c>
      <c r="T213" s="49">
        <v>1</v>
      </c>
      <c r="U213" s="50">
        <v>0</v>
      </c>
      <c r="V213" s="50">
        <v>0.177728</v>
      </c>
      <c r="W213" s="50">
        <v>0.049759</v>
      </c>
      <c r="X213" s="50">
        <v>0.001579</v>
      </c>
      <c r="Y213" s="50">
        <v>0</v>
      </c>
      <c r="Z213" s="50">
        <v>0</v>
      </c>
      <c r="AA213" s="73">
        <v>213</v>
      </c>
      <c r="AB213" s="73"/>
      <c r="AC213" s="74"/>
      <c r="AD213" s="81" t="s">
        <v>1507</v>
      </c>
      <c r="AE213" s="81"/>
      <c r="AF213" s="81"/>
      <c r="AG213" s="81"/>
      <c r="AH213" s="81"/>
      <c r="AI213" s="81" t="s">
        <v>2229</v>
      </c>
      <c r="AJ213" s="85">
        <v>43150.13768518518</v>
      </c>
      <c r="AK213" s="83" t="str">
        <f>HYPERLINK("https://yt3.ggpht.com/t-xVc--YlBx272ACrKU7_h85P69X-wu6iLPGqmZt5hDZmrIgeybSiiXFE5Y86buXrB0AKw1evQ=s88-c-k-c0x00ffffff-no-rj")</f>
        <v>https://yt3.ggpht.com/t-xVc--YlBx272ACrKU7_h85P69X-wu6iLPGqmZt5hDZmrIgeybSiiXFE5Y86buXrB0AKw1evQ=s88-c-k-c0x00ffffff-no-rj</v>
      </c>
      <c r="AL213" s="81">
        <v>0</v>
      </c>
      <c r="AM213" s="81">
        <v>0</v>
      </c>
      <c r="AN213" s="81">
        <v>12</v>
      </c>
      <c r="AO213" s="81" t="b">
        <v>0</v>
      </c>
      <c r="AP213" s="81">
        <v>0</v>
      </c>
      <c r="AQ213" s="81"/>
      <c r="AR213" s="81"/>
      <c r="AS213" s="81" t="s">
        <v>2571</v>
      </c>
      <c r="AT213" s="83" t="str">
        <f>HYPERLINK("https://www.youtube.com/channel/UCJeWto0CRaGbkUfySvK4eug")</f>
        <v>https://www.youtube.com/channel/UCJeWto0CRaGbkUfySvK4eug</v>
      </c>
      <c r="AU213" s="81">
        <v>1</v>
      </c>
      <c r="AV213" s="49">
        <v>0</v>
      </c>
      <c r="AW213" s="50">
        <v>0</v>
      </c>
      <c r="AX213" s="49">
        <v>0</v>
      </c>
      <c r="AY213" s="50">
        <v>0</v>
      </c>
      <c r="AZ213" s="49">
        <v>0</v>
      </c>
      <c r="BA213" s="50">
        <v>0</v>
      </c>
      <c r="BB213" s="49">
        <v>8</v>
      </c>
      <c r="BC213" s="50">
        <v>27.586206896551722</v>
      </c>
      <c r="BD213" s="49">
        <v>29</v>
      </c>
      <c r="BE213" s="49"/>
      <c r="BF213" s="49"/>
      <c r="BG213" s="49"/>
      <c r="BH213" s="49"/>
      <c r="BI213" s="49"/>
      <c r="BJ213" s="49"/>
      <c r="BK213" s="115" t="s">
        <v>2755</v>
      </c>
      <c r="BL213" s="115" t="s">
        <v>2755</v>
      </c>
      <c r="BM213" s="115" t="s">
        <v>3218</v>
      </c>
      <c r="BN213" s="115" t="s">
        <v>3218</v>
      </c>
      <c r="BO213" s="2"/>
      <c r="BP213" s="3"/>
      <c r="BQ213" s="3"/>
      <c r="BR213" s="3"/>
      <c r="BS213" s="3"/>
    </row>
    <row r="214" spans="1:71" ht="15">
      <c r="A214" s="66" t="s">
        <v>432</v>
      </c>
      <c r="B214" s="67"/>
      <c r="C214" s="67"/>
      <c r="D214" s="68">
        <v>150</v>
      </c>
      <c r="E214" s="70"/>
      <c r="F214" s="102" t="str">
        <f>HYPERLINK("https://yt3.ggpht.com/y_zzG4upe7ZwD8PHZUZmVm4fT6LFxCzW18kEp7iThSm58S8mXvNA1DYMWYiM4q20ngV5X63en34=s88-c-k-c0x00ffffff-no-rj")</f>
        <v>https://yt3.ggpht.com/y_zzG4upe7ZwD8PHZUZmVm4fT6LFxCzW18kEp7iThSm58S8mXvNA1DYMWYiM4q20ngV5X63en34=s88-c-k-c0x00ffffff-no-rj</v>
      </c>
      <c r="G214" s="67"/>
      <c r="H214" s="71" t="s">
        <v>1508</v>
      </c>
      <c r="I214" s="72"/>
      <c r="J214" s="72" t="s">
        <v>159</v>
      </c>
      <c r="K214" s="71" t="s">
        <v>1508</v>
      </c>
      <c r="L214" s="75">
        <v>1</v>
      </c>
      <c r="M214" s="76">
        <v>1160.0416259765625</v>
      </c>
      <c r="N214" s="76">
        <v>7208.53173828125</v>
      </c>
      <c r="O214" s="77"/>
      <c r="P214" s="78"/>
      <c r="Q214" s="78"/>
      <c r="R214" s="88"/>
      <c r="S214" s="49">
        <v>0</v>
      </c>
      <c r="T214" s="49">
        <v>1</v>
      </c>
      <c r="U214" s="50">
        <v>0</v>
      </c>
      <c r="V214" s="50">
        <v>0.177728</v>
      </c>
      <c r="W214" s="50">
        <v>0.049759</v>
      </c>
      <c r="X214" s="50">
        <v>0.001579</v>
      </c>
      <c r="Y214" s="50">
        <v>0</v>
      </c>
      <c r="Z214" s="50">
        <v>0</v>
      </c>
      <c r="AA214" s="73">
        <v>214</v>
      </c>
      <c r="AB214" s="73"/>
      <c r="AC214" s="74"/>
      <c r="AD214" s="81" t="s">
        <v>1508</v>
      </c>
      <c r="AE214" s="81"/>
      <c r="AF214" s="81"/>
      <c r="AG214" s="81"/>
      <c r="AH214" s="81"/>
      <c r="AI214" s="81" t="s">
        <v>2230</v>
      </c>
      <c r="AJ214" s="85">
        <v>45120.03039351852</v>
      </c>
      <c r="AK214" s="83" t="str">
        <f>HYPERLINK("https://yt3.ggpht.com/y_zzG4upe7ZwD8PHZUZmVm4fT6LFxCzW18kEp7iThSm58S8mXvNA1DYMWYiM4q20ngV5X63en34=s88-c-k-c0x00ffffff-no-rj")</f>
        <v>https://yt3.ggpht.com/y_zzG4upe7ZwD8PHZUZmVm4fT6LFxCzW18kEp7iThSm58S8mXvNA1DYMWYiM4q20ngV5X63en34=s88-c-k-c0x00ffffff-no-rj</v>
      </c>
      <c r="AL214" s="81">
        <v>11</v>
      </c>
      <c r="AM214" s="81">
        <v>0</v>
      </c>
      <c r="AN214" s="81">
        <v>1</v>
      </c>
      <c r="AO214" s="81" t="b">
        <v>0</v>
      </c>
      <c r="AP214" s="81">
        <v>1</v>
      </c>
      <c r="AQ214" s="81"/>
      <c r="AR214" s="81"/>
      <c r="AS214" s="81" t="s">
        <v>2571</v>
      </c>
      <c r="AT214" s="83" t="str">
        <f>HYPERLINK("https://www.youtube.com/channel/UCusLqY2duB79blA0ExlIRNg")</f>
        <v>https://www.youtube.com/channel/UCusLqY2duB79blA0ExlIRNg</v>
      </c>
      <c r="AU214" s="81">
        <v>1</v>
      </c>
      <c r="AV214" s="49">
        <v>2</v>
      </c>
      <c r="AW214" s="50">
        <v>28.571428571428573</v>
      </c>
      <c r="AX214" s="49">
        <v>0</v>
      </c>
      <c r="AY214" s="50">
        <v>0</v>
      </c>
      <c r="AZ214" s="49">
        <v>0</v>
      </c>
      <c r="BA214" s="50">
        <v>0</v>
      </c>
      <c r="BB214" s="49">
        <v>1</v>
      </c>
      <c r="BC214" s="50">
        <v>14.285714285714286</v>
      </c>
      <c r="BD214" s="49">
        <v>7</v>
      </c>
      <c r="BE214" s="49"/>
      <c r="BF214" s="49"/>
      <c r="BG214" s="49"/>
      <c r="BH214" s="49"/>
      <c r="BI214" s="49"/>
      <c r="BJ214" s="49"/>
      <c r="BK214" s="115" t="s">
        <v>2756</v>
      </c>
      <c r="BL214" s="115" t="s">
        <v>2756</v>
      </c>
      <c r="BM214" s="115" t="s">
        <v>3219</v>
      </c>
      <c r="BN214" s="115" t="s">
        <v>3219</v>
      </c>
      <c r="BO214" s="2"/>
      <c r="BP214" s="3"/>
      <c r="BQ214" s="3"/>
      <c r="BR214" s="3"/>
      <c r="BS214" s="3"/>
    </row>
    <row r="215" spans="1:71" ht="15">
      <c r="A215" s="66" t="s">
        <v>433</v>
      </c>
      <c r="B215" s="67"/>
      <c r="C215" s="67"/>
      <c r="D215" s="68">
        <v>150</v>
      </c>
      <c r="E215" s="70"/>
      <c r="F215" s="102" t="str">
        <f>HYPERLINK("https://yt3.ggpht.com/ytc/AOPolaS45zjSE3ws8YF4Bs7ULFkPgZ41ZBGklQRaQWnRnHMhBfsLMyu1VUgxKbyVXoee=s88-c-k-c0x00ffffff-no-rj")</f>
        <v>https://yt3.ggpht.com/ytc/AOPolaS45zjSE3ws8YF4Bs7ULFkPgZ41ZBGklQRaQWnRnHMhBfsLMyu1VUgxKbyVXoee=s88-c-k-c0x00ffffff-no-rj</v>
      </c>
      <c r="G215" s="67"/>
      <c r="H215" s="71" t="s">
        <v>1509</v>
      </c>
      <c r="I215" s="72"/>
      <c r="J215" s="72" t="s">
        <v>159</v>
      </c>
      <c r="K215" s="71" t="s">
        <v>1509</v>
      </c>
      <c r="L215" s="75">
        <v>1</v>
      </c>
      <c r="M215" s="76">
        <v>4548.427734375</v>
      </c>
      <c r="N215" s="76">
        <v>8791.87109375</v>
      </c>
      <c r="O215" s="77"/>
      <c r="P215" s="78"/>
      <c r="Q215" s="78"/>
      <c r="R215" s="88"/>
      <c r="S215" s="49">
        <v>0</v>
      </c>
      <c r="T215" s="49">
        <v>1</v>
      </c>
      <c r="U215" s="50">
        <v>0</v>
      </c>
      <c r="V215" s="50">
        <v>0.177728</v>
      </c>
      <c r="W215" s="50">
        <v>0.049759</v>
      </c>
      <c r="X215" s="50">
        <v>0.001579</v>
      </c>
      <c r="Y215" s="50">
        <v>0</v>
      </c>
      <c r="Z215" s="50">
        <v>0</v>
      </c>
      <c r="AA215" s="73">
        <v>215</v>
      </c>
      <c r="AB215" s="73"/>
      <c r="AC215" s="74"/>
      <c r="AD215" s="81" t="s">
        <v>1509</v>
      </c>
      <c r="AE215" s="81"/>
      <c r="AF215" s="81"/>
      <c r="AG215" s="81"/>
      <c r="AH215" s="81"/>
      <c r="AI215" s="81" t="s">
        <v>2231</v>
      </c>
      <c r="AJ215" s="85">
        <v>44488.40962962963</v>
      </c>
      <c r="AK215" s="83" t="str">
        <f>HYPERLINK("https://yt3.ggpht.com/ytc/AOPolaS45zjSE3ws8YF4Bs7ULFkPgZ41ZBGklQRaQWnRnHMhBfsLMyu1VUgxKbyVXoee=s88-c-k-c0x00ffffff-no-rj")</f>
        <v>https://yt3.ggpht.com/ytc/AOPolaS45zjSE3ws8YF4Bs7ULFkPgZ41ZBGklQRaQWnRnHMhBfsLMyu1VUgxKbyVXoee=s88-c-k-c0x00ffffff-no-rj</v>
      </c>
      <c r="AL215" s="81">
        <v>0</v>
      </c>
      <c r="AM215" s="81">
        <v>0</v>
      </c>
      <c r="AN215" s="81">
        <v>0</v>
      </c>
      <c r="AO215" s="81" t="b">
        <v>0</v>
      </c>
      <c r="AP215" s="81">
        <v>0</v>
      </c>
      <c r="AQ215" s="81"/>
      <c r="AR215" s="81"/>
      <c r="AS215" s="81" t="s">
        <v>2571</v>
      </c>
      <c r="AT215" s="83" t="str">
        <f>HYPERLINK("https://www.youtube.com/channel/UClRx6tZ0lKmli1P8Pvs9MFw")</f>
        <v>https://www.youtube.com/channel/UClRx6tZ0lKmli1P8Pvs9MFw</v>
      </c>
      <c r="AU215" s="81">
        <v>1</v>
      </c>
      <c r="AV215" s="49">
        <v>0</v>
      </c>
      <c r="AW215" s="50">
        <v>0</v>
      </c>
      <c r="AX215" s="49">
        <v>0</v>
      </c>
      <c r="AY215" s="50">
        <v>0</v>
      </c>
      <c r="AZ215" s="49">
        <v>0</v>
      </c>
      <c r="BA215" s="50">
        <v>0</v>
      </c>
      <c r="BB215" s="49">
        <v>1</v>
      </c>
      <c r="BC215" s="50">
        <v>16.666666666666668</v>
      </c>
      <c r="BD215" s="49">
        <v>6</v>
      </c>
      <c r="BE215" s="49"/>
      <c r="BF215" s="49"/>
      <c r="BG215" s="49"/>
      <c r="BH215" s="49"/>
      <c r="BI215" s="49"/>
      <c r="BJ215" s="49"/>
      <c r="BK215" s="115" t="s">
        <v>2757</v>
      </c>
      <c r="BL215" s="115" t="s">
        <v>2757</v>
      </c>
      <c r="BM215" s="115" t="s">
        <v>4477</v>
      </c>
      <c r="BN215" s="115" t="s">
        <v>4477</v>
      </c>
      <c r="BO215" s="2"/>
      <c r="BP215" s="3"/>
      <c r="BQ215" s="3"/>
      <c r="BR215" s="3"/>
      <c r="BS215" s="3"/>
    </row>
    <row r="216" spans="1:71" ht="15">
      <c r="A216" s="66" t="s">
        <v>434</v>
      </c>
      <c r="B216" s="67"/>
      <c r="C216" s="67"/>
      <c r="D216" s="68">
        <v>150</v>
      </c>
      <c r="E216" s="70"/>
      <c r="F216" s="102" t="str">
        <f>HYPERLINK("https://yt3.ggpht.com/ytc/AOPolaQfd6tbxA8YZttSNKg43I6SxFOCq8ou1xKgKkAQ=s88-c-k-c0x00ffffff-no-rj")</f>
        <v>https://yt3.ggpht.com/ytc/AOPolaQfd6tbxA8YZttSNKg43I6SxFOCq8ou1xKgKkAQ=s88-c-k-c0x00ffffff-no-rj</v>
      </c>
      <c r="G216" s="67"/>
      <c r="H216" s="71" t="s">
        <v>1510</v>
      </c>
      <c r="I216" s="72"/>
      <c r="J216" s="72" t="s">
        <v>159</v>
      </c>
      <c r="K216" s="71" t="s">
        <v>1510</v>
      </c>
      <c r="L216" s="75">
        <v>1</v>
      </c>
      <c r="M216" s="76">
        <v>3168.791259765625</v>
      </c>
      <c r="N216" s="76">
        <v>9631.369140625</v>
      </c>
      <c r="O216" s="77"/>
      <c r="P216" s="78"/>
      <c r="Q216" s="78"/>
      <c r="R216" s="88"/>
      <c r="S216" s="49">
        <v>0</v>
      </c>
      <c r="T216" s="49">
        <v>1</v>
      </c>
      <c r="U216" s="50">
        <v>0</v>
      </c>
      <c r="V216" s="50">
        <v>0.177728</v>
      </c>
      <c r="W216" s="50">
        <v>0.049759</v>
      </c>
      <c r="X216" s="50">
        <v>0.001579</v>
      </c>
      <c r="Y216" s="50">
        <v>0</v>
      </c>
      <c r="Z216" s="50">
        <v>0</v>
      </c>
      <c r="AA216" s="73">
        <v>216</v>
      </c>
      <c r="AB216" s="73"/>
      <c r="AC216" s="74"/>
      <c r="AD216" s="81" t="s">
        <v>1510</v>
      </c>
      <c r="AE216" s="81"/>
      <c r="AF216" s="81"/>
      <c r="AG216" s="81"/>
      <c r="AH216" s="81"/>
      <c r="AI216" s="81" t="s">
        <v>2232</v>
      </c>
      <c r="AJ216" s="85">
        <v>44067.41516203704</v>
      </c>
      <c r="AK216" s="83" t="str">
        <f>HYPERLINK("https://yt3.ggpht.com/ytc/AOPolaQfd6tbxA8YZttSNKg43I6SxFOCq8ou1xKgKkAQ=s88-c-k-c0x00ffffff-no-rj")</f>
        <v>https://yt3.ggpht.com/ytc/AOPolaQfd6tbxA8YZttSNKg43I6SxFOCq8ou1xKgKkAQ=s88-c-k-c0x00ffffff-no-rj</v>
      </c>
      <c r="AL216" s="81">
        <v>0</v>
      </c>
      <c r="AM216" s="81">
        <v>0</v>
      </c>
      <c r="AN216" s="81">
        <v>0</v>
      </c>
      <c r="AO216" s="81" t="b">
        <v>0</v>
      </c>
      <c r="AP216" s="81">
        <v>0</v>
      </c>
      <c r="AQ216" s="81"/>
      <c r="AR216" s="81"/>
      <c r="AS216" s="81" t="s">
        <v>2571</v>
      </c>
      <c r="AT216" s="83" t="str">
        <f>HYPERLINK("https://www.youtube.com/channel/UCKgs_BNbfmya6BkcdE_oPcw")</f>
        <v>https://www.youtube.com/channel/UCKgs_BNbfmya6BkcdE_oPcw</v>
      </c>
      <c r="AU216" s="81">
        <v>1</v>
      </c>
      <c r="AV216" s="49">
        <v>2</v>
      </c>
      <c r="AW216" s="50">
        <v>22.22222222222222</v>
      </c>
      <c r="AX216" s="49">
        <v>0</v>
      </c>
      <c r="AY216" s="50">
        <v>0</v>
      </c>
      <c r="AZ216" s="49">
        <v>0</v>
      </c>
      <c r="BA216" s="50">
        <v>0</v>
      </c>
      <c r="BB216" s="49">
        <v>3</v>
      </c>
      <c r="BC216" s="50">
        <v>33.333333333333336</v>
      </c>
      <c r="BD216" s="49">
        <v>9</v>
      </c>
      <c r="BE216" s="49"/>
      <c r="BF216" s="49"/>
      <c r="BG216" s="49"/>
      <c r="BH216" s="49"/>
      <c r="BI216" s="49"/>
      <c r="BJ216" s="49"/>
      <c r="BK216" s="115" t="s">
        <v>2758</v>
      </c>
      <c r="BL216" s="115" t="s">
        <v>2758</v>
      </c>
      <c r="BM216" s="115" t="s">
        <v>3220</v>
      </c>
      <c r="BN216" s="115" t="s">
        <v>3220</v>
      </c>
      <c r="BO216" s="2"/>
      <c r="BP216" s="3"/>
      <c r="BQ216" s="3"/>
      <c r="BR216" s="3"/>
      <c r="BS216" s="3"/>
    </row>
    <row r="217" spans="1:71" ht="15">
      <c r="A217" s="66" t="s">
        <v>435</v>
      </c>
      <c r="B217" s="67"/>
      <c r="C217" s="67"/>
      <c r="D217" s="68">
        <v>150</v>
      </c>
      <c r="E217" s="70"/>
      <c r="F217" s="102" t="str">
        <f>HYPERLINK("https://yt3.ggpht.com/ytc/AOPolaSo4mnW5ZSJeddYv3QAg0uRKm9sLFW-cTyRqPXrIu4W4ZmgP5B5F2M7wmfo0qd5=s88-c-k-c0x00ffffff-no-rj")</f>
        <v>https://yt3.ggpht.com/ytc/AOPolaSo4mnW5ZSJeddYv3QAg0uRKm9sLFW-cTyRqPXrIu4W4ZmgP5B5F2M7wmfo0qd5=s88-c-k-c0x00ffffff-no-rj</v>
      </c>
      <c r="G217" s="67"/>
      <c r="H217" s="71" t="s">
        <v>1511</v>
      </c>
      <c r="I217" s="72"/>
      <c r="J217" s="72" t="s">
        <v>159</v>
      </c>
      <c r="K217" s="71" t="s">
        <v>1511</v>
      </c>
      <c r="L217" s="75">
        <v>1</v>
      </c>
      <c r="M217" s="76">
        <v>2668.695556640625</v>
      </c>
      <c r="N217" s="76">
        <v>7045.9697265625</v>
      </c>
      <c r="O217" s="77"/>
      <c r="P217" s="78"/>
      <c r="Q217" s="78"/>
      <c r="R217" s="88"/>
      <c r="S217" s="49">
        <v>0</v>
      </c>
      <c r="T217" s="49">
        <v>1</v>
      </c>
      <c r="U217" s="50">
        <v>0</v>
      </c>
      <c r="V217" s="50">
        <v>0.177728</v>
      </c>
      <c r="W217" s="50">
        <v>0.049759</v>
      </c>
      <c r="X217" s="50">
        <v>0.001579</v>
      </c>
      <c r="Y217" s="50">
        <v>0</v>
      </c>
      <c r="Z217" s="50">
        <v>0</v>
      </c>
      <c r="AA217" s="73">
        <v>217</v>
      </c>
      <c r="AB217" s="73"/>
      <c r="AC217" s="74"/>
      <c r="AD217" s="81" t="s">
        <v>1511</v>
      </c>
      <c r="AE217" s="81"/>
      <c r="AF217" s="81"/>
      <c r="AG217" s="81"/>
      <c r="AH217" s="81"/>
      <c r="AI217" s="81" t="s">
        <v>2233</v>
      </c>
      <c r="AJ217" s="85">
        <v>44584.12875</v>
      </c>
      <c r="AK217" s="83" t="str">
        <f>HYPERLINK("https://yt3.ggpht.com/ytc/AOPolaSo4mnW5ZSJeddYv3QAg0uRKm9sLFW-cTyRqPXrIu4W4ZmgP5B5F2M7wmfo0qd5=s88-c-k-c0x00ffffff-no-rj")</f>
        <v>https://yt3.ggpht.com/ytc/AOPolaSo4mnW5ZSJeddYv3QAg0uRKm9sLFW-cTyRqPXrIu4W4ZmgP5B5F2M7wmfo0qd5=s88-c-k-c0x00ffffff-no-rj</v>
      </c>
      <c r="AL217" s="81">
        <v>20</v>
      </c>
      <c r="AM217" s="81">
        <v>0</v>
      </c>
      <c r="AN217" s="81">
        <v>0</v>
      </c>
      <c r="AO217" s="81" t="b">
        <v>0</v>
      </c>
      <c r="AP217" s="81">
        <v>1</v>
      </c>
      <c r="AQ217" s="81"/>
      <c r="AR217" s="81"/>
      <c r="AS217" s="81" t="s">
        <v>2571</v>
      </c>
      <c r="AT217" s="83" t="str">
        <f>HYPERLINK("https://www.youtube.com/channel/UC9gMY6UUybdpUkoXWEhMabw")</f>
        <v>https://www.youtube.com/channel/UC9gMY6UUybdpUkoXWEhMabw</v>
      </c>
      <c r="AU217" s="81">
        <v>1</v>
      </c>
      <c r="AV217" s="49">
        <v>0</v>
      </c>
      <c r="AW217" s="50">
        <v>0</v>
      </c>
      <c r="AX217" s="49">
        <v>1</v>
      </c>
      <c r="AY217" s="50">
        <v>11.11111111111111</v>
      </c>
      <c r="AZ217" s="49">
        <v>0</v>
      </c>
      <c r="BA217" s="50">
        <v>0</v>
      </c>
      <c r="BB217" s="49">
        <v>3</v>
      </c>
      <c r="BC217" s="50">
        <v>33.333333333333336</v>
      </c>
      <c r="BD217" s="49">
        <v>9</v>
      </c>
      <c r="BE217" s="49"/>
      <c r="BF217" s="49"/>
      <c r="BG217" s="49"/>
      <c r="BH217" s="49"/>
      <c r="BI217" s="49"/>
      <c r="BJ217" s="49"/>
      <c r="BK217" s="115" t="s">
        <v>2759</v>
      </c>
      <c r="BL217" s="115" t="s">
        <v>2759</v>
      </c>
      <c r="BM217" s="115" t="s">
        <v>3221</v>
      </c>
      <c r="BN217" s="115" t="s">
        <v>3221</v>
      </c>
      <c r="BO217" s="2"/>
      <c r="BP217" s="3"/>
      <c r="BQ217" s="3"/>
      <c r="BR217" s="3"/>
      <c r="BS217" s="3"/>
    </row>
    <row r="218" spans="1:71" ht="15">
      <c r="A218" s="66" t="s">
        <v>436</v>
      </c>
      <c r="B218" s="67"/>
      <c r="C218" s="67"/>
      <c r="D218" s="68">
        <v>150</v>
      </c>
      <c r="E218" s="70"/>
      <c r="F218" s="102" t="str">
        <f>HYPERLINK("https://yt3.ggpht.com/ytc/AOPolaThW-9efgK4EUpzrDXioa5E_2dzKshDktKH1A=s88-c-k-c0x00ffffff-no-rj")</f>
        <v>https://yt3.ggpht.com/ytc/AOPolaThW-9efgK4EUpzrDXioa5E_2dzKshDktKH1A=s88-c-k-c0x00ffffff-no-rj</v>
      </c>
      <c r="G218" s="67"/>
      <c r="H218" s="71" t="s">
        <v>1512</v>
      </c>
      <c r="I218" s="72"/>
      <c r="J218" s="72" t="s">
        <v>159</v>
      </c>
      <c r="K218" s="71" t="s">
        <v>1512</v>
      </c>
      <c r="L218" s="75">
        <v>1</v>
      </c>
      <c r="M218" s="76">
        <v>3994.939697265625</v>
      </c>
      <c r="N218" s="76">
        <v>9539.716796875</v>
      </c>
      <c r="O218" s="77"/>
      <c r="P218" s="78"/>
      <c r="Q218" s="78"/>
      <c r="R218" s="88"/>
      <c r="S218" s="49">
        <v>0</v>
      </c>
      <c r="T218" s="49">
        <v>1</v>
      </c>
      <c r="U218" s="50">
        <v>0</v>
      </c>
      <c r="V218" s="50">
        <v>0.177728</v>
      </c>
      <c r="W218" s="50">
        <v>0.049759</v>
      </c>
      <c r="X218" s="50">
        <v>0.001579</v>
      </c>
      <c r="Y218" s="50">
        <v>0</v>
      </c>
      <c r="Z218" s="50">
        <v>0</v>
      </c>
      <c r="AA218" s="73">
        <v>218</v>
      </c>
      <c r="AB218" s="73"/>
      <c r="AC218" s="74"/>
      <c r="AD218" s="81" t="s">
        <v>1512</v>
      </c>
      <c r="AE218" s="81"/>
      <c r="AF218" s="81"/>
      <c r="AG218" s="81"/>
      <c r="AH218" s="81"/>
      <c r="AI218" s="81" t="s">
        <v>2234</v>
      </c>
      <c r="AJ218" s="85">
        <v>42028.69084490741</v>
      </c>
      <c r="AK218" s="83" t="str">
        <f>HYPERLINK("https://yt3.ggpht.com/ytc/AOPolaThW-9efgK4EUpzrDXioa5E_2dzKshDktKH1A=s88-c-k-c0x00ffffff-no-rj")</f>
        <v>https://yt3.ggpht.com/ytc/AOPolaThW-9efgK4EUpzrDXioa5E_2dzKshDktKH1A=s88-c-k-c0x00ffffff-no-rj</v>
      </c>
      <c r="AL218" s="81">
        <v>0</v>
      </c>
      <c r="AM218" s="81">
        <v>0</v>
      </c>
      <c r="AN218" s="81">
        <v>0</v>
      </c>
      <c r="AO218" s="81" t="b">
        <v>0</v>
      </c>
      <c r="AP218" s="81">
        <v>0</v>
      </c>
      <c r="AQ218" s="81"/>
      <c r="AR218" s="81"/>
      <c r="AS218" s="81" t="s">
        <v>2571</v>
      </c>
      <c r="AT218" s="83" t="str">
        <f>HYPERLINK("https://www.youtube.com/channel/UCKenFpZWc7jp7yKFT1IRoUw")</f>
        <v>https://www.youtube.com/channel/UCKenFpZWc7jp7yKFT1IRoUw</v>
      </c>
      <c r="AU218" s="81">
        <v>1</v>
      </c>
      <c r="AV218" s="49">
        <v>2</v>
      </c>
      <c r="AW218" s="50">
        <v>2.1052631578947367</v>
      </c>
      <c r="AX218" s="49">
        <v>2</v>
      </c>
      <c r="AY218" s="50">
        <v>2.1052631578947367</v>
      </c>
      <c r="AZ218" s="49">
        <v>0</v>
      </c>
      <c r="BA218" s="50">
        <v>0</v>
      </c>
      <c r="BB218" s="49">
        <v>38</v>
      </c>
      <c r="BC218" s="50">
        <v>40</v>
      </c>
      <c r="BD218" s="49">
        <v>95</v>
      </c>
      <c r="BE218" s="49"/>
      <c r="BF218" s="49"/>
      <c r="BG218" s="49"/>
      <c r="BH218" s="49"/>
      <c r="BI218" s="49"/>
      <c r="BJ218" s="49"/>
      <c r="BK218" s="115" t="s">
        <v>2760</v>
      </c>
      <c r="BL218" s="115" t="s">
        <v>2760</v>
      </c>
      <c r="BM218" s="115" t="s">
        <v>3222</v>
      </c>
      <c r="BN218" s="115" t="s">
        <v>3222</v>
      </c>
      <c r="BO218" s="2"/>
      <c r="BP218" s="3"/>
      <c r="BQ218" s="3"/>
      <c r="BR218" s="3"/>
      <c r="BS218" s="3"/>
    </row>
    <row r="219" spans="1:71" ht="15">
      <c r="A219" s="66" t="s">
        <v>437</v>
      </c>
      <c r="B219" s="67"/>
      <c r="C219" s="67"/>
      <c r="D219" s="68">
        <v>150</v>
      </c>
      <c r="E219" s="70"/>
      <c r="F219" s="102" t="str">
        <f>HYPERLINK("https://yt3.ggpht.com/6URYQ-4r5pZma47wA5p4D0GtN2kC7PRZ509w_YyehACRaZi0fPzW5JaI3T79biQW1nBB6oBkdg=s88-c-k-c0x00ffffff-no-rj")</f>
        <v>https://yt3.ggpht.com/6URYQ-4r5pZma47wA5p4D0GtN2kC7PRZ509w_YyehACRaZi0fPzW5JaI3T79biQW1nBB6oBkdg=s88-c-k-c0x00ffffff-no-rj</v>
      </c>
      <c r="G219" s="67"/>
      <c r="H219" s="71" t="s">
        <v>1513</v>
      </c>
      <c r="I219" s="72"/>
      <c r="J219" s="72" t="s">
        <v>159</v>
      </c>
      <c r="K219" s="71" t="s">
        <v>1513</v>
      </c>
      <c r="L219" s="75">
        <v>1</v>
      </c>
      <c r="M219" s="76">
        <v>1875.686767578125</v>
      </c>
      <c r="N219" s="76">
        <v>5479.85107421875</v>
      </c>
      <c r="O219" s="77"/>
      <c r="P219" s="78"/>
      <c r="Q219" s="78"/>
      <c r="R219" s="88"/>
      <c r="S219" s="49">
        <v>0</v>
      </c>
      <c r="T219" s="49">
        <v>1</v>
      </c>
      <c r="U219" s="50">
        <v>0</v>
      </c>
      <c r="V219" s="50">
        <v>0.177728</v>
      </c>
      <c r="W219" s="50">
        <v>0.049759</v>
      </c>
      <c r="X219" s="50">
        <v>0.001579</v>
      </c>
      <c r="Y219" s="50">
        <v>0</v>
      </c>
      <c r="Z219" s="50">
        <v>0</v>
      </c>
      <c r="AA219" s="73">
        <v>219</v>
      </c>
      <c r="AB219" s="73"/>
      <c r="AC219" s="74"/>
      <c r="AD219" s="81" t="s">
        <v>1513</v>
      </c>
      <c r="AE219" s="81" t="s">
        <v>1954</v>
      </c>
      <c r="AF219" s="81"/>
      <c r="AG219" s="81"/>
      <c r="AH219" s="81"/>
      <c r="AI219" s="81" t="s">
        <v>2235</v>
      </c>
      <c r="AJ219" s="85">
        <v>40062.72813657407</v>
      </c>
      <c r="AK219" s="83" t="str">
        <f>HYPERLINK("https://yt3.ggpht.com/6URYQ-4r5pZma47wA5p4D0GtN2kC7PRZ509w_YyehACRaZi0fPzW5JaI3T79biQW1nBB6oBkdg=s88-c-k-c0x00ffffff-no-rj")</f>
        <v>https://yt3.ggpht.com/6URYQ-4r5pZma47wA5p4D0GtN2kC7PRZ509w_YyehACRaZi0fPzW5JaI3T79biQW1nBB6oBkdg=s88-c-k-c0x00ffffff-no-rj</v>
      </c>
      <c r="AL219" s="81">
        <v>14237858</v>
      </c>
      <c r="AM219" s="81">
        <v>0</v>
      </c>
      <c r="AN219" s="81">
        <v>78900</v>
      </c>
      <c r="AO219" s="81" t="b">
        <v>0</v>
      </c>
      <c r="AP219" s="81">
        <v>1013</v>
      </c>
      <c r="AQ219" s="81"/>
      <c r="AR219" s="81"/>
      <c r="AS219" s="81" t="s">
        <v>2571</v>
      </c>
      <c r="AT219" s="83" t="str">
        <f>HYPERLINK("https://www.youtube.com/channel/UC5PLpWow_bS6RCSlqi30mFA")</f>
        <v>https://www.youtube.com/channel/UC5PLpWow_bS6RCSlqi30mFA</v>
      </c>
      <c r="AU219" s="81">
        <v>1</v>
      </c>
      <c r="AV219" s="49">
        <v>0</v>
      </c>
      <c r="AW219" s="50">
        <v>0</v>
      </c>
      <c r="AX219" s="49">
        <v>0</v>
      </c>
      <c r="AY219" s="50">
        <v>0</v>
      </c>
      <c r="AZ219" s="49">
        <v>0</v>
      </c>
      <c r="BA219" s="50">
        <v>0</v>
      </c>
      <c r="BB219" s="49">
        <v>5</v>
      </c>
      <c r="BC219" s="50">
        <v>50</v>
      </c>
      <c r="BD219" s="49">
        <v>10</v>
      </c>
      <c r="BE219" s="49"/>
      <c r="BF219" s="49"/>
      <c r="BG219" s="49"/>
      <c r="BH219" s="49"/>
      <c r="BI219" s="49"/>
      <c r="BJ219" s="49"/>
      <c r="BK219" s="115" t="s">
        <v>2761</v>
      </c>
      <c r="BL219" s="115" t="s">
        <v>2761</v>
      </c>
      <c r="BM219" s="115" t="s">
        <v>3223</v>
      </c>
      <c r="BN219" s="115" t="s">
        <v>3223</v>
      </c>
      <c r="BO219" s="2"/>
      <c r="BP219" s="3"/>
      <c r="BQ219" s="3"/>
      <c r="BR219" s="3"/>
      <c r="BS219" s="3"/>
    </row>
    <row r="220" spans="1:71" ht="15">
      <c r="A220" s="66" t="s">
        <v>438</v>
      </c>
      <c r="B220" s="67"/>
      <c r="C220" s="67"/>
      <c r="D220" s="68">
        <v>150</v>
      </c>
      <c r="E220" s="70"/>
      <c r="F220" s="102" t="str">
        <f>HYPERLINK("https://yt3.ggpht.com/BomqqMlcZh0f5oePXGtRVoYqMHWgQRn8FKWhlBW1ORZ81SsEX3qsl8mYOiAA7sQKSyvGETr6=s88-c-k-c0x00ffffff-no-rj")</f>
        <v>https://yt3.ggpht.com/BomqqMlcZh0f5oePXGtRVoYqMHWgQRn8FKWhlBW1ORZ81SsEX3qsl8mYOiAA7sQKSyvGETr6=s88-c-k-c0x00ffffff-no-rj</v>
      </c>
      <c r="G220" s="67"/>
      <c r="H220" s="71" t="s">
        <v>1514</v>
      </c>
      <c r="I220" s="72"/>
      <c r="J220" s="72" t="s">
        <v>159</v>
      </c>
      <c r="K220" s="71" t="s">
        <v>1514</v>
      </c>
      <c r="L220" s="75">
        <v>1</v>
      </c>
      <c r="M220" s="76">
        <v>1097.599853515625</v>
      </c>
      <c r="N220" s="76">
        <v>5357.7294921875</v>
      </c>
      <c r="O220" s="77"/>
      <c r="P220" s="78"/>
      <c r="Q220" s="78"/>
      <c r="R220" s="88"/>
      <c r="S220" s="49">
        <v>0</v>
      </c>
      <c r="T220" s="49">
        <v>1</v>
      </c>
      <c r="U220" s="50">
        <v>0</v>
      </c>
      <c r="V220" s="50">
        <v>0.177728</v>
      </c>
      <c r="W220" s="50">
        <v>0.049759</v>
      </c>
      <c r="X220" s="50">
        <v>0.001579</v>
      </c>
      <c r="Y220" s="50">
        <v>0</v>
      </c>
      <c r="Z220" s="50">
        <v>0</v>
      </c>
      <c r="AA220" s="73">
        <v>220</v>
      </c>
      <c r="AB220" s="73"/>
      <c r="AC220" s="74"/>
      <c r="AD220" s="81" t="s">
        <v>1514</v>
      </c>
      <c r="AE220" s="81"/>
      <c r="AF220" s="81"/>
      <c r="AG220" s="81"/>
      <c r="AH220" s="81"/>
      <c r="AI220" s="81" t="s">
        <v>2236</v>
      </c>
      <c r="AJ220" s="85">
        <v>40522.109930555554</v>
      </c>
      <c r="AK220" s="83" t="str">
        <f>HYPERLINK("https://yt3.ggpht.com/BomqqMlcZh0f5oePXGtRVoYqMHWgQRn8FKWhlBW1ORZ81SsEX3qsl8mYOiAA7sQKSyvGETr6=s88-c-k-c0x00ffffff-no-rj")</f>
        <v>https://yt3.ggpht.com/BomqqMlcZh0f5oePXGtRVoYqMHWgQRn8FKWhlBW1ORZ81SsEX3qsl8mYOiAA7sQKSyvGETr6=s88-c-k-c0x00ffffff-no-rj</v>
      </c>
      <c r="AL220" s="81">
        <v>0</v>
      </c>
      <c r="AM220" s="81">
        <v>0</v>
      </c>
      <c r="AN220" s="81">
        <v>2</v>
      </c>
      <c r="AO220" s="81" t="b">
        <v>0</v>
      </c>
      <c r="AP220" s="81">
        <v>0</v>
      </c>
      <c r="AQ220" s="81"/>
      <c r="AR220" s="81"/>
      <c r="AS220" s="81" t="s">
        <v>2571</v>
      </c>
      <c r="AT220" s="83" t="str">
        <f>HYPERLINK("https://www.youtube.com/channel/UCcoHMcDPXGII1cYArRQ3dGg")</f>
        <v>https://www.youtube.com/channel/UCcoHMcDPXGII1cYArRQ3dGg</v>
      </c>
      <c r="AU220" s="81">
        <v>1</v>
      </c>
      <c r="AV220" s="49">
        <v>0</v>
      </c>
      <c r="AW220" s="50">
        <v>0</v>
      </c>
      <c r="AX220" s="49">
        <v>0</v>
      </c>
      <c r="AY220" s="50">
        <v>0</v>
      </c>
      <c r="AZ220" s="49">
        <v>0</v>
      </c>
      <c r="BA220" s="50">
        <v>0</v>
      </c>
      <c r="BB220" s="49">
        <v>4</v>
      </c>
      <c r="BC220" s="50">
        <v>40</v>
      </c>
      <c r="BD220" s="49">
        <v>10</v>
      </c>
      <c r="BE220" s="49"/>
      <c r="BF220" s="49"/>
      <c r="BG220" s="49"/>
      <c r="BH220" s="49"/>
      <c r="BI220" s="49"/>
      <c r="BJ220" s="49"/>
      <c r="BK220" s="115" t="s">
        <v>2762</v>
      </c>
      <c r="BL220" s="115" t="s">
        <v>2762</v>
      </c>
      <c r="BM220" s="115" t="s">
        <v>3224</v>
      </c>
      <c r="BN220" s="115" t="s">
        <v>3224</v>
      </c>
      <c r="BO220" s="2"/>
      <c r="BP220" s="3"/>
      <c r="BQ220" s="3"/>
      <c r="BR220" s="3"/>
      <c r="BS220" s="3"/>
    </row>
    <row r="221" spans="1:71" ht="15">
      <c r="A221" s="66" t="s">
        <v>439</v>
      </c>
      <c r="B221" s="67"/>
      <c r="C221" s="67"/>
      <c r="D221" s="68">
        <v>150</v>
      </c>
      <c r="E221" s="70"/>
      <c r="F221" s="102" t="str">
        <f>HYPERLINK("https://yt3.ggpht.com/ytc/AOPolaQq507PHCsSJyAmB_9WfP6fKuTXMO2-AhdeBLiV2Q=s88-c-k-c0x00ffffff-no-rj")</f>
        <v>https://yt3.ggpht.com/ytc/AOPolaQq507PHCsSJyAmB_9WfP6fKuTXMO2-AhdeBLiV2Q=s88-c-k-c0x00ffffff-no-rj</v>
      </c>
      <c r="G221" s="67"/>
      <c r="H221" s="71" t="s">
        <v>1515</v>
      </c>
      <c r="I221" s="72"/>
      <c r="J221" s="72" t="s">
        <v>159</v>
      </c>
      <c r="K221" s="71" t="s">
        <v>1515</v>
      </c>
      <c r="L221" s="75">
        <v>1</v>
      </c>
      <c r="M221" s="76">
        <v>3934.693359375</v>
      </c>
      <c r="N221" s="76">
        <v>8087.11767578125</v>
      </c>
      <c r="O221" s="77"/>
      <c r="P221" s="78"/>
      <c r="Q221" s="78"/>
      <c r="R221" s="88"/>
      <c r="S221" s="49">
        <v>0</v>
      </c>
      <c r="T221" s="49">
        <v>1</v>
      </c>
      <c r="U221" s="50">
        <v>0</v>
      </c>
      <c r="V221" s="50">
        <v>0.177728</v>
      </c>
      <c r="W221" s="50">
        <v>0.049759</v>
      </c>
      <c r="X221" s="50">
        <v>0.001579</v>
      </c>
      <c r="Y221" s="50">
        <v>0</v>
      </c>
      <c r="Z221" s="50">
        <v>0</v>
      </c>
      <c r="AA221" s="73">
        <v>221</v>
      </c>
      <c r="AB221" s="73"/>
      <c r="AC221" s="74"/>
      <c r="AD221" s="81" t="s">
        <v>1515</v>
      </c>
      <c r="AE221" s="81"/>
      <c r="AF221" s="81"/>
      <c r="AG221" s="81"/>
      <c r="AH221" s="81"/>
      <c r="AI221" s="81" t="s">
        <v>2237</v>
      </c>
      <c r="AJ221" s="85">
        <v>42063.44390046296</v>
      </c>
      <c r="AK221" s="83" t="str">
        <f>HYPERLINK("https://yt3.ggpht.com/ytc/AOPolaQq507PHCsSJyAmB_9WfP6fKuTXMO2-AhdeBLiV2Q=s88-c-k-c0x00ffffff-no-rj")</f>
        <v>https://yt3.ggpht.com/ytc/AOPolaQq507PHCsSJyAmB_9WfP6fKuTXMO2-AhdeBLiV2Q=s88-c-k-c0x00ffffff-no-rj</v>
      </c>
      <c r="AL221" s="81">
        <v>26</v>
      </c>
      <c r="AM221" s="81">
        <v>0</v>
      </c>
      <c r="AN221" s="81">
        <v>0</v>
      </c>
      <c r="AO221" s="81" t="b">
        <v>0</v>
      </c>
      <c r="AP221" s="81">
        <v>2</v>
      </c>
      <c r="AQ221" s="81"/>
      <c r="AR221" s="81"/>
      <c r="AS221" s="81" t="s">
        <v>2571</v>
      </c>
      <c r="AT221" s="83" t="str">
        <f>HYPERLINK("https://www.youtube.com/channel/UCMdUzXw4MRp7GyXe38igHkQ")</f>
        <v>https://www.youtube.com/channel/UCMdUzXw4MRp7GyXe38igHkQ</v>
      </c>
      <c r="AU221" s="81">
        <v>1</v>
      </c>
      <c r="AV221" s="49">
        <v>0</v>
      </c>
      <c r="AW221" s="50">
        <v>0</v>
      </c>
      <c r="AX221" s="49">
        <v>0</v>
      </c>
      <c r="AY221" s="50">
        <v>0</v>
      </c>
      <c r="AZ221" s="49">
        <v>0</v>
      </c>
      <c r="BA221" s="50">
        <v>0</v>
      </c>
      <c r="BB221" s="49">
        <v>3</v>
      </c>
      <c r="BC221" s="50">
        <v>50</v>
      </c>
      <c r="BD221" s="49">
        <v>6</v>
      </c>
      <c r="BE221" s="49"/>
      <c r="BF221" s="49"/>
      <c r="BG221" s="49"/>
      <c r="BH221" s="49"/>
      <c r="BI221" s="49"/>
      <c r="BJ221" s="49"/>
      <c r="BK221" s="115" t="s">
        <v>2763</v>
      </c>
      <c r="BL221" s="115" t="s">
        <v>2763</v>
      </c>
      <c r="BM221" s="115" t="s">
        <v>3225</v>
      </c>
      <c r="BN221" s="115" t="s">
        <v>3225</v>
      </c>
      <c r="BO221" s="2"/>
      <c r="BP221" s="3"/>
      <c r="BQ221" s="3"/>
      <c r="BR221" s="3"/>
      <c r="BS221" s="3"/>
    </row>
    <row r="222" spans="1:71" ht="15">
      <c r="A222" s="66" t="s">
        <v>440</v>
      </c>
      <c r="B222" s="67"/>
      <c r="C222" s="67"/>
      <c r="D222" s="68">
        <v>150</v>
      </c>
      <c r="E222" s="70"/>
      <c r="F222" s="102" t="str">
        <f>HYPERLINK("https://yt3.ggpht.com/ytc/AOPolaTYnGH-N4KqSDkdSjweGPAnCBjOitJHv_Rz_Q=s88-c-k-c0x00ffffff-no-rj")</f>
        <v>https://yt3.ggpht.com/ytc/AOPolaTYnGH-N4KqSDkdSjweGPAnCBjOitJHv_Rz_Q=s88-c-k-c0x00ffffff-no-rj</v>
      </c>
      <c r="G222" s="67"/>
      <c r="H222" s="71" t="s">
        <v>1516</v>
      </c>
      <c r="I222" s="72"/>
      <c r="J222" s="72" t="s">
        <v>159</v>
      </c>
      <c r="K222" s="71" t="s">
        <v>1516</v>
      </c>
      <c r="L222" s="75">
        <v>1</v>
      </c>
      <c r="M222" s="76">
        <v>3389.62451171875</v>
      </c>
      <c r="N222" s="76">
        <v>9401.5126953125</v>
      </c>
      <c r="O222" s="77"/>
      <c r="P222" s="78"/>
      <c r="Q222" s="78"/>
      <c r="R222" s="88"/>
      <c r="S222" s="49">
        <v>0</v>
      </c>
      <c r="T222" s="49">
        <v>1</v>
      </c>
      <c r="U222" s="50">
        <v>0</v>
      </c>
      <c r="V222" s="50">
        <v>0.177728</v>
      </c>
      <c r="W222" s="50">
        <v>0.049759</v>
      </c>
      <c r="X222" s="50">
        <v>0.001579</v>
      </c>
      <c r="Y222" s="50">
        <v>0</v>
      </c>
      <c r="Z222" s="50">
        <v>0</v>
      </c>
      <c r="AA222" s="73">
        <v>222</v>
      </c>
      <c r="AB222" s="73"/>
      <c r="AC222" s="74"/>
      <c r="AD222" s="81" t="s">
        <v>1516</v>
      </c>
      <c r="AE222" s="81"/>
      <c r="AF222" s="81"/>
      <c r="AG222" s="81"/>
      <c r="AH222" s="81"/>
      <c r="AI222" s="81" t="s">
        <v>2238</v>
      </c>
      <c r="AJ222" s="85">
        <v>44252.797951388886</v>
      </c>
      <c r="AK222" s="83" t="str">
        <f>HYPERLINK("https://yt3.ggpht.com/ytc/AOPolaTYnGH-N4KqSDkdSjweGPAnCBjOitJHv_Rz_Q=s88-c-k-c0x00ffffff-no-rj")</f>
        <v>https://yt3.ggpht.com/ytc/AOPolaTYnGH-N4KqSDkdSjweGPAnCBjOitJHv_Rz_Q=s88-c-k-c0x00ffffff-no-rj</v>
      </c>
      <c r="AL222" s="81">
        <v>0</v>
      </c>
      <c r="AM222" s="81">
        <v>0</v>
      </c>
      <c r="AN222" s="81">
        <v>0</v>
      </c>
      <c r="AO222" s="81" t="b">
        <v>0</v>
      </c>
      <c r="AP222" s="81">
        <v>0</v>
      </c>
      <c r="AQ222" s="81"/>
      <c r="AR222" s="81"/>
      <c r="AS222" s="81" t="s">
        <v>2571</v>
      </c>
      <c r="AT222" s="83" t="str">
        <f>HYPERLINK("https://www.youtube.com/channel/UCFgAkK6bDrlZq5JioDeFifw")</f>
        <v>https://www.youtube.com/channel/UCFgAkK6bDrlZq5JioDeFifw</v>
      </c>
      <c r="AU222" s="81">
        <v>1</v>
      </c>
      <c r="AV222" s="49">
        <v>2</v>
      </c>
      <c r="AW222" s="50">
        <v>18.181818181818183</v>
      </c>
      <c r="AX222" s="49">
        <v>0</v>
      </c>
      <c r="AY222" s="50">
        <v>0</v>
      </c>
      <c r="AZ222" s="49">
        <v>0</v>
      </c>
      <c r="BA222" s="50">
        <v>0</v>
      </c>
      <c r="BB222" s="49">
        <v>1</v>
      </c>
      <c r="BC222" s="50">
        <v>9.090909090909092</v>
      </c>
      <c r="BD222" s="49">
        <v>11</v>
      </c>
      <c r="BE222" s="49"/>
      <c r="BF222" s="49"/>
      <c r="BG222" s="49"/>
      <c r="BH222" s="49"/>
      <c r="BI222" s="49"/>
      <c r="BJ222" s="49"/>
      <c r="BK222" s="115" t="s">
        <v>4565</v>
      </c>
      <c r="BL222" s="115" t="s">
        <v>4565</v>
      </c>
      <c r="BM222" s="115" t="s">
        <v>4588</v>
      </c>
      <c r="BN222" s="115" t="s">
        <v>4588</v>
      </c>
      <c r="BO222" s="2"/>
      <c r="BP222" s="3"/>
      <c r="BQ222" s="3"/>
      <c r="BR222" s="3"/>
      <c r="BS222" s="3"/>
    </row>
    <row r="223" spans="1:71" ht="15">
      <c r="A223" s="66" t="s">
        <v>441</v>
      </c>
      <c r="B223" s="67"/>
      <c r="C223" s="67"/>
      <c r="D223" s="68">
        <v>150</v>
      </c>
      <c r="E223" s="70"/>
      <c r="F223" s="102" t="str">
        <f>HYPERLINK("https://yt3.ggpht.com/ytc/AOPolaRjSgMhZI04xUhD71zKn6EXsq3yReUwy-qms9CPSXzvV7oNczRQKiesECERAb66=s88-c-k-c0x00ffffff-no-rj")</f>
        <v>https://yt3.ggpht.com/ytc/AOPolaRjSgMhZI04xUhD71zKn6EXsq3yReUwy-qms9CPSXzvV7oNczRQKiesECERAb66=s88-c-k-c0x00ffffff-no-rj</v>
      </c>
      <c r="G223" s="67"/>
      <c r="H223" s="71" t="s">
        <v>1517</v>
      </c>
      <c r="I223" s="72"/>
      <c r="J223" s="72" t="s">
        <v>159</v>
      </c>
      <c r="K223" s="71" t="s">
        <v>1517</v>
      </c>
      <c r="L223" s="75">
        <v>1</v>
      </c>
      <c r="M223" s="76">
        <v>6090.3310546875</v>
      </c>
      <c r="N223" s="76">
        <v>7364.47998046875</v>
      </c>
      <c r="O223" s="77"/>
      <c r="P223" s="78"/>
      <c r="Q223" s="78"/>
      <c r="R223" s="88"/>
      <c r="S223" s="49">
        <v>0</v>
      </c>
      <c r="T223" s="49">
        <v>1</v>
      </c>
      <c r="U223" s="50">
        <v>0</v>
      </c>
      <c r="V223" s="50">
        <v>0.177728</v>
      </c>
      <c r="W223" s="50">
        <v>0.049759</v>
      </c>
      <c r="X223" s="50">
        <v>0.001579</v>
      </c>
      <c r="Y223" s="50">
        <v>0</v>
      </c>
      <c r="Z223" s="50">
        <v>0</v>
      </c>
      <c r="AA223" s="73">
        <v>223</v>
      </c>
      <c r="AB223" s="73"/>
      <c r="AC223" s="74"/>
      <c r="AD223" s="81" t="s">
        <v>1517</v>
      </c>
      <c r="AE223" s="81"/>
      <c r="AF223" s="81"/>
      <c r="AG223" s="81"/>
      <c r="AH223" s="81"/>
      <c r="AI223" s="81" t="s">
        <v>2239</v>
      </c>
      <c r="AJ223" s="85">
        <v>44595.408125</v>
      </c>
      <c r="AK223" s="83" t="str">
        <f>HYPERLINK("https://yt3.ggpht.com/ytc/AOPolaRjSgMhZI04xUhD71zKn6EXsq3yReUwy-qms9CPSXzvV7oNczRQKiesECERAb66=s88-c-k-c0x00ffffff-no-rj")</f>
        <v>https://yt3.ggpht.com/ytc/AOPolaRjSgMhZI04xUhD71zKn6EXsq3yReUwy-qms9CPSXzvV7oNczRQKiesECERAb66=s88-c-k-c0x00ffffff-no-rj</v>
      </c>
      <c r="AL223" s="81">
        <v>0</v>
      </c>
      <c r="AM223" s="81">
        <v>0</v>
      </c>
      <c r="AN223" s="81">
        <v>0</v>
      </c>
      <c r="AO223" s="81" t="b">
        <v>0</v>
      </c>
      <c r="AP223" s="81">
        <v>0</v>
      </c>
      <c r="AQ223" s="81"/>
      <c r="AR223" s="81"/>
      <c r="AS223" s="81" t="s">
        <v>2571</v>
      </c>
      <c r="AT223" s="83" t="str">
        <f>HYPERLINK("https://www.youtube.com/channel/UCXSh0I1rmNQgzbcuBJzQSGw")</f>
        <v>https://www.youtube.com/channel/UCXSh0I1rmNQgzbcuBJzQSGw</v>
      </c>
      <c r="AU223" s="81">
        <v>1</v>
      </c>
      <c r="AV223" s="49">
        <v>1</v>
      </c>
      <c r="AW223" s="50">
        <v>14.285714285714286</v>
      </c>
      <c r="AX223" s="49">
        <v>1</v>
      </c>
      <c r="AY223" s="50">
        <v>14.285714285714286</v>
      </c>
      <c r="AZ223" s="49">
        <v>0</v>
      </c>
      <c r="BA223" s="50">
        <v>0</v>
      </c>
      <c r="BB223" s="49">
        <v>3</v>
      </c>
      <c r="BC223" s="50">
        <v>42.857142857142854</v>
      </c>
      <c r="BD223" s="49">
        <v>7</v>
      </c>
      <c r="BE223" s="49"/>
      <c r="BF223" s="49"/>
      <c r="BG223" s="49"/>
      <c r="BH223" s="49"/>
      <c r="BI223" s="49"/>
      <c r="BJ223" s="49"/>
      <c r="BK223" s="115" t="s">
        <v>2764</v>
      </c>
      <c r="BL223" s="115" t="s">
        <v>2764</v>
      </c>
      <c r="BM223" s="115" t="s">
        <v>3226</v>
      </c>
      <c r="BN223" s="115" t="s">
        <v>3226</v>
      </c>
      <c r="BO223" s="2"/>
      <c r="BP223" s="3"/>
      <c r="BQ223" s="3"/>
      <c r="BR223" s="3"/>
      <c r="BS223" s="3"/>
    </row>
    <row r="224" spans="1:71" ht="15">
      <c r="A224" s="66" t="s">
        <v>442</v>
      </c>
      <c r="B224" s="67"/>
      <c r="C224" s="67"/>
      <c r="D224" s="68">
        <v>150</v>
      </c>
      <c r="E224" s="70"/>
      <c r="F224" s="102" t="str">
        <f>HYPERLINK("https://yt3.ggpht.com/ytc/AOPolaS3jriL62ZFbYWN72SjvrFmlmqZ7EjgyqcSzw=s88-c-k-c0x00ffffff-no-rj")</f>
        <v>https://yt3.ggpht.com/ytc/AOPolaS3jriL62ZFbYWN72SjvrFmlmqZ7EjgyqcSzw=s88-c-k-c0x00ffffff-no-rj</v>
      </c>
      <c r="G224" s="67"/>
      <c r="H224" s="71" t="s">
        <v>1518</v>
      </c>
      <c r="I224" s="72"/>
      <c r="J224" s="72" t="s">
        <v>159</v>
      </c>
      <c r="K224" s="71" t="s">
        <v>1518</v>
      </c>
      <c r="L224" s="75">
        <v>1</v>
      </c>
      <c r="M224" s="76">
        <v>3123.594482421875</v>
      </c>
      <c r="N224" s="76">
        <v>8699.3251953125</v>
      </c>
      <c r="O224" s="77"/>
      <c r="P224" s="78"/>
      <c r="Q224" s="78"/>
      <c r="R224" s="88"/>
      <c r="S224" s="49">
        <v>0</v>
      </c>
      <c r="T224" s="49">
        <v>1</v>
      </c>
      <c r="U224" s="50">
        <v>0</v>
      </c>
      <c r="V224" s="50">
        <v>0.177728</v>
      </c>
      <c r="W224" s="50">
        <v>0.049759</v>
      </c>
      <c r="X224" s="50">
        <v>0.001579</v>
      </c>
      <c r="Y224" s="50">
        <v>0</v>
      </c>
      <c r="Z224" s="50">
        <v>0</v>
      </c>
      <c r="AA224" s="73">
        <v>224</v>
      </c>
      <c r="AB224" s="73"/>
      <c r="AC224" s="74"/>
      <c r="AD224" s="81" t="s">
        <v>1518</v>
      </c>
      <c r="AE224" s="81"/>
      <c r="AF224" s="81"/>
      <c r="AG224" s="81"/>
      <c r="AH224" s="81"/>
      <c r="AI224" s="81" t="s">
        <v>2240</v>
      </c>
      <c r="AJ224" s="85">
        <v>43866.97409722222</v>
      </c>
      <c r="AK224" s="83" t="str">
        <f>HYPERLINK("https://yt3.ggpht.com/ytc/AOPolaS3jriL62ZFbYWN72SjvrFmlmqZ7EjgyqcSzw=s88-c-k-c0x00ffffff-no-rj")</f>
        <v>https://yt3.ggpht.com/ytc/AOPolaS3jriL62ZFbYWN72SjvrFmlmqZ7EjgyqcSzw=s88-c-k-c0x00ffffff-no-rj</v>
      </c>
      <c r="AL224" s="81">
        <v>0</v>
      </c>
      <c r="AM224" s="81">
        <v>0</v>
      </c>
      <c r="AN224" s="81">
        <v>0</v>
      </c>
      <c r="AO224" s="81" t="b">
        <v>0</v>
      </c>
      <c r="AP224" s="81">
        <v>0</v>
      </c>
      <c r="AQ224" s="81"/>
      <c r="AR224" s="81"/>
      <c r="AS224" s="81" t="s">
        <v>2571</v>
      </c>
      <c r="AT224" s="83" t="str">
        <f>HYPERLINK("https://www.youtube.com/channel/UC_QFn-f-ssY6LU0BXUWv5xw")</f>
        <v>https://www.youtube.com/channel/UC_QFn-f-ssY6LU0BXUWv5xw</v>
      </c>
      <c r="AU224" s="81">
        <v>1</v>
      </c>
      <c r="AV224" s="49">
        <v>1</v>
      </c>
      <c r="AW224" s="50">
        <v>7.6923076923076925</v>
      </c>
      <c r="AX224" s="49">
        <v>1</v>
      </c>
      <c r="AY224" s="50">
        <v>7.6923076923076925</v>
      </c>
      <c r="AZ224" s="49">
        <v>0</v>
      </c>
      <c r="BA224" s="50">
        <v>0</v>
      </c>
      <c r="BB224" s="49">
        <v>4</v>
      </c>
      <c r="BC224" s="50">
        <v>30.76923076923077</v>
      </c>
      <c r="BD224" s="49">
        <v>13</v>
      </c>
      <c r="BE224" s="49"/>
      <c r="BF224" s="49"/>
      <c r="BG224" s="49"/>
      <c r="BH224" s="49"/>
      <c r="BI224" s="49"/>
      <c r="BJ224" s="49"/>
      <c r="BK224" s="115" t="s">
        <v>2765</v>
      </c>
      <c r="BL224" s="115" t="s">
        <v>2765</v>
      </c>
      <c r="BM224" s="115" t="s">
        <v>3227</v>
      </c>
      <c r="BN224" s="115" t="s">
        <v>3227</v>
      </c>
      <c r="BO224" s="2"/>
      <c r="BP224" s="3"/>
      <c r="BQ224" s="3"/>
      <c r="BR224" s="3"/>
      <c r="BS224" s="3"/>
    </row>
    <row r="225" spans="1:71" ht="15">
      <c r="A225" s="66" t="s">
        <v>443</v>
      </c>
      <c r="B225" s="67"/>
      <c r="C225" s="67"/>
      <c r="D225" s="68">
        <v>150</v>
      </c>
      <c r="E225" s="70"/>
      <c r="F225" s="102" t="str">
        <f>HYPERLINK("https://yt3.ggpht.com/-Lo6SwBV6PFqyMQjjWgqh3shXDmvBn1-sjccwW_0H12gPbSLC5cTaSqntC_mDzBVOxThnlPcLw=s88-c-k-c0x00ffffff-no-rj")</f>
        <v>https://yt3.ggpht.com/-Lo6SwBV6PFqyMQjjWgqh3shXDmvBn1-sjccwW_0H12gPbSLC5cTaSqntC_mDzBVOxThnlPcLw=s88-c-k-c0x00ffffff-no-rj</v>
      </c>
      <c r="G225" s="67"/>
      <c r="H225" s="71" t="s">
        <v>1519</v>
      </c>
      <c r="I225" s="72"/>
      <c r="J225" s="72" t="s">
        <v>159</v>
      </c>
      <c r="K225" s="71" t="s">
        <v>1519</v>
      </c>
      <c r="L225" s="75">
        <v>1</v>
      </c>
      <c r="M225" s="76">
        <v>608.0315551757812</v>
      </c>
      <c r="N225" s="76">
        <v>7784.64404296875</v>
      </c>
      <c r="O225" s="77"/>
      <c r="P225" s="78"/>
      <c r="Q225" s="78"/>
      <c r="R225" s="88"/>
      <c r="S225" s="49">
        <v>0</v>
      </c>
      <c r="T225" s="49">
        <v>1</v>
      </c>
      <c r="U225" s="50">
        <v>0</v>
      </c>
      <c r="V225" s="50">
        <v>0.177728</v>
      </c>
      <c r="W225" s="50">
        <v>0.049759</v>
      </c>
      <c r="X225" s="50">
        <v>0.001579</v>
      </c>
      <c r="Y225" s="50">
        <v>0</v>
      </c>
      <c r="Z225" s="50">
        <v>0</v>
      </c>
      <c r="AA225" s="73">
        <v>225</v>
      </c>
      <c r="AB225" s="73"/>
      <c r="AC225" s="74"/>
      <c r="AD225" s="81" t="s">
        <v>1519</v>
      </c>
      <c r="AE225" s="81"/>
      <c r="AF225" s="81"/>
      <c r="AG225" s="81"/>
      <c r="AH225" s="81"/>
      <c r="AI225" s="81" t="s">
        <v>2241</v>
      </c>
      <c r="AJ225" s="85">
        <v>41912.16726851852</v>
      </c>
      <c r="AK225" s="83" t="str">
        <f>HYPERLINK("https://yt3.ggpht.com/-Lo6SwBV6PFqyMQjjWgqh3shXDmvBn1-sjccwW_0H12gPbSLC5cTaSqntC_mDzBVOxThnlPcLw=s88-c-k-c0x00ffffff-no-rj")</f>
        <v>https://yt3.ggpht.com/-Lo6SwBV6PFqyMQjjWgqh3shXDmvBn1-sjccwW_0H12gPbSLC5cTaSqntC_mDzBVOxThnlPcLw=s88-c-k-c0x00ffffff-no-rj</v>
      </c>
      <c r="AL225" s="81">
        <v>0</v>
      </c>
      <c r="AM225" s="81">
        <v>0</v>
      </c>
      <c r="AN225" s="81">
        <v>9</v>
      </c>
      <c r="AO225" s="81" t="b">
        <v>0</v>
      </c>
      <c r="AP225" s="81">
        <v>0</v>
      </c>
      <c r="AQ225" s="81"/>
      <c r="AR225" s="81"/>
      <c r="AS225" s="81" t="s">
        <v>2571</v>
      </c>
      <c r="AT225" s="83" t="str">
        <f>HYPERLINK("https://www.youtube.com/channel/UCtRleeJcrur_SqIt5rABzmA")</f>
        <v>https://www.youtube.com/channel/UCtRleeJcrur_SqIt5rABzmA</v>
      </c>
      <c r="AU225" s="81">
        <v>1</v>
      </c>
      <c r="AV225" s="49">
        <v>0</v>
      </c>
      <c r="AW225" s="50">
        <v>0</v>
      </c>
      <c r="AX225" s="49">
        <v>0</v>
      </c>
      <c r="AY225" s="50">
        <v>0</v>
      </c>
      <c r="AZ225" s="49">
        <v>0</v>
      </c>
      <c r="BA225" s="50">
        <v>0</v>
      </c>
      <c r="BB225" s="49">
        <v>3</v>
      </c>
      <c r="BC225" s="50">
        <v>42.857142857142854</v>
      </c>
      <c r="BD225" s="49">
        <v>7</v>
      </c>
      <c r="BE225" s="49"/>
      <c r="BF225" s="49"/>
      <c r="BG225" s="49"/>
      <c r="BH225" s="49"/>
      <c r="BI225" s="49"/>
      <c r="BJ225" s="49"/>
      <c r="BK225" s="115" t="s">
        <v>2766</v>
      </c>
      <c r="BL225" s="115" t="s">
        <v>2766</v>
      </c>
      <c r="BM225" s="115" t="s">
        <v>3228</v>
      </c>
      <c r="BN225" s="115" t="s">
        <v>3228</v>
      </c>
      <c r="BO225" s="2"/>
      <c r="BP225" s="3"/>
      <c r="BQ225" s="3"/>
      <c r="BR225" s="3"/>
      <c r="BS225" s="3"/>
    </row>
    <row r="226" spans="1:71" ht="15">
      <c r="A226" s="66" t="s">
        <v>444</v>
      </c>
      <c r="B226" s="67"/>
      <c r="C226" s="67"/>
      <c r="D226" s="68">
        <v>150</v>
      </c>
      <c r="E226" s="70"/>
      <c r="F226" s="102" t="str">
        <f>HYPERLINK("https://yt3.ggpht.com/MCzdYmqMcMCgP0hDaUfgMzd6i11t1edIN8tz0EcpQQWNlCEevZEve55n3Wl5zbjl5WYijNuEuJo=s88-c-k-c0x00ffffff-no-rj")</f>
        <v>https://yt3.ggpht.com/MCzdYmqMcMCgP0hDaUfgMzd6i11t1edIN8tz0EcpQQWNlCEevZEve55n3Wl5zbjl5WYijNuEuJo=s88-c-k-c0x00ffffff-no-rj</v>
      </c>
      <c r="G226" s="67"/>
      <c r="H226" s="71" t="s">
        <v>1520</v>
      </c>
      <c r="I226" s="72"/>
      <c r="J226" s="72" t="s">
        <v>159</v>
      </c>
      <c r="K226" s="71" t="s">
        <v>1520</v>
      </c>
      <c r="L226" s="75">
        <v>1</v>
      </c>
      <c r="M226" s="76">
        <v>4483.34619140625</v>
      </c>
      <c r="N226" s="76">
        <v>4979.54296875</v>
      </c>
      <c r="O226" s="77"/>
      <c r="P226" s="78"/>
      <c r="Q226" s="78"/>
      <c r="R226" s="88"/>
      <c r="S226" s="49">
        <v>0</v>
      </c>
      <c r="T226" s="49">
        <v>1</v>
      </c>
      <c r="U226" s="50">
        <v>0</v>
      </c>
      <c r="V226" s="50">
        <v>0.177728</v>
      </c>
      <c r="W226" s="50">
        <v>0.049759</v>
      </c>
      <c r="X226" s="50">
        <v>0.001579</v>
      </c>
      <c r="Y226" s="50">
        <v>0</v>
      </c>
      <c r="Z226" s="50">
        <v>0</v>
      </c>
      <c r="AA226" s="73">
        <v>226</v>
      </c>
      <c r="AB226" s="73"/>
      <c r="AC226" s="74"/>
      <c r="AD226" s="81" t="s">
        <v>1520</v>
      </c>
      <c r="AE226" s="81"/>
      <c r="AF226" s="81"/>
      <c r="AG226" s="81"/>
      <c r="AH226" s="81"/>
      <c r="AI226" s="81" t="s">
        <v>2242</v>
      </c>
      <c r="AJ226" s="85">
        <v>41874.71408564815</v>
      </c>
      <c r="AK226" s="83" t="str">
        <f>HYPERLINK("https://yt3.ggpht.com/MCzdYmqMcMCgP0hDaUfgMzd6i11t1edIN8tz0EcpQQWNlCEevZEve55n3Wl5zbjl5WYijNuEuJo=s88-c-k-c0x00ffffff-no-rj")</f>
        <v>https://yt3.ggpht.com/MCzdYmqMcMCgP0hDaUfgMzd6i11t1edIN8tz0EcpQQWNlCEevZEve55n3Wl5zbjl5WYijNuEuJo=s88-c-k-c0x00ffffff-no-rj</v>
      </c>
      <c r="AL226" s="81">
        <v>0</v>
      </c>
      <c r="AM226" s="81">
        <v>0</v>
      </c>
      <c r="AN226" s="81">
        <v>17</v>
      </c>
      <c r="AO226" s="81" t="b">
        <v>0</v>
      </c>
      <c r="AP226" s="81">
        <v>0</v>
      </c>
      <c r="AQ226" s="81"/>
      <c r="AR226" s="81"/>
      <c r="AS226" s="81" t="s">
        <v>2571</v>
      </c>
      <c r="AT226" s="83" t="str">
        <f>HYPERLINK("https://www.youtube.com/channel/UC9GABISrBWFvUQJsScXcKwQ")</f>
        <v>https://www.youtube.com/channel/UC9GABISrBWFvUQJsScXcKwQ</v>
      </c>
      <c r="AU226" s="81">
        <v>1</v>
      </c>
      <c r="AV226" s="49">
        <v>3</v>
      </c>
      <c r="AW226" s="50">
        <v>8.108108108108109</v>
      </c>
      <c r="AX226" s="49">
        <v>1</v>
      </c>
      <c r="AY226" s="50">
        <v>2.7027027027027026</v>
      </c>
      <c r="AZ226" s="49">
        <v>0</v>
      </c>
      <c r="BA226" s="50">
        <v>0</v>
      </c>
      <c r="BB226" s="49">
        <v>12</v>
      </c>
      <c r="BC226" s="50">
        <v>32.432432432432435</v>
      </c>
      <c r="BD226" s="49">
        <v>37</v>
      </c>
      <c r="BE226" s="49"/>
      <c r="BF226" s="49"/>
      <c r="BG226" s="49"/>
      <c r="BH226" s="49"/>
      <c r="BI226" s="49"/>
      <c r="BJ226" s="49"/>
      <c r="BK226" s="115" t="s">
        <v>2767</v>
      </c>
      <c r="BL226" s="115" t="s">
        <v>2767</v>
      </c>
      <c r="BM226" s="115" t="s">
        <v>3229</v>
      </c>
      <c r="BN226" s="115" t="s">
        <v>3229</v>
      </c>
      <c r="BO226" s="2"/>
      <c r="BP226" s="3"/>
      <c r="BQ226" s="3"/>
      <c r="BR226" s="3"/>
      <c r="BS226" s="3"/>
    </row>
    <row r="227" spans="1:71" ht="15">
      <c r="A227" s="66" t="s">
        <v>445</v>
      </c>
      <c r="B227" s="67"/>
      <c r="C227" s="67"/>
      <c r="D227" s="68">
        <v>150</v>
      </c>
      <c r="E227" s="70"/>
      <c r="F227" s="102" t="str">
        <f>HYPERLINK("https://yt3.ggpht.com/ytc/AOPolaQn3vsdYSx4Tqp-I5VYiV5gUyAr6ziKQ9YxOz4hHj8=s88-c-k-c0x00ffffff-no-rj")</f>
        <v>https://yt3.ggpht.com/ytc/AOPolaQn3vsdYSx4Tqp-I5VYiV5gUyAr6ziKQ9YxOz4hHj8=s88-c-k-c0x00ffffff-no-rj</v>
      </c>
      <c r="G227" s="67"/>
      <c r="H227" s="71" t="s">
        <v>1521</v>
      </c>
      <c r="I227" s="72"/>
      <c r="J227" s="72" t="s">
        <v>159</v>
      </c>
      <c r="K227" s="71" t="s">
        <v>1521</v>
      </c>
      <c r="L227" s="75">
        <v>1</v>
      </c>
      <c r="M227" s="76">
        <v>5016.19384765625</v>
      </c>
      <c r="N227" s="76">
        <v>9246.6201171875</v>
      </c>
      <c r="O227" s="77"/>
      <c r="P227" s="78"/>
      <c r="Q227" s="78"/>
      <c r="R227" s="88"/>
      <c r="S227" s="49">
        <v>0</v>
      </c>
      <c r="T227" s="49">
        <v>1</v>
      </c>
      <c r="U227" s="50">
        <v>0</v>
      </c>
      <c r="V227" s="50">
        <v>0.177728</v>
      </c>
      <c r="W227" s="50">
        <v>0.049759</v>
      </c>
      <c r="X227" s="50">
        <v>0.001579</v>
      </c>
      <c r="Y227" s="50">
        <v>0</v>
      </c>
      <c r="Z227" s="50">
        <v>0</v>
      </c>
      <c r="AA227" s="73">
        <v>227</v>
      </c>
      <c r="AB227" s="73"/>
      <c r="AC227" s="74"/>
      <c r="AD227" s="81" t="s">
        <v>1521</v>
      </c>
      <c r="AE227" s="81" t="s">
        <v>1955</v>
      </c>
      <c r="AF227" s="81"/>
      <c r="AG227" s="81"/>
      <c r="AH227" s="81"/>
      <c r="AI227" s="81" t="s">
        <v>2243</v>
      </c>
      <c r="AJ227" s="85">
        <v>41538.189421296294</v>
      </c>
      <c r="AK227" s="83" t="str">
        <f>HYPERLINK("https://yt3.ggpht.com/ytc/AOPolaQn3vsdYSx4Tqp-I5VYiV5gUyAr6ziKQ9YxOz4hHj8=s88-c-k-c0x00ffffff-no-rj")</f>
        <v>https://yt3.ggpht.com/ytc/AOPolaQn3vsdYSx4Tqp-I5VYiV5gUyAr6ziKQ9YxOz4hHj8=s88-c-k-c0x00ffffff-no-rj</v>
      </c>
      <c r="AL227" s="81">
        <v>0</v>
      </c>
      <c r="AM227" s="81">
        <v>0</v>
      </c>
      <c r="AN227" s="81">
        <v>53</v>
      </c>
      <c r="AO227" s="81" t="b">
        <v>0</v>
      </c>
      <c r="AP227" s="81">
        <v>0</v>
      </c>
      <c r="AQ227" s="81"/>
      <c r="AR227" s="81"/>
      <c r="AS227" s="81" t="s">
        <v>2571</v>
      </c>
      <c r="AT227" s="83" t="str">
        <f>HYPERLINK("https://www.youtube.com/channel/UCgi8CWGXMt6kuYzhDvw3AVw")</f>
        <v>https://www.youtube.com/channel/UCgi8CWGXMt6kuYzhDvw3AVw</v>
      </c>
      <c r="AU227" s="81">
        <v>1</v>
      </c>
      <c r="AV227" s="49">
        <v>1</v>
      </c>
      <c r="AW227" s="50">
        <v>4.166666666666667</v>
      </c>
      <c r="AX227" s="49">
        <v>1</v>
      </c>
      <c r="AY227" s="50">
        <v>4.166666666666667</v>
      </c>
      <c r="AZ227" s="49">
        <v>0</v>
      </c>
      <c r="BA227" s="50">
        <v>0</v>
      </c>
      <c r="BB227" s="49">
        <v>7</v>
      </c>
      <c r="BC227" s="50">
        <v>29.166666666666668</v>
      </c>
      <c r="BD227" s="49">
        <v>24</v>
      </c>
      <c r="BE227" s="49"/>
      <c r="BF227" s="49"/>
      <c r="BG227" s="49"/>
      <c r="BH227" s="49"/>
      <c r="BI227" s="49"/>
      <c r="BJ227" s="49"/>
      <c r="BK227" s="115" t="s">
        <v>2768</v>
      </c>
      <c r="BL227" s="115" t="s">
        <v>2768</v>
      </c>
      <c r="BM227" s="115" t="s">
        <v>3230</v>
      </c>
      <c r="BN227" s="115" t="s">
        <v>3230</v>
      </c>
      <c r="BO227" s="2"/>
      <c r="BP227" s="3"/>
      <c r="BQ227" s="3"/>
      <c r="BR227" s="3"/>
      <c r="BS227" s="3"/>
    </row>
    <row r="228" spans="1:71" ht="15">
      <c r="A228" s="66" t="s">
        <v>446</v>
      </c>
      <c r="B228" s="67"/>
      <c r="C228" s="67"/>
      <c r="D228" s="68">
        <v>150</v>
      </c>
      <c r="E228" s="70"/>
      <c r="F228" s="102" t="str">
        <f>HYPERLINK("https://yt3.ggpht.com/ytc/AOPolaTFQMiD-oJsKlQk-n_MIV9krdvgpLq4aFORjw=s88-c-k-c0x00ffffff-no-rj")</f>
        <v>https://yt3.ggpht.com/ytc/AOPolaTFQMiD-oJsKlQk-n_MIV9krdvgpLq4aFORjw=s88-c-k-c0x00ffffff-no-rj</v>
      </c>
      <c r="G228" s="67"/>
      <c r="H228" s="71" t="s">
        <v>1522</v>
      </c>
      <c r="I228" s="72"/>
      <c r="J228" s="72" t="s">
        <v>159</v>
      </c>
      <c r="K228" s="71" t="s">
        <v>1522</v>
      </c>
      <c r="L228" s="75">
        <v>1</v>
      </c>
      <c r="M228" s="76">
        <v>4660.60693359375</v>
      </c>
      <c r="N228" s="76">
        <v>5250.0361328125</v>
      </c>
      <c r="O228" s="77"/>
      <c r="P228" s="78"/>
      <c r="Q228" s="78"/>
      <c r="R228" s="88"/>
      <c r="S228" s="49">
        <v>0</v>
      </c>
      <c r="T228" s="49">
        <v>1</v>
      </c>
      <c r="U228" s="50">
        <v>0</v>
      </c>
      <c r="V228" s="50">
        <v>0.177728</v>
      </c>
      <c r="W228" s="50">
        <v>0.049759</v>
      </c>
      <c r="X228" s="50">
        <v>0.001579</v>
      </c>
      <c r="Y228" s="50">
        <v>0</v>
      </c>
      <c r="Z228" s="50">
        <v>0</v>
      </c>
      <c r="AA228" s="73">
        <v>228</v>
      </c>
      <c r="AB228" s="73"/>
      <c r="AC228" s="74"/>
      <c r="AD228" s="81" t="s">
        <v>1522</v>
      </c>
      <c r="AE228" s="81"/>
      <c r="AF228" s="81"/>
      <c r="AG228" s="81"/>
      <c r="AH228" s="81"/>
      <c r="AI228" s="81" t="s">
        <v>2244</v>
      </c>
      <c r="AJ228" s="85">
        <v>41485.33675925926</v>
      </c>
      <c r="AK228" s="83" t="str">
        <f>HYPERLINK("https://yt3.ggpht.com/ytc/AOPolaTFQMiD-oJsKlQk-n_MIV9krdvgpLq4aFORjw=s88-c-k-c0x00ffffff-no-rj")</f>
        <v>https://yt3.ggpht.com/ytc/AOPolaTFQMiD-oJsKlQk-n_MIV9krdvgpLq4aFORjw=s88-c-k-c0x00ffffff-no-rj</v>
      </c>
      <c r="AL228" s="81">
        <v>0</v>
      </c>
      <c r="AM228" s="81">
        <v>0</v>
      </c>
      <c r="AN228" s="81">
        <v>1</v>
      </c>
      <c r="AO228" s="81" t="b">
        <v>0</v>
      </c>
      <c r="AP228" s="81">
        <v>0</v>
      </c>
      <c r="AQ228" s="81"/>
      <c r="AR228" s="81"/>
      <c r="AS228" s="81" t="s">
        <v>2571</v>
      </c>
      <c r="AT228" s="83" t="str">
        <f>HYPERLINK("https://www.youtube.com/channel/UC9e7Brrmb4DeG9KMe4bkmww")</f>
        <v>https://www.youtube.com/channel/UC9e7Brrmb4DeG9KMe4bkmww</v>
      </c>
      <c r="AU228" s="81">
        <v>1</v>
      </c>
      <c r="AV228" s="49">
        <v>1</v>
      </c>
      <c r="AW228" s="50">
        <v>4.545454545454546</v>
      </c>
      <c r="AX228" s="49">
        <v>1</v>
      </c>
      <c r="AY228" s="50">
        <v>4.545454545454546</v>
      </c>
      <c r="AZ228" s="49">
        <v>0</v>
      </c>
      <c r="BA228" s="50">
        <v>0</v>
      </c>
      <c r="BB228" s="49">
        <v>6</v>
      </c>
      <c r="BC228" s="50">
        <v>27.272727272727273</v>
      </c>
      <c r="BD228" s="49">
        <v>22</v>
      </c>
      <c r="BE228" s="49"/>
      <c r="BF228" s="49"/>
      <c r="BG228" s="49"/>
      <c r="BH228" s="49"/>
      <c r="BI228" s="49"/>
      <c r="BJ228" s="49"/>
      <c r="BK228" s="115" t="s">
        <v>2769</v>
      </c>
      <c r="BL228" s="115" t="s">
        <v>2769</v>
      </c>
      <c r="BM228" s="115" t="s">
        <v>3231</v>
      </c>
      <c r="BN228" s="115" t="s">
        <v>3231</v>
      </c>
      <c r="BO228" s="2"/>
      <c r="BP228" s="3"/>
      <c r="BQ228" s="3"/>
      <c r="BR228" s="3"/>
      <c r="BS228" s="3"/>
    </row>
    <row r="229" spans="1:71" ht="15">
      <c r="A229" s="66" t="s">
        <v>447</v>
      </c>
      <c r="B229" s="67"/>
      <c r="C229" s="67"/>
      <c r="D229" s="68">
        <v>150</v>
      </c>
      <c r="E229" s="70"/>
      <c r="F229" s="102" t="str">
        <f>HYPERLINK("https://yt3.ggpht.com/ytc/AOPolaSOGOmo7dNkqaSvZSKRw9kaNJ9LVU75D134JQ=s88-c-k-c0x00ffffff-no-rj")</f>
        <v>https://yt3.ggpht.com/ytc/AOPolaSOGOmo7dNkqaSvZSKRw9kaNJ9LVU75D134JQ=s88-c-k-c0x00ffffff-no-rj</v>
      </c>
      <c r="G229" s="67"/>
      <c r="H229" s="71" t="s">
        <v>1380</v>
      </c>
      <c r="I229" s="72"/>
      <c r="J229" s="72" t="s">
        <v>159</v>
      </c>
      <c r="K229" s="71" t="s">
        <v>1380</v>
      </c>
      <c r="L229" s="75">
        <v>1</v>
      </c>
      <c r="M229" s="76">
        <v>3630.369384765625</v>
      </c>
      <c r="N229" s="76">
        <v>4605.64111328125</v>
      </c>
      <c r="O229" s="77"/>
      <c r="P229" s="78"/>
      <c r="Q229" s="78"/>
      <c r="R229" s="88"/>
      <c r="S229" s="49">
        <v>0</v>
      </c>
      <c r="T229" s="49">
        <v>1</v>
      </c>
      <c r="U229" s="50">
        <v>0</v>
      </c>
      <c r="V229" s="50">
        <v>0.177728</v>
      </c>
      <c r="W229" s="50">
        <v>0.049759</v>
      </c>
      <c r="X229" s="50">
        <v>0.001579</v>
      </c>
      <c r="Y229" s="50">
        <v>0</v>
      </c>
      <c r="Z229" s="50">
        <v>0</v>
      </c>
      <c r="AA229" s="73">
        <v>229</v>
      </c>
      <c r="AB229" s="73"/>
      <c r="AC229" s="74"/>
      <c r="AD229" s="81" t="s">
        <v>1380</v>
      </c>
      <c r="AE229" s="81"/>
      <c r="AF229" s="81"/>
      <c r="AG229" s="81"/>
      <c r="AH229" s="81"/>
      <c r="AI229" s="81" t="s">
        <v>2245</v>
      </c>
      <c r="AJ229" s="85">
        <v>40873.022372685184</v>
      </c>
      <c r="AK229" s="83" t="str">
        <f>HYPERLINK("https://yt3.ggpht.com/ytc/AOPolaSOGOmo7dNkqaSvZSKRw9kaNJ9LVU75D134JQ=s88-c-k-c0x00ffffff-no-rj")</f>
        <v>https://yt3.ggpht.com/ytc/AOPolaSOGOmo7dNkqaSvZSKRw9kaNJ9LVU75D134JQ=s88-c-k-c0x00ffffff-no-rj</v>
      </c>
      <c r="AL229" s="81">
        <v>152</v>
      </c>
      <c r="AM229" s="81">
        <v>0</v>
      </c>
      <c r="AN229" s="81">
        <v>0</v>
      </c>
      <c r="AO229" s="81" t="b">
        <v>0</v>
      </c>
      <c r="AP229" s="81">
        <v>13</v>
      </c>
      <c r="AQ229" s="81"/>
      <c r="AR229" s="81"/>
      <c r="AS229" s="81" t="s">
        <v>2571</v>
      </c>
      <c r="AT229" s="83" t="str">
        <f>HYPERLINK("https://www.youtube.com/channel/UClV_1ftKEKSAbVvgKKCH2yg")</f>
        <v>https://www.youtube.com/channel/UClV_1ftKEKSAbVvgKKCH2yg</v>
      </c>
      <c r="AU229" s="81">
        <v>1</v>
      </c>
      <c r="AV229" s="49">
        <v>0</v>
      </c>
      <c r="AW229" s="50">
        <v>0</v>
      </c>
      <c r="AX229" s="49">
        <v>0</v>
      </c>
      <c r="AY229" s="50">
        <v>0</v>
      </c>
      <c r="AZ229" s="49">
        <v>0</v>
      </c>
      <c r="BA229" s="50">
        <v>0</v>
      </c>
      <c r="BB229" s="49">
        <v>0</v>
      </c>
      <c r="BC229" s="50">
        <v>0</v>
      </c>
      <c r="BD229" s="49">
        <v>0</v>
      </c>
      <c r="BE229" s="49"/>
      <c r="BF229" s="49"/>
      <c r="BG229" s="49"/>
      <c r="BH229" s="49"/>
      <c r="BI229" s="49"/>
      <c r="BJ229" s="49"/>
      <c r="BK229" s="115" t="s">
        <v>4477</v>
      </c>
      <c r="BL229" s="115" t="s">
        <v>4477</v>
      </c>
      <c r="BM229" s="115" t="s">
        <v>4477</v>
      </c>
      <c r="BN229" s="115" t="s">
        <v>4477</v>
      </c>
      <c r="BO229" s="2"/>
      <c r="BP229" s="3"/>
      <c r="BQ229" s="3"/>
      <c r="BR229" s="3"/>
      <c r="BS229" s="3"/>
    </row>
    <row r="230" spans="1:71" ht="15">
      <c r="A230" s="66" t="s">
        <v>448</v>
      </c>
      <c r="B230" s="67"/>
      <c r="C230" s="67"/>
      <c r="D230" s="68">
        <v>150</v>
      </c>
      <c r="E230" s="70"/>
      <c r="F230" s="102" t="str">
        <f>HYPERLINK("https://yt3.ggpht.com/ytc/AOPolaRp1eTEBESpTuR3IK0eFxDFZECzQvtB4vtoqw=s88-c-k-c0x00ffffff-no-rj")</f>
        <v>https://yt3.ggpht.com/ytc/AOPolaRp1eTEBESpTuR3IK0eFxDFZECzQvtB4vtoqw=s88-c-k-c0x00ffffff-no-rj</v>
      </c>
      <c r="G230" s="67"/>
      <c r="H230" s="71" t="s">
        <v>1523</v>
      </c>
      <c r="I230" s="72"/>
      <c r="J230" s="72" t="s">
        <v>159</v>
      </c>
      <c r="K230" s="71" t="s">
        <v>1523</v>
      </c>
      <c r="L230" s="75">
        <v>1</v>
      </c>
      <c r="M230" s="76">
        <v>2498.597900390625</v>
      </c>
      <c r="N230" s="76">
        <v>5168.92333984375</v>
      </c>
      <c r="O230" s="77"/>
      <c r="P230" s="78"/>
      <c r="Q230" s="78"/>
      <c r="R230" s="88"/>
      <c r="S230" s="49">
        <v>0</v>
      </c>
      <c r="T230" s="49">
        <v>1</v>
      </c>
      <c r="U230" s="50">
        <v>0</v>
      </c>
      <c r="V230" s="50">
        <v>0.177728</v>
      </c>
      <c r="W230" s="50">
        <v>0.049759</v>
      </c>
      <c r="X230" s="50">
        <v>0.001579</v>
      </c>
      <c r="Y230" s="50">
        <v>0</v>
      </c>
      <c r="Z230" s="50">
        <v>0</v>
      </c>
      <c r="AA230" s="73">
        <v>230</v>
      </c>
      <c r="AB230" s="73"/>
      <c r="AC230" s="74"/>
      <c r="AD230" s="81" t="s">
        <v>1523</v>
      </c>
      <c r="AE230" s="81"/>
      <c r="AF230" s="81"/>
      <c r="AG230" s="81"/>
      <c r="AH230" s="81"/>
      <c r="AI230" s="81" t="s">
        <v>2246</v>
      </c>
      <c r="AJ230" s="85">
        <v>40983.06348379629</v>
      </c>
      <c r="AK230" s="83" t="str">
        <f>HYPERLINK("https://yt3.ggpht.com/ytc/AOPolaRp1eTEBESpTuR3IK0eFxDFZECzQvtB4vtoqw=s88-c-k-c0x00ffffff-no-rj")</f>
        <v>https://yt3.ggpht.com/ytc/AOPolaRp1eTEBESpTuR3IK0eFxDFZECzQvtB4vtoqw=s88-c-k-c0x00ffffff-no-rj</v>
      </c>
      <c r="AL230" s="81">
        <v>31286</v>
      </c>
      <c r="AM230" s="81">
        <v>0</v>
      </c>
      <c r="AN230" s="81">
        <v>58</v>
      </c>
      <c r="AO230" s="81" t="b">
        <v>0</v>
      </c>
      <c r="AP230" s="81">
        <v>4</v>
      </c>
      <c r="AQ230" s="81"/>
      <c r="AR230" s="81"/>
      <c r="AS230" s="81" t="s">
        <v>2571</v>
      </c>
      <c r="AT230" s="83" t="str">
        <f>HYPERLINK("https://www.youtube.com/channel/UC1wVZz6tDtOev68E5dOaXRA")</f>
        <v>https://www.youtube.com/channel/UC1wVZz6tDtOev68E5dOaXRA</v>
      </c>
      <c r="AU230" s="81">
        <v>1</v>
      </c>
      <c r="AV230" s="49">
        <v>1</v>
      </c>
      <c r="AW230" s="50">
        <v>2.5</v>
      </c>
      <c r="AX230" s="49">
        <v>1</v>
      </c>
      <c r="AY230" s="50">
        <v>2.5</v>
      </c>
      <c r="AZ230" s="49">
        <v>0</v>
      </c>
      <c r="BA230" s="50">
        <v>0</v>
      </c>
      <c r="BB230" s="49">
        <v>19</v>
      </c>
      <c r="BC230" s="50">
        <v>47.5</v>
      </c>
      <c r="BD230" s="49">
        <v>40</v>
      </c>
      <c r="BE230" s="49"/>
      <c r="BF230" s="49"/>
      <c r="BG230" s="49"/>
      <c r="BH230" s="49"/>
      <c r="BI230" s="49"/>
      <c r="BJ230" s="49"/>
      <c r="BK230" s="115" t="s">
        <v>2770</v>
      </c>
      <c r="BL230" s="115" t="s">
        <v>2770</v>
      </c>
      <c r="BM230" s="115" t="s">
        <v>3232</v>
      </c>
      <c r="BN230" s="115" t="s">
        <v>3232</v>
      </c>
      <c r="BO230" s="2"/>
      <c r="BP230" s="3"/>
      <c r="BQ230" s="3"/>
      <c r="BR230" s="3"/>
      <c r="BS230" s="3"/>
    </row>
    <row r="231" spans="1:71" ht="15">
      <c r="A231" s="66" t="s">
        <v>449</v>
      </c>
      <c r="B231" s="67"/>
      <c r="C231" s="67"/>
      <c r="D231" s="68">
        <v>150</v>
      </c>
      <c r="E231" s="70"/>
      <c r="F231" s="102" t="str">
        <f>HYPERLINK("https://yt3.ggpht.com/ytc/AOPolaQXpZGctD-jPd5yoX73aIL53lFYz6ijn_oFqTUXFwJTXiAd82iJywR0Q8K8OKm7=s88-c-k-c0x00ffffff-no-rj")</f>
        <v>https://yt3.ggpht.com/ytc/AOPolaQXpZGctD-jPd5yoX73aIL53lFYz6ijn_oFqTUXFwJTXiAd82iJywR0Q8K8OKm7=s88-c-k-c0x00ffffff-no-rj</v>
      </c>
      <c r="G231" s="67"/>
      <c r="H231" s="71" t="s">
        <v>1524</v>
      </c>
      <c r="I231" s="72"/>
      <c r="J231" s="72" t="s">
        <v>159</v>
      </c>
      <c r="K231" s="71" t="s">
        <v>1524</v>
      </c>
      <c r="L231" s="75">
        <v>1</v>
      </c>
      <c r="M231" s="76">
        <v>2325.3427734375</v>
      </c>
      <c r="N231" s="76">
        <v>9431.97265625</v>
      </c>
      <c r="O231" s="77"/>
      <c r="P231" s="78"/>
      <c r="Q231" s="78"/>
      <c r="R231" s="88"/>
      <c r="S231" s="49">
        <v>0</v>
      </c>
      <c r="T231" s="49">
        <v>1</v>
      </c>
      <c r="U231" s="50">
        <v>0</v>
      </c>
      <c r="V231" s="50">
        <v>0.177728</v>
      </c>
      <c r="W231" s="50">
        <v>0.049759</v>
      </c>
      <c r="X231" s="50">
        <v>0.001579</v>
      </c>
      <c r="Y231" s="50">
        <v>0</v>
      </c>
      <c r="Z231" s="50">
        <v>0</v>
      </c>
      <c r="AA231" s="73">
        <v>231</v>
      </c>
      <c r="AB231" s="73"/>
      <c r="AC231" s="74"/>
      <c r="AD231" s="81" t="s">
        <v>1524</v>
      </c>
      <c r="AE231" s="81"/>
      <c r="AF231" s="81"/>
      <c r="AG231" s="81"/>
      <c r="AH231" s="81"/>
      <c r="AI231" s="81" t="s">
        <v>2247</v>
      </c>
      <c r="AJ231" s="85">
        <v>44007.080196759256</v>
      </c>
      <c r="AK231" s="83" t="str">
        <f>HYPERLINK("https://yt3.ggpht.com/ytc/AOPolaQXpZGctD-jPd5yoX73aIL53lFYz6ijn_oFqTUXFwJTXiAd82iJywR0Q8K8OKm7=s88-c-k-c0x00ffffff-no-rj")</f>
        <v>https://yt3.ggpht.com/ytc/AOPolaQXpZGctD-jPd5yoX73aIL53lFYz6ijn_oFqTUXFwJTXiAd82iJywR0Q8K8OKm7=s88-c-k-c0x00ffffff-no-rj</v>
      </c>
      <c r="AL231" s="81">
        <v>0</v>
      </c>
      <c r="AM231" s="81">
        <v>0</v>
      </c>
      <c r="AN231" s="81">
        <v>2</v>
      </c>
      <c r="AO231" s="81" t="b">
        <v>0</v>
      </c>
      <c r="AP231" s="81">
        <v>0</v>
      </c>
      <c r="AQ231" s="81"/>
      <c r="AR231" s="81"/>
      <c r="AS231" s="81" t="s">
        <v>2571</v>
      </c>
      <c r="AT231" s="83" t="str">
        <f>HYPERLINK("https://www.youtube.com/channel/UCwnGWfLRtyU6q5o7RQGLcvg")</f>
        <v>https://www.youtube.com/channel/UCwnGWfLRtyU6q5o7RQGLcvg</v>
      </c>
      <c r="AU231" s="81">
        <v>1</v>
      </c>
      <c r="AV231" s="49">
        <v>1</v>
      </c>
      <c r="AW231" s="50">
        <v>7.142857142857143</v>
      </c>
      <c r="AX231" s="49">
        <v>1</v>
      </c>
      <c r="AY231" s="50">
        <v>7.142857142857143</v>
      </c>
      <c r="AZ231" s="49">
        <v>0</v>
      </c>
      <c r="BA231" s="50">
        <v>0</v>
      </c>
      <c r="BB231" s="49">
        <v>7</v>
      </c>
      <c r="BC231" s="50">
        <v>50</v>
      </c>
      <c r="BD231" s="49">
        <v>14</v>
      </c>
      <c r="BE231" s="49"/>
      <c r="BF231" s="49"/>
      <c r="BG231" s="49"/>
      <c r="BH231" s="49"/>
      <c r="BI231" s="49"/>
      <c r="BJ231" s="49"/>
      <c r="BK231" s="115" t="s">
        <v>2771</v>
      </c>
      <c r="BL231" s="115" t="s">
        <v>2771</v>
      </c>
      <c r="BM231" s="115" t="s">
        <v>3233</v>
      </c>
      <c r="BN231" s="115" t="s">
        <v>3233</v>
      </c>
      <c r="BO231" s="2"/>
      <c r="BP231" s="3"/>
      <c r="BQ231" s="3"/>
      <c r="BR231" s="3"/>
      <c r="BS231" s="3"/>
    </row>
    <row r="232" spans="1:71" ht="15">
      <c r="A232" s="66" t="s">
        <v>450</v>
      </c>
      <c r="B232" s="67"/>
      <c r="C232" s="67"/>
      <c r="D232" s="68">
        <v>150</v>
      </c>
      <c r="E232" s="70"/>
      <c r="F232" s="102" t="str">
        <f>HYPERLINK("https://yt3.ggpht.com/ru0BOZVjkvoucVYPrJl1aCNifPp8WJWeI0oQFwE_lnIcHQQ8wZoF7fzdvc6o_a-IcG6XHCWC3sw=s88-c-k-c0x00ffffff-no-rj")</f>
        <v>https://yt3.ggpht.com/ru0BOZVjkvoucVYPrJl1aCNifPp8WJWeI0oQFwE_lnIcHQQ8wZoF7fzdvc6o_a-IcG6XHCWC3sw=s88-c-k-c0x00ffffff-no-rj</v>
      </c>
      <c r="G232" s="67"/>
      <c r="H232" s="71" t="s">
        <v>1525</v>
      </c>
      <c r="I232" s="72"/>
      <c r="J232" s="72" t="s">
        <v>159</v>
      </c>
      <c r="K232" s="71" t="s">
        <v>1525</v>
      </c>
      <c r="L232" s="75">
        <v>1</v>
      </c>
      <c r="M232" s="76">
        <v>2195.498046875</v>
      </c>
      <c r="N232" s="76">
        <v>4812.1044921875</v>
      </c>
      <c r="O232" s="77"/>
      <c r="P232" s="78"/>
      <c r="Q232" s="78"/>
      <c r="R232" s="88"/>
      <c r="S232" s="49">
        <v>0</v>
      </c>
      <c r="T232" s="49">
        <v>1</v>
      </c>
      <c r="U232" s="50">
        <v>0</v>
      </c>
      <c r="V232" s="50">
        <v>0.177728</v>
      </c>
      <c r="W232" s="50">
        <v>0.049759</v>
      </c>
      <c r="X232" s="50">
        <v>0.001579</v>
      </c>
      <c r="Y232" s="50">
        <v>0</v>
      </c>
      <c r="Z232" s="50">
        <v>0</v>
      </c>
      <c r="AA232" s="73">
        <v>232</v>
      </c>
      <c r="AB232" s="73"/>
      <c r="AC232" s="74"/>
      <c r="AD232" s="81" t="s">
        <v>1525</v>
      </c>
      <c r="AE232" s="81" t="s">
        <v>1956</v>
      </c>
      <c r="AF232" s="81"/>
      <c r="AG232" s="81"/>
      <c r="AH232" s="81"/>
      <c r="AI232" s="81" t="s">
        <v>2248</v>
      </c>
      <c r="AJ232" s="85">
        <v>39659.34954861111</v>
      </c>
      <c r="AK232" s="83" t="str">
        <f>HYPERLINK("https://yt3.ggpht.com/ru0BOZVjkvoucVYPrJl1aCNifPp8WJWeI0oQFwE_lnIcHQQ8wZoF7fzdvc6o_a-IcG6XHCWC3sw=s88-c-k-c0x00ffffff-no-rj")</f>
        <v>https://yt3.ggpht.com/ru0BOZVjkvoucVYPrJl1aCNifPp8WJWeI0oQFwE_lnIcHQQ8wZoF7fzdvc6o_a-IcG6XHCWC3sw=s88-c-k-c0x00ffffff-no-rj</v>
      </c>
      <c r="AL232" s="81">
        <v>5614</v>
      </c>
      <c r="AM232" s="81">
        <v>0</v>
      </c>
      <c r="AN232" s="81">
        <v>43</v>
      </c>
      <c r="AO232" s="81" t="b">
        <v>0</v>
      </c>
      <c r="AP232" s="81">
        <v>8</v>
      </c>
      <c r="AQ232" s="81"/>
      <c r="AR232" s="81"/>
      <c r="AS232" s="81" t="s">
        <v>2571</v>
      </c>
      <c r="AT232" s="83" t="str">
        <f>HYPERLINK("https://www.youtube.com/channel/UCDkkELtKMdIt9W207n2gkIQ")</f>
        <v>https://www.youtube.com/channel/UCDkkELtKMdIt9W207n2gkIQ</v>
      </c>
      <c r="AU232" s="81">
        <v>1</v>
      </c>
      <c r="AV232" s="49">
        <v>0</v>
      </c>
      <c r="AW232" s="50">
        <v>0</v>
      </c>
      <c r="AX232" s="49">
        <v>0</v>
      </c>
      <c r="AY232" s="50">
        <v>0</v>
      </c>
      <c r="AZ232" s="49">
        <v>0</v>
      </c>
      <c r="BA232" s="50">
        <v>0</v>
      </c>
      <c r="BB232" s="49">
        <v>6</v>
      </c>
      <c r="BC232" s="50">
        <v>66.66666666666667</v>
      </c>
      <c r="BD232" s="49">
        <v>9</v>
      </c>
      <c r="BE232" s="49"/>
      <c r="BF232" s="49"/>
      <c r="BG232" s="49"/>
      <c r="BH232" s="49"/>
      <c r="BI232" s="49"/>
      <c r="BJ232" s="49"/>
      <c r="BK232" s="115" t="s">
        <v>2772</v>
      </c>
      <c r="BL232" s="115" t="s">
        <v>2772</v>
      </c>
      <c r="BM232" s="115" t="s">
        <v>3234</v>
      </c>
      <c r="BN232" s="115" t="s">
        <v>3234</v>
      </c>
      <c r="BO232" s="2"/>
      <c r="BP232" s="3"/>
      <c r="BQ232" s="3"/>
      <c r="BR232" s="3"/>
      <c r="BS232" s="3"/>
    </row>
    <row r="233" spans="1:71" ht="15">
      <c r="A233" s="66" t="s">
        <v>451</v>
      </c>
      <c r="B233" s="67"/>
      <c r="C233" s="67"/>
      <c r="D233" s="68">
        <v>150</v>
      </c>
      <c r="E233" s="70"/>
      <c r="F233" s="102" t="str">
        <f>HYPERLINK("https://yt3.ggpht.com/ytc/AOPolaRpuqzk5sVhtM-Jcmze7--9STZHRj89H8N8cxSiZQ=s88-c-k-c0x00ffffff-no-rj")</f>
        <v>https://yt3.ggpht.com/ytc/AOPolaRpuqzk5sVhtM-Jcmze7--9STZHRj89H8N8cxSiZQ=s88-c-k-c0x00ffffff-no-rj</v>
      </c>
      <c r="G233" s="67"/>
      <c r="H233" s="71" t="s">
        <v>1526</v>
      </c>
      <c r="I233" s="72"/>
      <c r="J233" s="72" t="s">
        <v>159</v>
      </c>
      <c r="K233" s="71" t="s">
        <v>1526</v>
      </c>
      <c r="L233" s="75">
        <v>1</v>
      </c>
      <c r="M233" s="76">
        <v>4952.44091796875</v>
      </c>
      <c r="N233" s="76">
        <v>4931.1455078125</v>
      </c>
      <c r="O233" s="77"/>
      <c r="P233" s="78"/>
      <c r="Q233" s="78"/>
      <c r="R233" s="88"/>
      <c r="S233" s="49">
        <v>0</v>
      </c>
      <c r="T233" s="49">
        <v>1</v>
      </c>
      <c r="U233" s="50">
        <v>0</v>
      </c>
      <c r="V233" s="50">
        <v>0.177728</v>
      </c>
      <c r="W233" s="50">
        <v>0.049759</v>
      </c>
      <c r="X233" s="50">
        <v>0.001579</v>
      </c>
      <c r="Y233" s="50">
        <v>0</v>
      </c>
      <c r="Z233" s="50">
        <v>0</v>
      </c>
      <c r="AA233" s="73">
        <v>233</v>
      </c>
      <c r="AB233" s="73"/>
      <c r="AC233" s="74"/>
      <c r="AD233" s="81" t="s">
        <v>1526</v>
      </c>
      <c r="AE233" s="81"/>
      <c r="AF233" s="81"/>
      <c r="AG233" s="81"/>
      <c r="AH233" s="81"/>
      <c r="AI233" s="81" t="s">
        <v>2249</v>
      </c>
      <c r="AJ233" s="85">
        <v>42840.19167824074</v>
      </c>
      <c r="AK233" s="83" t="str">
        <f>HYPERLINK("https://yt3.ggpht.com/ytc/AOPolaRpuqzk5sVhtM-Jcmze7--9STZHRj89H8N8cxSiZQ=s88-c-k-c0x00ffffff-no-rj")</f>
        <v>https://yt3.ggpht.com/ytc/AOPolaRpuqzk5sVhtM-Jcmze7--9STZHRj89H8N8cxSiZQ=s88-c-k-c0x00ffffff-no-rj</v>
      </c>
      <c r="AL233" s="81">
        <v>0</v>
      </c>
      <c r="AM233" s="81">
        <v>0</v>
      </c>
      <c r="AN233" s="81">
        <v>3</v>
      </c>
      <c r="AO233" s="81" t="b">
        <v>0</v>
      </c>
      <c r="AP233" s="81">
        <v>0</v>
      </c>
      <c r="AQ233" s="81"/>
      <c r="AR233" s="81"/>
      <c r="AS233" s="81" t="s">
        <v>2571</v>
      </c>
      <c r="AT233" s="83" t="str">
        <f>HYPERLINK("https://www.youtube.com/channel/UCdMLfgflOd8sQbyeYNnzDtw")</f>
        <v>https://www.youtube.com/channel/UCdMLfgflOd8sQbyeYNnzDtw</v>
      </c>
      <c r="AU233" s="81">
        <v>1</v>
      </c>
      <c r="AV233" s="49">
        <v>0</v>
      </c>
      <c r="AW233" s="50">
        <v>0</v>
      </c>
      <c r="AX233" s="49">
        <v>2</v>
      </c>
      <c r="AY233" s="50">
        <v>3.7735849056603774</v>
      </c>
      <c r="AZ233" s="49">
        <v>0</v>
      </c>
      <c r="BA233" s="50">
        <v>0</v>
      </c>
      <c r="BB233" s="49">
        <v>19</v>
      </c>
      <c r="BC233" s="50">
        <v>35.84905660377358</v>
      </c>
      <c r="BD233" s="49">
        <v>53</v>
      </c>
      <c r="BE233" s="49"/>
      <c r="BF233" s="49"/>
      <c r="BG233" s="49"/>
      <c r="BH233" s="49"/>
      <c r="BI233" s="49"/>
      <c r="BJ233" s="49"/>
      <c r="BK233" s="115" t="s">
        <v>2773</v>
      </c>
      <c r="BL233" s="115" t="s">
        <v>2773</v>
      </c>
      <c r="BM233" s="115" t="s">
        <v>3235</v>
      </c>
      <c r="BN233" s="115" t="s">
        <v>3235</v>
      </c>
      <c r="BO233" s="2"/>
      <c r="BP233" s="3"/>
      <c r="BQ233" s="3"/>
      <c r="BR233" s="3"/>
      <c r="BS233" s="3"/>
    </row>
    <row r="234" spans="1:71" ht="15">
      <c r="A234" s="66" t="s">
        <v>452</v>
      </c>
      <c r="B234" s="67"/>
      <c r="C234" s="67"/>
      <c r="D234" s="68">
        <v>150</v>
      </c>
      <c r="E234" s="70"/>
      <c r="F234" s="102" t="str">
        <f>HYPERLINK("https://yt3.ggpht.com/gU7P_wmlS0vMCNc288Lnq6Ge1XTRbwSGiJ8TfC9AnnrJ-ZoqMgkiGp0EykINYeVP-hHX6b_Tgjw=s88-c-k-c0x00ffffff-no-rj")</f>
        <v>https://yt3.ggpht.com/gU7P_wmlS0vMCNc288Lnq6Ge1XTRbwSGiJ8TfC9AnnrJ-ZoqMgkiGp0EykINYeVP-hHX6b_Tgjw=s88-c-k-c0x00ffffff-no-rj</v>
      </c>
      <c r="G234" s="67"/>
      <c r="H234" s="71" t="s">
        <v>1527</v>
      </c>
      <c r="I234" s="72"/>
      <c r="J234" s="72" t="s">
        <v>159</v>
      </c>
      <c r="K234" s="71" t="s">
        <v>1527</v>
      </c>
      <c r="L234" s="75">
        <v>1</v>
      </c>
      <c r="M234" s="76">
        <v>4940.27978515625</v>
      </c>
      <c r="N234" s="76">
        <v>5415.2626953125</v>
      </c>
      <c r="O234" s="77"/>
      <c r="P234" s="78"/>
      <c r="Q234" s="78"/>
      <c r="R234" s="88"/>
      <c r="S234" s="49">
        <v>0</v>
      </c>
      <c r="T234" s="49">
        <v>1</v>
      </c>
      <c r="U234" s="50">
        <v>0</v>
      </c>
      <c r="V234" s="50">
        <v>0.177728</v>
      </c>
      <c r="W234" s="50">
        <v>0.049759</v>
      </c>
      <c r="X234" s="50">
        <v>0.001579</v>
      </c>
      <c r="Y234" s="50">
        <v>0</v>
      </c>
      <c r="Z234" s="50">
        <v>0</v>
      </c>
      <c r="AA234" s="73">
        <v>234</v>
      </c>
      <c r="AB234" s="73"/>
      <c r="AC234" s="74"/>
      <c r="AD234" s="81" t="s">
        <v>1527</v>
      </c>
      <c r="AE234" s="81" t="s">
        <v>1957</v>
      </c>
      <c r="AF234" s="81"/>
      <c r="AG234" s="81"/>
      <c r="AH234" s="81"/>
      <c r="AI234" s="81" t="s">
        <v>2250</v>
      </c>
      <c r="AJ234" s="85">
        <v>43523.441666666666</v>
      </c>
      <c r="AK234" s="83" t="str">
        <f>HYPERLINK("https://yt3.ggpht.com/gU7P_wmlS0vMCNc288Lnq6Ge1XTRbwSGiJ8TfC9AnnrJ-ZoqMgkiGp0EykINYeVP-hHX6b_Tgjw=s88-c-k-c0x00ffffff-no-rj")</f>
        <v>https://yt3.ggpht.com/gU7P_wmlS0vMCNc288Lnq6Ge1XTRbwSGiJ8TfC9AnnrJ-ZoqMgkiGp0EykINYeVP-hHX6b_Tgjw=s88-c-k-c0x00ffffff-no-rj</v>
      </c>
      <c r="AL234" s="81">
        <v>63</v>
      </c>
      <c r="AM234" s="81">
        <v>0</v>
      </c>
      <c r="AN234" s="81">
        <v>2</v>
      </c>
      <c r="AO234" s="81" t="b">
        <v>0</v>
      </c>
      <c r="AP234" s="81">
        <v>3</v>
      </c>
      <c r="AQ234" s="81"/>
      <c r="AR234" s="81"/>
      <c r="AS234" s="81" t="s">
        <v>2571</v>
      </c>
      <c r="AT234" s="83" t="str">
        <f>HYPERLINK("https://www.youtube.com/channel/UC85zxiH5BjwQrjawrgMIrtQ")</f>
        <v>https://www.youtube.com/channel/UC85zxiH5BjwQrjawrgMIrtQ</v>
      </c>
      <c r="AU234" s="81">
        <v>1</v>
      </c>
      <c r="AV234" s="49">
        <v>1</v>
      </c>
      <c r="AW234" s="50">
        <v>7.142857142857143</v>
      </c>
      <c r="AX234" s="49">
        <v>0</v>
      </c>
      <c r="AY234" s="50">
        <v>0</v>
      </c>
      <c r="AZ234" s="49">
        <v>0</v>
      </c>
      <c r="BA234" s="50">
        <v>0</v>
      </c>
      <c r="BB234" s="49">
        <v>5</v>
      </c>
      <c r="BC234" s="50">
        <v>35.714285714285715</v>
      </c>
      <c r="BD234" s="49">
        <v>14</v>
      </c>
      <c r="BE234" s="49"/>
      <c r="BF234" s="49"/>
      <c r="BG234" s="49"/>
      <c r="BH234" s="49"/>
      <c r="BI234" s="49"/>
      <c r="BJ234" s="49"/>
      <c r="BK234" s="115" t="s">
        <v>2774</v>
      </c>
      <c r="BL234" s="115" t="s">
        <v>2774</v>
      </c>
      <c r="BM234" s="115" t="s">
        <v>3236</v>
      </c>
      <c r="BN234" s="115" t="s">
        <v>3236</v>
      </c>
      <c r="BO234" s="2"/>
      <c r="BP234" s="3"/>
      <c r="BQ234" s="3"/>
      <c r="BR234" s="3"/>
      <c r="BS234" s="3"/>
    </row>
    <row r="235" spans="1:71" ht="15">
      <c r="A235" s="66" t="s">
        <v>453</v>
      </c>
      <c r="B235" s="67"/>
      <c r="C235" s="67"/>
      <c r="D235" s="68">
        <v>150</v>
      </c>
      <c r="E235" s="70"/>
      <c r="F235" s="102" t="str">
        <f>HYPERLINK("https://yt3.ggpht.com/ytc/AOPolaQNOeDhCM6O22QXC9l4h6fPfC30RcOaZPPY1CYeAA=s88-c-k-c0x00ffffff-no-rj")</f>
        <v>https://yt3.ggpht.com/ytc/AOPolaQNOeDhCM6O22QXC9l4h6fPfC30RcOaZPPY1CYeAA=s88-c-k-c0x00ffffff-no-rj</v>
      </c>
      <c r="G235" s="67"/>
      <c r="H235" s="71" t="s">
        <v>1528</v>
      </c>
      <c r="I235" s="72"/>
      <c r="J235" s="72" t="s">
        <v>159</v>
      </c>
      <c r="K235" s="71" t="s">
        <v>1528</v>
      </c>
      <c r="L235" s="75">
        <v>1</v>
      </c>
      <c r="M235" s="76">
        <v>1667.2288818359375</v>
      </c>
      <c r="N235" s="76">
        <v>9348.423828125</v>
      </c>
      <c r="O235" s="77"/>
      <c r="P235" s="78"/>
      <c r="Q235" s="78"/>
      <c r="R235" s="88"/>
      <c r="S235" s="49">
        <v>0</v>
      </c>
      <c r="T235" s="49">
        <v>1</v>
      </c>
      <c r="U235" s="50">
        <v>0</v>
      </c>
      <c r="V235" s="50">
        <v>0.177728</v>
      </c>
      <c r="W235" s="50">
        <v>0.049759</v>
      </c>
      <c r="X235" s="50">
        <v>0.001579</v>
      </c>
      <c r="Y235" s="50">
        <v>0</v>
      </c>
      <c r="Z235" s="50">
        <v>0</v>
      </c>
      <c r="AA235" s="73">
        <v>235</v>
      </c>
      <c r="AB235" s="73"/>
      <c r="AC235" s="74"/>
      <c r="AD235" s="81" t="s">
        <v>1528</v>
      </c>
      <c r="AE235" s="81"/>
      <c r="AF235" s="81"/>
      <c r="AG235" s="81"/>
      <c r="AH235" s="81"/>
      <c r="AI235" s="81" t="s">
        <v>2251</v>
      </c>
      <c r="AJ235" s="85">
        <v>40818.08326388889</v>
      </c>
      <c r="AK235" s="83" t="str">
        <f>HYPERLINK("https://yt3.ggpht.com/ytc/AOPolaQNOeDhCM6O22QXC9l4h6fPfC30RcOaZPPY1CYeAA=s88-c-k-c0x00ffffff-no-rj")</f>
        <v>https://yt3.ggpht.com/ytc/AOPolaQNOeDhCM6O22QXC9l4h6fPfC30RcOaZPPY1CYeAA=s88-c-k-c0x00ffffff-no-rj</v>
      </c>
      <c r="AL235" s="81">
        <v>0</v>
      </c>
      <c r="AM235" s="81">
        <v>0</v>
      </c>
      <c r="AN235" s="81">
        <v>5</v>
      </c>
      <c r="AO235" s="81" t="b">
        <v>0</v>
      </c>
      <c r="AP235" s="81">
        <v>0</v>
      </c>
      <c r="AQ235" s="81"/>
      <c r="AR235" s="81"/>
      <c r="AS235" s="81" t="s">
        <v>2571</v>
      </c>
      <c r="AT235" s="83" t="str">
        <f>HYPERLINK("https://www.youtube.com/channel/UCgHO0kiaS0wESP3plRDYA5w")</f>
        <v>https://www.youtube.com/channel/UCgHO0kiaS0wESP3plRDYA5w</v>
      </c>
      <c r="AU235" s="81">
        <v>1</v>
      </c>
      <c r="AV235" s="49">
        <v>1</v>
      </c>
      <c r="AW235" s="50">
        <v>3.8461538461538463</v>
      </c>
      <c r="AX235" s="49">
        <v>1</v>
      </c>
      <c r="AY235" s="50">
        <v>3.8461538461538463</v>
      </c>
      <c r="AZ235" s="49">
        <v>0</v>
      </c>
      <c r="BA235" s="50">
        <v>0</v>
      </c>
      <c r="BB235" s="49">
        <v>9</v>
      </c>
      <c r="BC235" s="50">
        <v>34.61538461538461</v>
      </c>
      <c r="BD235" s="49">
        <v>26</v>
      </c>
      <c r="BE235" s="49"/>
      <c r="BF235" s="49"/>
      <c r="BG235" s="49"/>
      <c r="BH235" s="49"/>
      <c r="BI235" s="49"/>
      <c r="BJ235" s="49"/>
      <c r="BK235" s="115" t="s">
        <v>2775</v>
      </c>
      <c r="BL235" s="115" t="s">
        <v>2775</v>
      </c>
      <c r="BM235" s="115" t="s">
        <v>3237</v>
      </c>
      <c r="BN235" s="115" t="s">
        <v>3237</v>
      </c>
      <c r="BO235" s="2"/>
      <c r="BP235" s="3"/>
      <c r="BQ235" s="3"/>
      <c r="BR235" s="3"/>
      <c r="BS235" s="3"/>
    </row>
    <row r="236" spans="1:71" ht="15">
      <c r="A236" s="66" t="s">
        <v>454</v>
      </c>
      <c r="B236" s="67"/>
      <c r="C236" s="67"/>
      <c r="D236" s="68">
        <v>150</v>
      </c>
      <c r="E236" s="70"/>
      <c r="F236" s="102" t="str">
        <f>HYPERLINK("https://yt3.ggpht.com/IkUWuDqI0HYuCbzaIs386fXechE3WDFDPDvAuDRTjsWqQ-Zowq51KhKMnYeE7Os011DQ4E8Cmw=s88-c-k-c0x00ffffff-no-rj")</f>
        <v>https://yt3.ggpht.com/IkUWuDqI0HYuCbzaIs386fXechE3WDFDPDvAuDRTjsWqQ-Zowq51KhKMnYeE7Os011DQ4E8Cmw=s88-c-k-c0x00ffffff-no-rj</v>
      </c>
      <c r="G236" s="67"/>
      <c r="H236" s="71" t="s">
        <v>1529</v>
      </c>
      <c r="I236" s="72"/>
      <c r="J236" s="72" t="s">
        <v>159</v>
      </c>
      <c r="K236" s="71" t="s">
        <v>1529</v>
      </c>
      <c r="L236" s="75">
        <v>1</v>
      </c>
      <c r="M236" s="76">
        <v>3661.3310546875</v>
      </c>
      <c r="N236" s="76">
        <v>6984.95556640625</v>
      </c>
      <c r="O236" s="77"/>
      <c r="P236" s="78"/>
      <c r="Q236" s="78"/>
      <c r="R236" s="88"/>
      <c r="S236" s="49">
        <v>0</v>
      </c>
      <c r="T236" s="49">
        <v>1</v>
      </c>
      <c r="U236" s="50">
        <v>0</v>
      </c>
      <c r="V236" s="50">
        <v>0.177728</v>
      </c>
      <c r="W236" s="50">
        <v>0.049759</v>
      </c>
      <c r="X236" s="50">
        <v>0.001579</v>
      </c>
      <c r="Y236" s="50">
        <v>0</v>
      </c>
      <c r="Z236" s="50">
        <v>0</v>
      </c>
      <c r="AA236" s="73">
        <v>236</v>
      </c>
      <c r="AB236" s="73"/>
      <c r="AC236" s="74"/>
      <c r="AD236" s="81" t="s">
        <v>1529</v>
      </c>
      <c r="AE236" s="81"/>
      <c r="AF236" s="81"/>
      <c r="AG236" s="81"/>
      <c r="AH236" s="81"/>
      <c r="AI236" s="81" t="s">
        <v>2252</v>
      </c>
      <c r="AJ236" s="85">
        <v>40916.692777777775</v>
      </c>
      <c r="AK236" s="83" t="str">
        <f>HYPERLINK("https://yt3.ggpht.com/IkUWuDqI0HYuCbzaIs386fXechE3WDFDPDvAuDRTjsWqQ-Zowq51KhKMnYeE7Os011DQ4E8Cmw=s88-c-k-c0x00ffffff-no-rj")</f>
        <v>https://yt3.ggpht.com/IkUWuDqI0HYuCbzaIs386fXechE3WDFDPDvAuDRTjsWqQ-Zowq51KhKMnYeE7Os011DQ4E8Cmw=s88-c-k-c0x00ffffff-no-rj</v>
      </c>
      <c r="AL236" s="81">
        <v>127</v>
      </c>
      <c r="AM236" s="81">
        <v>0</v>
      </c>
      <c r="AN236" s="81">
        <v>6</v>
      </c>
      <c r="AO236" s="81" t="b">
        <v>0</v>
      </c>
      <c r="AP236" s="81">
        <v>8</v>
      </c>
      <c r="AQ236" s="81"/>
      <c r="AR236" s="81"/>
      <c r="AS236" s="81" t="s">
        <v>2571</v>
      </c>
      <c r="AT236" s="83" t="str">
        <f>HYPERLINK("https://www.youtube.com/channel/UC4hpGiMQzB0TIoVA3h07xHw")</f>
        <v>https://www.youtube.com/channel/UC4hpGiMQzB0TIoVA3h07xHw</v>
      </c>
      <c r="AU236" s="81">
        <v>1</v>
      </c>
      <c r="AV236" s="49">
        <v>0</v>
      </c>
      <c r="AW236" s="50">
        <v>0</v>
      </c>
      <c r="AX236" s="49">
        <v>0</v>
      </c>
      <c r="AY236" s="50">
        <v>0</v>
      </c>
      <c r="AZ236" s="49">
        <v>0</v>
      </c>
      <c r="BA236" s="50">
        <v>0</v>
      </c>
      <c r="BB236" s="49">
        <v>1</v>
      </c>
      <c r="BC236" s="50">
        <v>100</v>
      </c>
      <c r="BD236" s="49">
        <v>1</v>
      </c>
      <c r="BE236" s="49"/>
      <c r="BF236" s="49"/>
      <c r="BG236" s="49"/>
      <c r="BH236" s="49"/>
      <c r="BI236" s="49"/>
      <c r="BJ236" s="49"/>
      <c r="BK236" s="115" t="s">
        <v>2776</v>
      </c>
      <c r="BL236" s="115" t="s">
        <v>2776</v>
      </c>
      <c r="BM236" s="115" t="s">
        <v>4477</v>
      </c>
      <c r="BN236" s="115" t="s">
        <v>4477</v>
      </c>
      <c r="BO236" s="2"/>
      <c r="BP236" s="3"/>
      <c r="BQ236" s="3"/>
      <c r="BR236" s="3"/>
      <c r="BS236" s="3"/>
    </row>
    <row r="237" spans="1:71" ht="15">
      <c r="A237" s="66" t="s">
        <v>455</v>
      </c>
      <c r="B237" s="67"/>
      <c r="C237" s="67"/>
      <c r="D237" s="68">
        <v>150</v>
      </c>
      <c r="E237" s="70"/>
      <c r="F237" s="102" t="str">
        <f>HYPERLINK("https://yt3.ggpht.com/ytc/AOPolaRXzsCV_yFbUdMHZTIEn1KIuTYnbcxmlvLjIg=s88-c-k-c0x00ffffff-no-rj")</f>
        <v>https://yt3.ggpht.com/ytc/AOPolaRXzsCV_yFbUdMHZTIEn1KIuTYnbcxmlvLjIg=s88-c-k-c0x00ffffff-no-rj</v>
      </c>
      <c r="G237" s="67"/>
      <c r="H237" s="71" t="s">
        <v>1530</v>
      </c>
      <c r="I237" s="72"/>
      <c r="J237" s="72" t="s">
        <v>159</v>
      </c>
      <c r="K237" s="71" t="s">
        <v>1530</v>
      </c>
      <c r="L237" s="75">
        <v>1</v>
      </c>
      <c r="M237" s="76">
        <v>8405.0224609375</v>
      </c>
      <c r="N237" s="76">
        <v>1502.1099853515625</v>
      </c>
      <c r="O237" s="77"/>
      <c r="P237" s="78"/>
      <c r="Q237" s="78"/>
      <c r="R237" s="88"/>
      <c r="S237" s="49">
        <v>0</v>
      </c>
      <c r="T237" s="49">
        <v>1</v>
      </c>
      <c r="U237" s="50">
        <v>0</v>
      </c>
      <c r="V237" s="50">
        <v>0.007758</v>
      </c>
      <c r="W237" s="50">
        <v>0</v>
      </c>
      <c r="X237" s="50">
        <v>0.001601</v>
      </c>
      <c r="Y237" s="50">
        <v>0</v>
      </c>
      <c r="Z237" s="50">
        <v>0</v>
      </c>
      <c r="AA237" s="73">
        <v>237</v>
      </c>
      <c r="AB237" s="73"/>
      <c r="AC237" s="74"/>
      <c r="AD237" s="81" t="s">
        <v>1530</v>
      </c>
      <c r="AE237" s="81"/>
      <c r="AF237" s="81"/>
      <c r="AG237" s="81"/>
      <c r="AH237" s="81"/>
      <c r="AI237" s="81" t="s">
        <v>2253</v>
      </c>
      <c r="AJ237" s="85">
        <v>42369.757060185184</v>
      </c>
      <c r="AK237" s="83" t="str">
        <f>HYPERLINK("https://yt3.ggpht.com/ytc/AOPolaRXzsCV_yFbUdMHZTIEn1KIuTYnbcxmlvLjIg=s88-c-k-c0x00ffffff-no-rj")</f>
        <v>https://yt3.ggpht.com/ytc/AOPolaRXzsCV_yFbUdMHZTIEn1KIuTYnbcxmlvLjIg=s88-c-k-c0x00ffffff-no-rj</v>
      </c>
      <c r="AL237" s="81">
        <v>0</v>
      </c>
      <c r="AM237" s="81">
        <v>0</v>
      </c>
      <c r="AN237" s="81">
        <v>8</v>
      </c>
      <c r="AO237" s="81" t="b">
        <v>0</v>
      </c>
      <c r="AP237" s="81">
        <v>0</v>
      </c>
      <c r="AQ237" s="81"/>
      <c r="AR237" s="81"/>
      <c r="AS237" s="81" t="s">
        <v>2571</v>
      </c>
      <c r="AT237" s="83" t="str">
        <f>HYPERLINK("https://www.youtube.com/channel/UCYNntWoBQNmwamwt2_h6zSQ")</f>
        <v>https://www.youtube.com/channel/UCYNntWoBQNmwamwt2_h6zSQ</v>
      </c>
      <c r="AU237" s="81">
        <v>8</v>
      </c>
      <c r="AV237" s="49">
        <v>1</v>
      </c>
      <c r="AW237" s="50">
        <v>8.333333333333334</v>
      </c>
      <c r="AX237" s="49">
        <v>0</v>
      </c>
      <c r="AY237" s="50">
        <v>0</v>
      </c>
      <c r="AZ237" s="49">
        <v>0</v>
      </c>
      <c r="BA237" s="50">
        <v>0</v>
      </c>
      <c r="BB237" s="49">
        <v>4</v>
      </c>
      <c r="BC237" s="50">
        <v>33.333333333333336</v>
      </c>
      <c r="BD237" s="49">
        <v>12</v>
      </c>
      <c r="BE237" s="49"/>
      <c r="BF237" s="49"/>
      <c r="BG237" s="49"/>
      <c r="BH237" s="49"/>
      <c r="BI237" s="49"/>
      <c r="BJ237" s="49"/>
      <c r="BK237" s="115" t="s">
        <v>2777</v>
      </c>
      <c r="BL237" s="115" t="s">
        <v>2777</v>
      </c>
      <c r="BM237" s="115" t="s">
        <v>3238</v>
      </c>
      <c r="BN237" s="115" t="s">
        <v>3238</v>
      </c>
      <c r="BO237" s="2"/>
      <c r="BP237" s="3"/>
      <c r="BQ237" s="3"/>
      <c r="BR237" s="3"/>
      <c r="BS237" s="3"/>
    </row>
    <row r="238" spans="1:71" ht="15">
      <c r="A238" s="66" t="s">
        <v>462</v>
      </c>
      <c r="B238" s="67"/>
      <c r="C238" s="67"/>
      <c r="D238" s="68">
        <v>244.07114624505928</v>
      </c>
      <c r="E238" s="70"/>
      <c r="F238" s="102" t="str">
        <f>HYPERLINK("https://yt3.ggpht.com/Qo0Nc2WyYE7dvPkeOk04AV2WR6_fWXBn0EabEag9dBvGGLr-FoXBOe53gWQ5vXPrFj9hqRzlow=s88-c-k-c0x00ffffff-no-rj")</f>
        <v>https://yt3.ggpht.com/Qo0Nc2WyYE7dvPkeOk04AV2WR6_fWXBn0EabEag9dBvGGLr-FoXBOe53gWQ5vXPrFj9hqRzlow=s88-c-k-c0x00ffffff-no-rj</v>
      </c>
      <c r="G238" s="67"/>
      <c r="H238" s="71" t="s">
        <v>1893</v>
      </c>
      <c r="I238" s="72"/>
      <c r="J238" s="72" t="s">
        <v>75</v>
      </c>
      <c r="K238" s="71" t="s">
        <v>1893</v>
      </c>
      <c r="L238" s="75">
        <v>15.800105736188211</v>
      </c>
      <c r="M238" s="76">
        <v>8702.111328125</v>
      </c>
      <c r="N238" s="76">
        <v>1989.7435302734375</v>
      </c>
      <c r="O238" s="77"/>
      <c r="P238" s="78"/>
      <c r="Q238" s="78"/>
      <c r="R238" s="88"/>
      <c r="S238" s="49">
        <v>9</v>
      </c>
      <c r="T238" s="49">
        <v>1</v>
      </c>
      <c r="U238" s="50">
        <v>56</v>
      </c>
      <c r="V238" s="50">
        <v>0.014545</v>
      </c>
      <c r="W238" s="50">
        <v>0</v>
      </c>
      <c r="X238" s="50">
        <v>0.003523</v>
      </c>
      <c r="Y238" s="50">
        <v>0</v>
      </c>
      <c r="Z238" s="50">
        <v>0</v>
      </c>
      <c r="AA238" s="73">
        <v>238</v>
      </c>
      <c r="AB238" s="73"/>
      <c r="AC238" s="74"/>
      <c r="AD238" s="81" t="s">
        <v>1893</v>
      </c>
      <c r="AE238" s="81" t="s">
        <v>1958</v>
      </c>
      <c r="AF238" s="81"/>
      <c r="AG238" s="81"/>
      <c r="AH238" s="81"/>
      <c r="AI238" s="81" t="s">
        <v>2254</v>
      </c>
      <c r="AJ238" s="85">
        <v>42025.943333333336</v>
      </c>
      <c r="AK238" s="83" t="str">
        <f>HYPERLINK("https://yt3.ggpht.com/Qo0Nc2WyYE7dvPkeOk04AV2WR6_fWXBn0EabEag9dBvGGLr-FoXBOe53gWQ5vXPrFj9hqRzlow=s88-c-k-c0x00ffffff-no-rj")</f>
        <v>https://yt3.ggpht.com/Qo0Nc2WyYE7dvPkeOk04AV2WR6_fWXBn0EabEag9dBvGGLr-FoXBOe53gWQ5vXPrFj9hqRzlow=s88-c-k-c0x00ffffff-no-rj</v>
      </c>
      <c r="AL238" s="81">
        <v>144885369</v>
      </c>
      <c r="AM238" s="81">
        <v>0</v>
      </c>
      <c r="AN238" s="81">
        <v>2910000</v>
      </c>
      <c r="AO238" s="81" t="b">
        <v>0</v>
      </c>
      <c r="AP238" s="81">
        <v>1095</v>
      </c>
      <c r="AQ238" s="81"/>
      <c r="AR238" s="81"/>
      <c r="AS238" s="81" t="s">
        <v>2571</v>
      </c>
      <c r="AT238" s="83" t="str">
        <f>HYPERLINK("https://www.youtube.com/channel/UCNI0qOojpkhsUtaQ4_2NUhQ")</f>
        <v>https://www.youtube.com/channel/UCNI0qOojpkhsUtaQ4_2NUhQ</v>
      </c>
      <c r="AU238" s="81">
        <v>8</v>
      </c>
      <c r="AV238" s="49"/>
      <c r="AW238" s="50"/>
      <c r="AX238" s="49"/>
      <c r="AY238" s="50"/>
      <c r="AZ238" s="49"/>
      <c r="BA238" s="50"/>
      <c r="BB238" s="49"/>
      <c r="BC238" s="50"/>
      <c r="BD238" s="49"/>
      <c r="BE238" s="49"/>
      <c r="BF238" s="49"/>
      <c r="BG238" s="49"/>
      <c r="BH238" s="49"/>
      <c r="BI238" s="49"/>
      <c r="BJ238" s="49"/>
      <c r="BK238" s="115" t="s">
        <v>4477</v>
      </c>
      <c r="BL238" s="115" t="s">
        <v>4477</v>
      </c>
      <c r="BM238" s="115" t="s">
        <v>4477</v>
      </c>
      <c r="BN238" s="115" t="s">
        <v>4477</v>
      </c>
      <c r="BO238" s="2"/>
      <c r="BP238" s="3"/>
      <c r="BQ238" s="3"/>
      <c r="BR238" s="3"/>
      <c r="BS238" s="3"/>
    </row>
    <row r="239" spans="1:71" ht="15">
      <c r="A239" s="66" t="s">
        <v>456</v>
      </c>
      <c r="B239" s="67"/>
      <c r="C239" s="67"/>
      <c r="D239" s="68">
        <v>150</v>
      </c>
      <c r="E239" s="70"/>
      <c r="F239" s="102" t="str">
        <f>HYPERLINK("https://yt3.ggpht.com/ytc/AOPolaTAnfcv2jIKZH8IZzaY3Z5MHu_3wQOLAEzq2Q=s88-c-k-c0x00ffffff-no-rj")</f>
        <v>https://yt3.ggpht.com/ytc/AOPolaTAnfcv2jIKZH8IZzaY3Z5MHu_3wQOLAEzq2Q=s88-c-k-c0x00ffffff-no-rj</v>
      </c>
      <c r="G239" s="67"/>
      <c r="H239" s="71" t="s">
        <v>1531</v>
      </c>
      <c r="I239" s="72"/>
      <c r="J239" s="72" t="s">
        <v>159</v>
      </c>
      <c r="K239" s="71" t="s">
        <v>1531</v>
      </c>
      <c r="L239" s="75">
        <v>1</v>
      </c>
      <c r="M239" s="76">
        <v>8118.513671875</v>
      </c>
      <c r="N239" s="76">
        <v>1838.8597412109375</v>
      </c>
      <c r="O239" s="77"/>
      <c r="P239" s="78"/>
      <c r="Q239" s="78"/>
      <c r="R239" s="88"/>
      <c r="S239" s="49">
        <v>0</v>
      </c>
      <c r="T239" s="49">
        <v>1</v>
      </c>
      <c r="U239" s="50">
        <v>0</v>
      </c>
      <c r="V239" s="50">
        <v>0.007758</v>
      </c>
      <c r="W239" s="50">
        <v>0</v>
      </c>
      <c r="X239" s="50">
        <v>0.001601</v>
      </c>
      <c r="Y239" s="50">
        <v>0</v>
      </c>
      <c r="Z239" s="50">
        <v>0</v>
      </c>
      <c r="AA239" s="73">
        <v>239</v>
      </c>
      <c r="AB239" s="73"/>
      <c r="AC239" s="74"/>
      <c r="AD239" s="81" t="s">
        <v>1531</v>
      </c>
      <c r="AE239" s="81"/>
      <c r="AF239" s="81"/>
      <c r="AG239" s="81"/>
      <c r="AH239" s="81"/>
      <c r="AI239" s="81" t="s">
        <v>2255</v>
      </c>
      <c r="AJ239" s="85">
        <v>39929.12326388889</v>
      </c>
      <c r="AK239" s="83" t="str">
        <f>HYPERLINK("https://yt3.ggpht.com/ytc/AOPolaTAnfcv2jIKZH8IZzaY3Z5MHu_3wQOLAEzq2Q=s88-c-k-c0x00ffffff-no-rj")</f>
        <v>https://yt3.ggpht.com/ytc/AOPolaTAnfcv2jIKZH8IZzaY3Z5MHu_3wQOLAEzq2Q=s88-c-k-c0x00ffffff-no-rj</v>
      </c>
      <c r="AL239" s="81">
        <v>0</v>
      </c>
      <c r="AM239" s="81">
        <v>0</v>
      </c>
      <c r="AN239" s="81">
        <v>2</v>
      </c>
      <c r="AO239" s="81" t="b">
        <v>0</v>
      </c>
      <c r="AP239" s="81">
        <v>0</v>
      </c>
      <c r="AQ239" s="81"/>
      <c r="AR239" s="81"/>
      <c r="AS239" s="81" t="s">
        <v>2571</v>
      </c>
      <c r="AT239" s="83" t="str">
        <f>HYPERLINK("https://www.youtube.com/channel/UCRzCAdoaQeiKD9Nk4mKGMYw")</f>
        <v>https://www.youtube.com/channel/UCRzCAdoaQeiKD9Nk4mKGMYw</v>
      </c>
      <c r="AU239" s="81">
        <v>8</v>
      </c>
      <c r="AV239" s="49">
        <v>0</v>
      </c>
      <c r="AW239" s="50">
        <v>0</v>
      </c>
      <c r="AX239" s="49">
        <v>1</v>
      </c>
      <c r="AY239" s="50">
        <v>4.166666666666667</v>
      </c>
      <c r="AZ239" s="49">
        <v>0</v>
      </c>
      <c r="BA239" s="50">
        <v>0</v>
      </c>
      <c r="BB239" s="49">
        <v>10</v>
      </c>
      <c r="BC239" s="50">
        <v>41.666666666666664</v>
      </c>
      <c r="BD239" s="49">
        <v>24</v>
      </c>
      <c r="BE239" s="49"/>
      <c r="BF239" s="49"/>
      <c r="BG239" s="49"/>
      <c r="BH239" s="49"/>
      <c r="BI239" s="49"/>
      <c r="BJ239" s="49"/>
      <c r="BK239" s="115" t="s">
        <v>2778</v>
      </c>
      <c r="BL239" s="115" t="s">
        <v>2778</v>
      </c>
      <c r="BM239" s="115" t="s">
        <v>3239</v>
      </c>
      <c r="BN239" s="115" t="s">
        <v>3239</v>
      </c>
      <c r="BO239" s="2"/>
      <c r="BP239" s="3"/>
      <c r="BQ239" s="3"/>
      <c r="BR239" s="3"/>
      <c r="BS239" s="3"/>
    </row>
    <row r="240" spans="1:71" ht="15">
      <c r="A240" s="66" t="s">
        <v>457</v>
      </c>
      <c r="B240" s="67"/>
      <c r="C240" s="67"/>
      <c r="D240" s="68">
        <v>150</v>
      </c>
      <c r="E240" s="70"/>
      <c r="F240" s="102" t="str">
        <f>HYPERLINK("https://yt3.ggpht.com/fwV7T3gXSIVxerM13ert5Ey47YzhM3Inq2P1rd1RDw5NPI9q2QyGlcAYXNFQSVV39gpXv4W2zXc=s88-c-k-c0x00ffffff-no-rj")</f>
        <v>https://yt3.ggpht.com/fwV7T3gXSIVxerM13ert5Ey47YzhM3Inq2P1rd1RDw5NPI9q2QyGlcAYXNFQSVV39gpXv4W2zXc=s88-c-k-c0x00ffffff-no-rj</v>
      </c>
      <c r="G240" s="67"/>
      <c r="H240" s="71" t="s">
        <v>1532</v>
      </c>
      <c r="I240" s="72"/>
      <c r="J240" s="72" t="s">
        <v>159</v>
      </c>
      <c r="K240" s="71" t="s">
        <v>1532</v>
      </c>
      <c r="L240" s="75">
        <v>1</v>
      </c>
      <c r="M240" s="76">
        <v>8538.6640625</v>
      </c>
      <c r="N240" s="76">
        <v>2528.482666015625</v>
      </c>
      <c r="O240" s="77"/>
      <c r="P240" s="78"/>
      <c r="Q240" s="78"/>
      <c r="R240" s="88"/>
      <c r="S240" s="49">
        <v>0</v>
      </c>
      <c r="T240" s="49">
        <v>1</v>
      </c>
      <c r="U240" s="50">
        <v>0</v>
      </c>
      <c r="V240" s="50">
        <v>0.007758</v>
      </c>
      <c r="W240" s="50">
        <v>0</v>
      </c>
      <c r="X240" s="50">
        <v>0.001601</v>
      </c>
      <c r="Y240" s="50">
        <v>0</v>
      </c>
      <c r="Z240" s="50">
        <v>0</v>
      </c>
      <c r="AA240" s="73">
        <v>240</v>
      </c>
      <c r="AB240" s="73"/>
      <c r="AC240" s="74"/>
      <c r="AD240" s="81" t="s">
        <v>1532</v>
      </c>
      <c r="AE240" s="81"/>
      <c r="AF240" s="81"/>
      <c r="AG240" s="81"/>
      <c r="AH240" s="81"/>
      <c r="AI240" s="81" t="s">
        <v>2256</v>
      </c>
      <c r="AJ240" s="85">
        <v>43983.546111111114</v>
      </c>
      <c r="AK240" s="83" t="str">
        <f>HYPERLINK("https://yt3.ggpht.com/fwV7T3gXSIVxerM13ert5Ey47YzhM3Inq2P1rd1RDw5NPI9q2QyGlcAYXNFQSVV39gpXv4W2zXc=s88-c-k-c0x00ffffff-no-rj")</f>
        <v>https://yt3.ggpht.com/fwV7T3gXSIVxerM13ert5Ey47YzhM3Inq2P1rd1RDw5NPI9q2QyGlcAYXNFQSVV39gpXv4W2zXc=s88-c-k-c0x00ffffff-no-rj</v>
      </c>
      <c r="AL240" s="81">
        <v>304</v>
      </c>
      <c r="AM240" s="81">
        <v>0</v>
      </c>
      <c r="AN240" s="81">
        <v>3</v>
      </c>
      <c r="AO240" s="81" t="b">
        <v>0</v>
      </c>
      <c r="AP240" s="81">
        <v>8</v>
      </c>
      <c r="AQ240" s="81"/>
      <c r="AR240" s="81"/>
      <c r="AS240" s="81" t="s">
        <v>2571</v>
      </c>
      <c r="AT240" s="83" t="str">
        <f>HYPERLINK("https://www.youtube.com/channel/UCfIsz6jRLv-VT011JVgbJEw")</f>
        <v>https://www.youtube.com/channel/UCfIsz6jRLv-VT011JVgbJEw</v>
      </c>
      <c r="AU240" s="81">
        <v>8</v>
      </c>
      <c r="AV240" s="49">
        <v>0</v>
      </c>
      <c r="AW240" s="50">
        <v>0</v>
      </c>
      <c r="AX240" s="49">
        <v>0</v>
      </c>
      <c r="AY240" s="50">
        <v>0</v>
      </c>
      <c r="AZ240" s="49">
        <v>0</v>
      </c>
      <c r="BA240" s="50">
        <v>0</v>
      </c>
      <c r="BB240" s="49">
        <v>3</v>
      </c>
      <c r="BC240" s="50">
        <v>75</v>
      </c>
      <c r="BD240" s="49">
        <v>4</v>
      </c>
      <c r="BE240" s="49"/>
      <c r="BF240" s="49"/>
      <c r="BG240" s="49"/>
      <c r="BH240" s="49"/>
      <c r="BI240" s="49"/>
      <c r="BJ240" s="49"/>
      <c r="BK240" s="115" t="s">
        <v>2779</v>
      </c>
      <c r="BL240" s="115" t="s">
        <v>2779</v>
      </c>
      <c r="BM240" s="115" t="s">
        <v>3240</v>
      </c>
      <c r="BN240" s="115" t="s">
        <v>3240</v>
      </c>
      <c r="BO240" s="2"/>
      <c r="BP240" s="3"/>
      <c r="BQ240" s="3"/>
      <c r="BR240" s="3"/>
      <c r="BS240" s="3"/>
    </row>
    <row r="241" spans="1:71" ht="15">
      <c r="A241" s="66" t="s">
        <v>458</v>
      </c>
      <c r="B241" s="67"/>
      <c r="C241" s="67"/>
      <c r="D241" s="68">
        <v>150</v>
      </c>
      <c r="E241" s="70"/>
      <c r="F241" s="102" t="str">
        <f>HYPERLINK("https://yt3.ggpht.com/ytc/AOPolaT8-Ljts6b5SVLtgxtKRlZ6cWXUOkTE6Jo69BzmvemrN_TXybzRVAcAeI829rHW=s88-c-k-c0x00ffffff-no-rj")</f>
        <v>https://yt3.ggpht.com/ytc/AOPolaT8-Ljts6b5SVLtgxtKRlZ6cWXUOkTE6Jo69BzmvemrN_TXybzRVAcAeI829rHW=s88-c-k-c0x00ffffff-no-rj</v>
      </c>
      <c r="G241" s="67"/>
      <c r="H241" s="71" t="s">
        <v>1533</v>
      </c>
      <c r="I241" s="72"/>
      <c r="J241" s="72" t="s">
        <v>159</v>
      </c>
      <c r="K241" s="71" t="s">
        <v>1533</v>
      </c>
      <c r="L241" s="75">
        <v>1</v>
      </c>
      <c r="M241" s="76">
        <v>9285.7119140625</v>
      </c>
      <c r="N241" s="76">
        <v>2140.628173828125</v>
      </c>
      <c r="O241" s="77"/>
      <c r="P241" s="78"/>
      <c r="Q241" s="78"/>
      <c r="R241" s="88"/>
      <c r="S241" s="49">
        <v>0</v>
      </c>
      <c r="T241" s="49">
        <v>1</v>
      </c>
      <c r="U241" s="50">
        <v>0</v>
      </c>
      <c r="V241" s="50">
        <v>0.007758</v>
      </c>
      <c r="W241" s="50">
        <v>0</v>
      </c>
      <c r="X241" s="50">
        <v>0.001601</v>
      </c>
      <c r="Y241" s="50">
        <v>0</v>
      </c>
      <c r="Z241" s="50">
        <v>0</v>
      </c>
      <c r="AA241" s="73">
        <v>241</v>
      </c>
      <c r="AB241" s="73"/>
      <c r="AC241" s="74"/>
      <c r="AD241" s="81" t="s">
        <v>1533</v>
      </c>
      <c r="AE241" s="81"/>
      <c r="AF241" s="81"/>
      <c r="AG241" s="81"/>
      <c r="AH241" s="81"/>
      <c r="AI241" s="81" t="s">
        <v>2257</v>
      </c>
      <c r="AJ241" s="85">
        <v>44716.759780092594</v>
      </c>
      <c r="AK241" s="83" t="str">
        <f>HYPERLINK("https://yt3.ggpht.com/ytc/AOPolaT8-Ljts6b5SVLtgxtKRlZ6cWXUOkTE6Jo69BzmvemrN_TXybzRVAcAeI829rHW=s88-c-k-c0x00ffffff-no-rj")</f>
        <v>https://yt3.ggpht.com/ytc/AOPolaT8-Ljts6b5SVLtgxtKRlZ6cWXUOkTE6Jo69BzmvemrN_TXybzRVAcAeI829rHW=s88-c-k-c0x00ffffff-no-rj</v>
      </c>
      <c r="AL241" s="81">
        <v>0</v>
      </c>
      <c r="AM241" s="81">
        <v>0</v>
      </c>
      <c r="AN241" s="81">
        <v>0</v>
      </c>
      <c r="AO241" s="81" t="b">
        <v>0</v>
      </c>
      <c r="AP241" s="81">
        <v>0</v>
      </c>
      <c r="AQ241" s="81"/>
      <c r="AR241" s="81"/>
      <c r="AS241" s="81" t="s">
        <v>2571</v>
      </c>
      <c r="AT241" s="83" t="str">
        <f>HYPERLINK("https://www.youtube.com/channel/UCf33NQt2P-7FFKhrrNfH1Nw")</f>
        <v>https://www.youtube.com/channel/UCf33NQt2P-7FFKhrrNfH1Nw</v>
      </c>
      <c r="AU241" s="81">
        <v>8</v>
      </c>
      <c r="AV241" s="49">
        <v>0</v>
      </c>
      <c r="AW241" s="50">
        <v>0</v>
      </c>
      <c r="AX241" s="49">
        <v>1</v>
      </c>
      <c r="AY241" s="50">
        <v>11.11111111111111</v>
      </c>
      <c r="AZ241" s="49">
        <v>0</v>
      </c>
      <c r="BA241" s="50">
        <v>0</v>
      </c>
      <c r="BB241" s="49">
        <v>1</v>
      </c>
      <c r="BC241" s="50">
        <v>11.11111111111111</v>
      </c>
      <c r="BD241" s="49">
        <v>9</v>
      </c>
      <c r="BE241" s="49"/>
      <c r="BF241" s="49"/>
      <c r="BG241" s="49"/>
      <c r="BH241" s="49"/>
      <c r="BI241" s="49"/>
      <c r="BJ241" s="49"/>
      <c r="BK241" s="115" t="s">
        <v>2780</v>
      </c>
      <c r="BL241" s="115" t="s">
        <v>2780</v>
      </c>
      <c r="BM241" s="115" t="s">
        <v>3241</v>
      </c>
      <c r="BN241" s="115" t="s">
        <v>3241</v>
      </c>
      <c r="BO241" s="2"/>
      <c r="BP241" s="3"/>
      <c r="BQ241" s="3"/>
      <c r="BR241" s="3"/>
      <c r="BS241" s="3"/>
    </row>
    <row r="242" spans="1:71" ht="15">
      <c r="A242" s="66" t="s">
        <v>459</v>
      </c>
      <c r="B242" s="67"/>
      <c r="C242" s="67"/>
      <c r="D242" s="68">
        <v>150</v>
      </c>
      <c r="E242" s="70"/>
      <c r="F242" s="102" t="str">
        <f>HYPERLINK("https://yt3.ggpht.com/ytc/AOPolaTAMfodEfuH1-hW6_hEOJhvXwLiIYT5AhxeSx-TW9wSSOoQ13b0Cq05HSrF3h32=s88-c-k-c0x00ffffff-no-rj")</f>
        <v>https://yt3.ggpht.com/ytc/AOPolaTAMfodEfuH1-hW6_hEOJhvXwLiIYT5AhxeSx-TW9wSSOoQ13b0Cq05HSrF3h32=s88-c-k-c0x00ffffff-no-rj</v>
      </c>
      <c r="G242" s="67"/>
      <c r="H242" s="71" t="s">
        <v>1534</v>
      </c>
      <c r="I242" s="72"/>
      <c r="J242" s="72" t="s">
        <v>159</v>
      </c>
      <c r="K242" s="71" t="s">
        <v>1534</v>
      </c>
      <c r="L242" s="75">
        <v>1</v>
      </c>
      <c r="M242" s="76">
        <v>8999.2041015625</v>
      </c>
      <c r="N242" s="76">
        <v>2477.376953125</v>
      </c>
      <c r="O242" s="77"/>
      <c r="P242" s="78"/>
      <c r="Q242" s="78"/>
      <c r="R242" s="88"/>
      <c r="S242" s="49">
        <v>0</v>
      </c>
      <c r="T242" s="49">
        <v>1</v>
      </c>
      <c r="U242" s="50">
        <v>0</v>
      </c>
      <c r="V242" s="50">
        <v>0.007758</v>
      </c>
      <c r="W242" s="50">
        <v>0</v>
      </c>
      <c r="X242" s="50">
        <v>0.001601</v>
      </c>
      <c r="Y242" s="50">
        <v>0</v>
      </c>
      <c r="Z242" s="50">
        <v>0</v>
      </c>
      <c r="AA242" s="73">
        <v>242</v>
      </c>
      <c r="AB242" s="73"/>
      <c r="AC242" s="74"/>
      <c r="AD242" s="81" t="s">
        <v>1534</v>
      </c>
      <c r="AE242" s="81"/>
      <c r="AF242" s="81"/>
      <c r="AG242" s="81"/>
      <c r="AH242" s="81"/>
      <c r="AI242" s="81" t="s">
        <v>2258</v>
      </c>
      <c r="AJ242" s="85">
        <v>45042.60287037037</v>
      </c>
      <c r="AK242" s="83" t="str">
        <f>HYPERLINK("https://yt3.ggpht.com/ytc/AOPolaTAMfodEfuH1-hW6_hEOJhvXwLiIYT5AhxeSx-TW9wSSOoQ13b0Cq05HSrF3h32=s88-c-k-c0x00ffffff-no-rj")</f>
        <v>https://yt3.ggpht.com/ytc/AOPolaTAMfodEfuH1-hW6_hEOJhvXwLiIYT5AhxeSx-TW9wSSOoQ13b0Cq05HSrF3h32=s88-c-k-c0x00ffffff-no-rj</v>
      </c>
      <c r="AL242" s="81">
        <v>0</v>
      </c>
      <c r="AM242" s="81">
        <v>0</v>
      </c>
      <c r="AN242" s="81">
        <v>0</v>
      </c>
      <c r="AO242" s="81" t="b">
        <v>0</v>
      </c>
      <c r="AP242" s="81">
        <v>0</v>
      </c>
      <c r="AQ242" s="81"/>
      <c r="AR242" s="81"/>
      <c r="AS242" s="81" t="s">
        <v>2571</v>
      </c>
      <c r="AT242" s="83" t="str">
        <f>HYPERLINK("https://www.youtube.com/channel/UCFBKvki1427rKbVsgX3CrCQ")</f>
        <v>https://www.youtube.com/channel/UCFBKvki1427rKbVsgX3CrCQ</v>
      </c>
      <c r="AU242" s="81">
        <v>8</v>
      </c>
      <c r="AV242" s="49">
        <v>0</v>
      </c>
      <c r="AW242" s="50">
        <v>0</v>
      </c>
      <c r="AX242" s="49">
        <v>0</v>
      </c>
      <c r="AY242" s="50">
        <v>0</v>
      </c>
      <c r="AZ242" s="49">
        <v>0</v>
      </c>
      <c r="BA242" s="50">
        <v>0</v>
      </c>
      <c r="BB242" s="49">
        <v>5</v>
      </c>
      <c r="BC242" s="50">
        <v>55.55555555555556</v>
      </c>
      <c r="BD242" s="49">
        <v>9</v>
      </c>
      <c r="BE242" s="49"/>
      <c r="BF242" s="49"/>
      <c r="BG242" s="49"/>
      <c r="BH242" s="49"/>
      <c r="BI242" s="49"/>
      <c r="BJ242" s="49"/>
      <c r="BK242" s="115" t="s">
        <v>2781</v>
      </c>
      <c r="BL242" s="115" t="s">
        <v>2781</v>
      </c>
      <c r="BM242" s="115" t="s">
        <v>3242</v>
      </c>
      <c r="BN242" s="115" t="s">
        <v>3242</v>
      </c>
      <c r="BO242" s="2"/>
      <c r="BP242" s="3"/>
      <c r="BQ242" s="3"/>
      <c r="BR242" s="3"/>
      <c r="BS242" s="3"/>
    </row>
    <row r="243" spans="1:71" ht="15">
      <c r="A243" s="66" t="s">
        <v>460</v>
      </c>
      <c r="B243" s="67"/>
      <c r="C243" s="67"/>
      <c r="D243" s="68">
        <v>150</v>
      </c>
      <c r="E243" s="70"/>
      <c r="F243" s="102" t="str">
        <f>HYPERLINK("https://yt3.ggpht.com/ytc/AOPolaTVzElJK1SX0qRyxnw219HjEQRCMegQjUXd59qz-9w_rGdOJ0gUX9pkFWymr9KO=s88-c-k-c0x00ffffff-no-rj")</f>
        <v>https://yt3.ggpht.com/ytc/AOPolaTVzElJK1SX0qRyxnw219HjEQRCMegQjUXd59qz-9w_rGdOJ0gUX9pkFWymr9KO=s88-c-k-c0x00ffffff-no-rj</v>
      </c>
      <c r="G243" s="67"/>
      <c r="H243" s="71" t="s">
        <v>1535</v>
      </c>
      <c r="I243" s="72"/>
      <c r="J243" s="72" t="s">
        <v>159</v>
      </c>
      <c r="K243" s="71" t="s">
        <v>1535</v>
      </c>
      <c r="L243" s="75">
        <v>1</v>
      </c>
      <c r="M243" s="76">
        <v>8173.8681640625</v>
      </c>
      <c r="N243" s="76">
        <v>2263.998046875</v>
      </c>
      <c r="O243" s="77"/>
      <c r="P243" s="78"/>
      <c r="Q243" s="78"/>
      <c r="R243" s="88"/>
      <c r="S243" s="49">
        <v>0</v>
      </c>
      <c r="T243" s="49">
        <v>1</v>
      </c>
      <c r="U243" s="50">
        <v>0</v>
      </c>
      <c r="V243" s="50">
        <v>0.007758</v>
      </c>
      <c r="W243" s="50">
        <v>0</v>
      </c>
      <c r="X243" s="50">
        <v>0.001601</v>
      </c>
      <c r="Y243" s="50">
        <v>0</v>
      </c>
      <c r="Z243" s="50">
        <v>0</v>
      </c>
      <c r="AA243" s="73">
        <v>243</v>
      </c>
      <c r="AB243" s="73"/>
      <c r="AC243" s="74"/>
      <c r="AD243" s="81" t="s">
        <v>1535</v>
      </c>
      <c r="AE243" s="81"/>
      <c r="AF243" s="81"/>
      <c r="AG243" s="81"/>
      <c r="AH243" s="81"/>
      <c r="AI243" s="81" t="s">
        <v>2259</v>
      </c>
      <c r="AJ243" s="85">
        <v>44800.52701388889</v>
      </c>
      <c r="AK243" s="83" t="str">
        <f>HYPERLINK("https://yt3.ggpht.com/ytc/AOPolaTVzElJK1SX0qRyxnw219HjEQRCMegQjUXd59qz-9w_rGdOJ0gUX9pkFWymr9KO=s88-c-k-c0x00ffffff-no-rj")</f>
        <v>https://yt3.ggpht.com/ytc/AOPolaTVzElJK1SX0qRyxnw219HjEQRCMegQjUXd59qz-9w_rGdOJ0gUX9pkFWymr9KO=s88-c-k-c0x00ffffff-no-rj</v>
      </c>
      <c r="AL243" s="81">
        <v>355</v>
      </c>
      <c r="AM243" s="81">
        <v>0</v>
      </c>
      <c r="AN243" s="81">
        <v>14</v>
      </c>
      <c r="AO243" s="81" t="b">
        <v>0</v>
      </c>
      <c r="AP243" s="81">
        <v>3</v>
      </c>
      <c r="AQ243" s="81"/>
      <c r="AR243" s="81"/>
      <c r="AS243" s="81" t="s">
        <v>2571</v>
      </c>
      <c r="AT243" s="83" t="str">
        <f>HYPERLINK("https://www.youtube.com/channel/UC4ibNnkQqtD8nJorr30dMYA")</f>
        <v>https://www.youtube.com/channel/UC4ibNnkQqtD8nJorr30dMYA</v>
      </c>
      <c r="AU243" s="81">
        <v>8</v>
      </c>
      <c r="AV243" s="49">
        <v>0</v>
      </c>
      <c r="AW243" s="50">
        <v>0</v>
      </c>
      <c r="AX243" s="49">
        <v>0</v>
      </c>
      <c r="AY243" s="50">
        <v>0</v>
      </c>
      <c r="AZ243" s="49">
        <v>0</v>
      </c>
      <c r="BA243" s="50">
        <v>0</v>
      </c>
      <c r="BB243" s="49">
        <v>5</v>
      </c>
      <c r="BC243" s="50">
        <v>55.55555555555556</v>
      </c>
      <c r="BD243" s="49">
        <v>9</v>
      </c>
      <c r="BE243" s="49"/>
      <c r="BF243" s="49"/>
      <c r="BG243" s="49"/>
      <c r="BH243" s="49"/>
      <c r="BI243" s="49"/>
      <c r="BJ243" s="49"/>
      <c r="BK243" s="115" t="s">
        <v>2782</v>
      </c>
      <c r="BL243" s="115" t="s">
        <v>2782</v>
      </c>
      <c r="BM243" s="115" t="s">
        <v>3243</v>
      </c>
      <c r="BN243" s="115" t="s">
        <v>3243</v>
      </c>
      <c r="BO243" s="2"/>
      <c r="BP243" s="3"/>
      <c r="BQ243" s="3"/>
      <c r="BR243" s="3"/>
      <c r="BS243" s="3"/>
    </row>
    <row r="244" spans="1:71" ht="15">
      <c r="A244" s="66" t="s">
        <v>461</v>
      </c>
      <c r="B244" s="67"/>
      <c r="C244" s="67"/>
      <c r="D244" s="68">
        <v>150</v>
      </c>
      <c r="E244" s="70"/>
      <c r="F244" s="102" t="str">
        <f>HYPERLINK("https://yt3.ggpht.com/u7AAW5ewnVs_RAjbWOdQ8i5SicPc117E9_j51FzWfA1lZaUk9se0KzTtQgVSiROoJewz1V7ypg=s88-c-k-c0x00ffffff-no-rj")</f>
        <v>https://yt3.ggpht.com/u7AAW5ewnVs_RAjbWOdQ8i5SicPc117E9_j51FzWfA1lZaUk9se0KzTtQgVSiROoJewz1V7ypg=s88-c-k-c0x00ffffff-no-rj</v>
      </c>
      <c r="G244" s="67"/>
      <c r="H244" s="71" t="s">
        <v>1536</v>
      </c>
      <c r="I244" s="72"/>
      <c r="J244" s="72" t="s">
        <v>159</v>
      </c>
      <c r="K244" s="71" t="s">
        <v>1536</v>
      </c>
      <c r="L244" s="75">
        <v>1</v>
      </c>
      <c r="M244" s="76">
        <v>9230.349609375</v>
      </c>
      <c r="N244" s="76">
        <v>1715.49072265625</v>
      </c>
      <c r="O244" s="77"/>
      <c r="P244" s="78"/>
      <c r="Q244" s="78"/>
      <c r="R244" s="88"/>
      <c r="S244" s="49">
        <v>0</v>
      </c>
      <c r="T244" s="49">
        <v>1</v>
      </c>
      <c r="U244" s="50">
        <v>0</v>
      </c>
      <c r="V244" s="50">
        <v>0.007758</v>
      </c>
      <c r="W244" s="50">
        <v>0</v>
      </c>
      <c r="X244" s="50">
        <v>0.001601</v>
      </c>
      <c r="Y244" s="50">
        <v>0</v>
      </c>
      <c r="Z244" s="50">
        <v>0</v>
      </c>
      <c r="AA244" s="73">
        <v>244</v>
      </c>
      <c r="AB244" s="73"/>
      <c r="AC244" s="74"/>
      <c r="AD244" s="81" t="s">
        <v>1536</v>
      </c>
      <c r="AE244" s="81" t="s">
        <v>1959</v>
      </c>
      <c r="AF244" s="81"/>
      <c r="AG244" s="81"/>
      <c r="AH244" s="81"/>
      <c r="AI244" s="81" t="s">
        <v>2260</v>
      </c>
      <c r="AJ244" s="85">
        <v>44774.686006944445</v>
      </c>
      <c r="AK244" s="83" t="str">
        <f>HYPERLINK("https://yt3.ggpht.com/u7AAW5ewnVs_RAjbWOdQ8i5SicPc117E9_j51FzWfA1lZaUk9se0KzTtQgVSiROoJewz1V7ypg=s88-c-k-c0x00ffffff-no-rj")</f>
        <v>https://yt3.ggpht.com/u7AAW5ewnVs_RAjbWOdQ8i5SicPc117E9_j51FzWfA1lZaUk9se0KzTtQgVSiROoJewz1V7ypg=s88-c-k-c0x00ffffff-no-rj</v>
      </c>
      <c r="AL244" s="81">
        <v>2125</v>
      </c>
      <c r="AM244" s="81">
        <v>0</v>
      </c>
      <c r="AN244" s="81">
        <v>5</v>
      </c>
      <c r="AO244" s="81" t="b">
        <v>0</v>
      </c>
      <c r="AP244" s="81">
        <v>28</v>
      </c>
      <c r="AQ244" s="81"/>
      <c r="AR244" s="81"/>
      <c r="AS244" s="81" t="s">
        <v>2571</v>
      </c>
      <c r="AT244" s="83" t="str">
        <f>HYPERLINK("https://www.youtube.com/channel/UCQVZYXYVW37FV3FiOuzY71g")</f>
        <v>https://www.youtube.com/channel/UCQVZYXYVW37FV3FiOuzY71g</v>
      </c>
      <c r="AU244" s="81">
        <v>8</v>
      </c>
      <c r="AV244" s="49">
        <v>0</v>
      </c>
      <c r="AW244" s="50">
        <v>0</v>
      </c>
      <c r="AX244" s="49">
        <v>0</v>
      </c>
      <c r="AY244" s="50">
        <v>0</v>
      </c>
      <c r="AZ244" s="49">
        <v>0</v>
      </c>
      <c r="BA244" s="50">
        <v>0</v>
      </c>
      <c r="BB244" s="49">
        <v>1</v>
      </c>
      <c r="BC244" s="50">
        <v>25</v>
      </c>
      <c r="BD244" s="49">
        <v>4</v>
      </c>
      <c r="BE244" s="49"/>
      <c r="BF244" s="49"/>
      <c r="BG244" s="49"/>
      <c r="BH244" s="49"/>
      <c r="BI244" s="49"/>
      <c r="BJ244" s="49"/>
      <c r="BK244" s="115" t="s">
        <v>2783</v>
      </c>
      <c r="BL244" s="115" t="s">
        <v>2783</v>
      </c>
      <c r="BM244" s="115" t="s">
        <v>4477</v>
      </c>
      <c r="BN244" s="115" t="s">
        <v>4477</v>
      </c>
      <c r="BO244" s="2"/>
      <c r="BP244" s="3"/>
      <c r="BQ244" s="3"/>
      <c r="BR244" s="3"/>
      <c r="BS244" s="3"/>
    </row>
    <row r="245" spans="1:71" ht="15">
      <c r="A245" s="66" t="s">
        <v>463</v>
      </c>
      <c r="B245" s="67"/>
      <c r="C245" s="67"/>
      <c r="D245" s="68">
        <v>150</v>
      </c>
      <c r="E245" s="70"/>
      <c r="F245" s="102" t="str">
        <f>HYPERLINK("https://yt3.ggpht.com/wpTanXIjJ3zlk6DtvT4inlWwKkXwIR2Zg8x0P9wBK_0wZiiv9Bu2JgZiWnJIsF4pV3IhRMcOhg=s88-c-k-c0x00ffffff-no-rj")</f>
        <v>https://yt3.ggpht.com/wpTanXIjJ3zlk6DtvT4inlWwKkXwIR2Zg8x0P9wBK_0wZiiv9Bu2JgZiWnJIsF4pV3IhRMcOhg=s88-c-k-c0x00ffffff-no-rj</v>
      </c>
      <c r="G245" s="67"/>
      <c r="H245" s="71" t="s">
        <v>1537</v>
      </c>
      <c r="I245" s="72"/>
      <c r="J245" s="72" t="s">
        <v>159</v>
      </c>
      <c r="K245" s="71" t="s">
        <v>1537</v>
      </c>
      <c r="L245" s="75">
        <v>1</v>
      </c>
      <c r="M245" s="76">
        <v>8865.5595703125</v>
      </c>
      <c r="N245" s="76">
        <v>1451.0042724609375</v>
      </c>
      <c r="O245" s="77"/>
      <c r="P245" s="78"/>
      <c r="Q245" s="78"/>
      <c r="R245" s="88"/>
      <c r="S245" s="49">
        <v>0</v>
      </c>
      <c r="T245" s="49">
        <v>1</v>
      </c>
      <c r="U245" s="50">
        <v>0</v>
      </c>
      <c r="V245" s="50">
        <v>0.007758</v>
      </c>
      <c r="W245" s="50">
        <v>0</v>
      </c>
      <c r="X245" s="50">
        <v>0.001601</v>
      </c>
      <c r="Y245" s="50">
        <v>0</v>
      </c>
      <c r="Z245" s="50">
        <v>0</v>
      </c>
      <c r="AA245" s="73">
        <v>245</v>
      </c>
      <c r="AB245" s="73"/>
      <c r="AC245" s="74"/>
      <c r="AD245" s="81" t="s">
        <v>1537</v>
      </c>
      <c r="AE245" s="81" t="s">
        <v>1960</v>
      </c>
      <c r="AF245" s="81"/>
      <c r="AG245" s="81"/>
      <c r="AH245" s="81"/>
      <c r="AI245" s="81" t="s">
        <v>2261</v>
      </c>
      <c r="AJ245" s="85">
        <v>42398.08625</v>
      </c>
      <c r="AK245" s="83" t="str">
        <f>HYPERLINK("https://yt3.ggpht.com/wpTanXIjJ3zlk6DtvT4inlWwKkXwIR2Zg8x0P9wBK_0wZiiv9Bu2JgZiWnJIsF4pV3IhRMcOhg=s88-c-k-c0x00ffffff-no-rj")</f>
        <v>https://yt3.ggpht.com/wpTanXIjJ3zlk6DtvT4inlWwKkXwIR2Zg8x0P9wBK_0wZiiv9Bu2JgZiWnJIsF4pV3IhRMcOhg=s88-c-k-c0x00ffffff-no-rj</v>
      </c>
      <c r="AL245" s="81">
        <v>16335</v>
      </c>
      <c r="AM245" s="81">
        <v>0</v>
      </c>
      <c r="AN245" s="81">
        <v>90</v>
      </c>
      <c r="AO245" s="81" t="b">
        <v>0</v>
      </c>
      <c r="AP245" s="81">
        <v>26</v>
      </c>
      <c r="AQ245" s="81"/>
      <c r="AR245" s="81"/>
      <c r="AS245" s="81" t="s">
        <v>2571</v>
      </c>
      <c r="AT245" s="83" t="str">
        <f>HYPERLINK("https://www.youtube.com/channel/UCCRzkLPT5honwun_A0zHHzA")</f>
        <v>https://www.youtube.com/channel/UCCRzkLPT5honwun_A0zHHzA</v>
      </c>
      <c r="AU245" s="81">
        <v>8</v>
      </c>
      <c r="AV245" s="49">
        <v>1</v>
      </c>
      <c r="AW245" s="50">
        <v>1.1904761904761905</v>
      </c>
      <c r="AX245" s="49">
        <v>4</v>
      </c>
      <c r="AY245" s="50">
        <v>4.761904761904762</v>
      </c>
      <c r="AZ245" s="49">
        <v>0</v>
      </c>
      <c r="BA245" s="50">
        <v>0</v>
      </c>
      <c r="BB245" s="49">
        <v>13</v>
      </c>
      <c r="BC245" s="50">
        <v>15.476190476190476</v>
      </c>
      <c r="BD245" s="49">
        <v>84</v>
      </c>
      <c r="BE245" s="49"/>
      <c r="BF245" s="49"/>
      <c r="BG245" s="49"/>
      <c r="BH245" s="49"/>
      <c r="BI245" s="49"/>
      <c r="BJ245" s="49"/>
      <c r="BK245" s="115" t="s">
        <v>2784</v>
      </c>
      <c r="BL245" s="115" t="s">
        <v>2784</v>
      </c>
      <c r="BM245" s="115" t="s">
        <v>3244</v>
      </c>
      <c r="BN245" s="115" t="s">
        <v>3244</v>
      </c>
      <c r="BO245" s="2"/>
      <c r="BP245" s="3"/>
      <c r="BQ245" s="3"/>
      <c r="BR245" s="3"/>
      <c r="BS245" s="3"/>
    </row>
    <row r="246" spans="1:71" ht="15">
      <c r="A246" s="66" t="s">
        <v>464</v>
      </c>
      <c r="B246" s="67"/>
      <c r="C246" s="67"/>
      <c r="D246" s="68">
        <v>150</v>
      </c>
      <c r="E246" s="70"/>
      <c r="F246" s="102" t="str">
        <f>HYPERLINK("https://yt3.ggpht.com/ytc/AOPolaRV-fyG2Mn0d1BgW86FmwcY9X1Sf-GIE0inS78qEQ=s88-c-k-c0x00ffffff-no-rj")</f>
        <v>https://yt3.ggpht.com/ytc/AOPolaRV-fyG2Mn0d1BgW86FmwcY9X1Sf-GIE0inS78qEQ=s88-c-k-c0x00ffffff-no-rj</v>
      </c>
      <c r="G246" s="67"/>
      <c r="H246" s="71" t="s">
        <v>1538</v>
      </c>
      <c r="I246" s="72"/>
      <c r="J246" s="72" t="s">
        <v>159</v>
      </c>
      <c r="K246" s="71" t="s">
        <v>1538</v>
      </c>
      <c r="L246" s="75">
        <v>1</v>
      </c>
      <c r="M246" s="76">
        <v>4956.669921875</v>
      </c>
      <c r="N246" s="76">
        <v>3535.5810546875</v>
      </c>
      <c r="O246" s="77"/>
      <c r="P246" s="78"/>
      <c r="Q246" s="78"/>
      <c r="R246" s="88"/>
      <c r="S246" s="49">
        <v>0</v>
      </c>
      <c r="T246" s="49">
        <v>1</v>
      </c>
      <c r="U246" s="50">
        <v>0</v>
      </c>
      <c r="V246" s="50">
        <v>0.135911</v>
      </c>
      <c r="W246" s="50">
        <v>0</v>
      </c>
      <c r="X246" s="50">
        <v>0.00158</v>
      </c>
      <c r="Y246" s="50">
        <v>0</v>
      </c>
      <c r="Z246" s="50">
        <v>0</v>
      </c>
      <c r="AA246" s="73">
        <v>246</v>
      </c>
      <c r="AB246" s="73"/>
      <c r="AC246" s="74"/>
      <c r="AD246" s="81" t="s">
        <v>1538</v>
      </c>
      <c r="AE246" s="81"/>
      <c r="AF246" s="81"/>
      <c r="AG246" s="81"/>
      <c r="AH246" s="81"/>
      <c r="AI246" s="81" t="s">
        <v>2262</v>
      </c>
      <c r="AJ246" s="85">
        <v>41391.94501157408</v>
      </c>
      <c r="AK246" s="83" t="str">
        <f>HYPERLINK("https://yt3.ggpht.com/ytc/AOPolaRV-fyG2Mn0d1BgW86FmwcY9X1Sf-GIE0inS78qEQ=s88-c-k-c0x00ffffff-no-rj")</f>
        <v>https://yt3.ggpht.com/ytc/AOPolaRV-fyG2Mn0d1BgW86FmwcY9X1Sf-GIE0inS78qEQ=s88-c-k-c0x00ffffff-no-rj</v>
      </c>
      <c r="AL246" s="81">
        <v>0</v>
      </c>
      <c r="AM246" s="81">
        <v>0</v>
      </c>
      <c r="AN246" s="81">
        <v>64</v>
      </c>
      <c r="AO246" s="81" t="b">
        <v>0</v>
      </c>
      <c r="AP246" s="81">
        <v>0</v>
      </c>
      <c r="AQ246" s="81"/>
      <c r="AR246" s="81"/>
      <c r="AS246" s="81" t="s">
        <v>2571</v>
      </c>
      <c r="AT246" s="83" t="str">
        <f>HYPERLINK("https://www.youtube.com/channel/UCKTBdGmQqBc7YXzJtybyxRA")</f>
        <v>https://www.youtube.com/channel/UCKTBdGmQqBc7YXzJtybyxRA</v>
      </c>
      <c r="AU246" s="81">
        <v>2</v>
      </c>
      <c r="AV246" s="49">
        <v>1</v>
      </c>
      <c r="AW246" s="50">
        <v>50</v>
      </c>
      <c r="AX246" s="49">
        <v>0</v>
      </c>
      <c r="AY246" s="50">
        <v>0</v>
      </c>
      <c r="AZ246" s="49">
        <v>0</v>
      </c>
      <c r="BA246" s="50">
        <v>0</v>
      </c>
      <c r="BB246" s="49">
        <v>0</v>
      </c>
      <c r="BC246" s="50">
        <v>0</v>
      </c>
      <c r="BD246" s="49">
        <v>2</v>
      </c>
      <c r="BE246" s="49"/>
      <c r="BF246" s="49"/>
      <c r="BG246" s="49"/>
      <c r="BH246" s="49"/>
      <c r="BI246" s="49"/>
      <c r="BJ246" s="49"/>
      <c r="BK246" s="115" t="s">
        <v>2785</v>
      </c>
      <c r="BL246" s="115" t="s">
        <v>2785</v>
      </c>
      <c r="BM246" s="115" t="s">
        <v>4477</v>
      </c>
      <c r="BN246" s="115" t="s">
        <v>4477</v>
      </c>
      <c r="BO246" s="2"/>
      <c r="BP246" s="3"/>
      <c r="BQ246" s="3"/>
      <c r="BR246" s="3"/>
      <c r="BS246" s="3"/>
    </row>
    <row r="247" spans="1:71" ht="15">
      <c r="A247" s="66" t="s">
        <v>758</v>
      </c>
      <c r="B247" s="67"/>
      <c r="C247" s="67"/>
      <c r="D247" s="68">
        <v>1000</v>
      </c>
      <c r="E247" s="70"/>
      <c r="F247" s="102" t="str">
        <f>HYPERLINK("https://yt3.ggpht.com/ytc/AOPolaQ-6bF13qwcXVWJOgbxqZo4yumdTL-9_vL0vJTRiBA=s88-c-k-c0x00ffffff-no-rj")</f>
        <v>https://yt3.ggpht.com/ytc/AOPolaQ-6bF13qwcXVWJOgbxqZo4yumdTL-9_vL0vJTRiBA=s88-c-k-c0x00ffffff-no-rj</v>
      </c>
      <c r="G247" s="67"/>
      <c r="H247" s="71" t="s">
        <v>1894</v>
      </c>
      <c r="I247" s="72"/>
      <c r="J247" s="72" t="s">
        <v>75</v>
      </c>
      <c r="K247" s="71" t="s">
        <v>1894</v>
      </c>
      <c r="L247" s="75">
        <v>5829.070208828972</v>
      </c>
      <c r="M247" s="76">
        <v>3143.7314453125</v>
      </c>
      <c r="N247" s="76">
        <v>2209.284912109375</v>
      </c>
      <c r="O247" s="77"/>
      <c r="P247" s="78"/>
      <c r="Q247" s="78"/>
      <c r="R247" s="88"/>
      <c r="S247" s="49">
        <v>150</v>
      </c>
      <c r="T247" s="49">
        <v>1</v>
      </c>
      <c r="U247" s="50">
        <v>22052</v>
      </c>
      <c r="V247" s="50">
        <v>0.270909</v>
      </c>
      <c r="W247" s="50">
        <v>2E-06</v>
      </c>
      <c r="X247" s="50">
        <v>0.036882</v>
      </c>
      <c r="Y247" s="50">
        <v>0</v>
      </c>
      <c r="Z247" s="50">
        <v>0</v>
      </c>
      <c r="AA247" s="73">
        <v>247</v>
      </c>
      <c r="AB247" s="73"/>
      <c r="AC247" s="74"/>
      <c r="AD247" s="81" t="s">
        <v>1894</v>
      </c>
      <c r="AE247" s="81" t="s">
        <v>1961</v>
      </c>
      <c r="AF247" s="81"/>
      <c r="AG247" s="81"/>
      <c r="AH247" s="81"/>
      <c r="AI247" s="81" t="s">
        <v>2263</v>
      </c>
      <c r="AJ247" s="85">
        <v>39329.79456018518</v>
      </c>
      <c r="AK247" s="83" t="str">
        <f>HYPERLINK("https://yt3.ggpht.com/ytc/AOPolaQ-6bF13qwcXVWJOgbxqZo4yumdTL-9_vL0vJTRiBA=s88-c-k-c0x00ffffff-no-rj")</f>
        <v>https://yt3.ggpht.com/ytc/AOPolaQ-6bF13qwcXVWJOgbxqZo4yumdTL-9_vL0vJTRiBA=s88-c-k-c0x00ffffff-no-rj</v>
      </c>
      <c r="AL247" s="81">
        <v>2065585119</v>
      </c>
      <c r="AM247" s="81">
        <v>0</v>
      </c>
      <c r="AN247" s="81">
        <v>4750000</v>
      </c>
      <c r="AO247" s="81" t="b">
        <v>0</v>
      </c>
      <c r="AP247" s="81">
        <v>31557</v>
      </c>
      <c r="AQ247" s="81"/>
      <c r="AR247" s="81"/>
      <c r="AS247" s="81" t="s">
        <v>2571</v>
      </c>
      <c r="AT247" s="83" t="str">
        <f>HYPERLINK("https://www.youtube.com/channel/UCknLrEdhRCp1aegoMqRaCZg")</f>
        <v>https://www.youtube.com/channel/UCknLrEdhRCp1aegoMqRaCZg</v>
      </c>
      <c r="AU247" s="81">
        <v>2</v>
      </c>
      <c r="AV247" s="49"/>
      <c r="AW247" s="50"/>
      <c r="AX247" s="49"/>
      <c r="AY247" s="50"/>
      <c r="AZ247" s="49"/>
      <c r="BA247" s="50"/>
      <c r="BB247" s="49"/>
      <c r="BC247" s="50"/>
      <c r="BD247" s="49"/>
      <c r="BE247" s="49"/>
      <c r="BF247" s="49"/>
      <c r="BG247" s="49"/>
      <c r="BH247" s="49"/>
      <c r="BI247" s="49"/>
      <c r="BJ247" s="49"/>
      <c r="BK247" s="115" t="s">
        <v>4477</v>
      </c>
      <c r="BL247" s="115" t="s">
        <v>4477</v>
      </c>
      <c r="BM247" s="115" t="s">
        <v>4477</v>
      </c>
      <c r="BN247" s="115" t="s">
        <v>4477</v>
      </c>
      <c r="BO247" s="2"/>
      <c r="BP247" s="3"/>
      <c r="BQ247" s="3"/>
      <c r="BR247" s="3"/>
      <c r="BS247" s="3"/>
    </row>
    <row r="248" spans="1:71" ht="15">
      <c r="A248" s="66" t="s">
        <v>465</v>
      </c>
      <c r="B248" s="67"/>
      <c r="C248" s="67"/>
      <c r="D248" s="68">
        <v>150</v>
      </c>
      <c r="E248" s="70"/>
      <c r="F248" s="102" t="str">
        <f>HYPERLINK("https://yt3.ggpht.com/ytc/AOPolaTJQEOPFLSkB9ObttKkw50rBrgR3rvTYI6No6YgjmI=s88-c-k-c0x00ffffff-no-rj")</f>
        <v>https://yt3.ggpht.com/ytc/AOPolaTJQEOPFLSkB9ObttKkw50rBrgR3rvTYI6No6YgjmI=s88-c-k-c0x00ffffff-no-rj</v>
      </c>
      <c r="G248" s="67"/>
      <c r="H248" s="71" t="s">
        <v>1539</v>
      </c>
      <c r="I248" s="72"/>
      <c r="J248" s="72" t="s">
        <v>159</v>
      </c>
      <c r="K248" s="71" t="s">
        <v>1539</v>
      </c>
      <c r="L248" s="75">
        <v>1</v>
      </c>
      <c r="M248" s="76">
        <v>2533.090576171875</v>
      </c>
      <c r="N248" s="76">
        <v>1118.2276611328125</v>
      </c>
      <c r="O248" s="77"/>
      <c r="P248" s="78"/>
      <c r="Q248" s="78"/>
      <c r="R248" s="88"/>
      <c r="S248" s="49">
        <v>0</v>
      </c>
      <c r="T248" s="49">
        <v>1</v>
      </c>
      <c r="U248" s="50">
        <v>0</v>
      </c>
      <c r="V248" s="50">
        <v>0.135911</v>
      </c>
      <c r="W248" s="50">
        <v>0</v>
      </c>
      <c r="X248" s="50">
        <v>0.00158</v>
      </c>
      <c r="Y248" s="50">
        <v>0</v>
      </c>
      <c r="Z248" s="50">
        <v>0</v>
      </c>
      <c r="AA248" s="73">
        <v>248</v>
      </c>
      <c r="AB248" s="73"/>
      <c r="AC248" s="74"/>
      <c r="AD248" s="81" t="s">
        <v>1539</v>
      </c>
      <c r="AE248" s="81" t="s">
        <v>1962</v>
      </c>
      <c r="AF248" s="81"/>
      <c r="AG248" s="81"/>
      <c r="AH248" s="81"/>
      <c r="AI248" s="81" t="s">
        <v>2264</v>
      </c>
      <c r="AJ248" s="85">
        <v>39030.94180555556</v>
      </c>
      <c r="AK248" s="83" t="str">
        <f>HYPERLINK("https://yt3.ggpht.com/ytc/AOPolaTJQEOPFLSkB9ObttKkw50rBrgR3rvTYI6No6YgjmI=s88-c-k-c0x00ffffff-no-rj")</f>
        <v>https://yt3.ggpht.com/ytc/AOPolaTJQEOPFLSkB9ObttKkw50rBrgR3rvTYI6No6YgjmI=s88-c-k-c0x00ffffff-no-rj</v>
      </c>
      <c r="AL248" s="81">
        <v>9964</v>
      </c>
      <c r="AM248" s="81">
        <v>0</v>
      </c>
      <c r="AN248" s="81">
        <v>16</v>
      </c>
      <c r="AO248" s="81" t="b">
        <v>0</v>
      </c>
      <c r="AP248" s="81">
        <v>24</v>
      </c>
      <c r="AQ248" s="81"/>
      <c r="AR248" s="81"/>
      <c r="AS248" s="81" t="s">
        <v>2571</v>
      </c>
      <c r="AT248" s="83" t="str">
        <f>HYPERLINK("https://www.youtube.com/channel/UCKGhgcGVrjsrJXY9wtbG_sA")</f>
        <v>https://www.youtube.com/channel/UCKGhgcGVrjsrJXY9wtbG_sA</v>
      </c>
      <c r="AU248" s="81">
        <v>2</v>
      </c>
      <c r="AV248" s="49">
        <v>0</v>
      </c>
      <c r="AW248" s="50">
        <v>0</v>
      </c>
      <c r="AX248" s="49">
        <v>1</v>
      </c>
      <c r="AY248" s="50">
        <v>50</v>
      </c>
      <c r="AZ248" s="49">
        <v>0</v>
      </c>
      <c r="BA248" s="50">
        <v>0</v>
      </c>
      <c r="BB248" s="49">
        <v>1</v>
      </c>
      <c r="BC248" s="50">
        <v>50</v>
      </c>
      <c r="BD248" s="49">
        <v>2</v>
      </c>
      <c r="BE248" s="49"/>
      <c r="BF248" s="49"/>
      <c r="BG248" s="49"/>
      <c r="BH248" s="49"/>
      <c r="BI248" s="49"/>
      <c r="BJ248" s="49"/>
      <c r="BK248" s="115" t="s">
        <v>2786</v>
      </c>
      <c r="BL248" s="115" t="s">
        <v>2786</v>
      </c>
      <c r="BM248" s="115" t="s">
        <v>3245</v>
      </c>
      <c r="BN248" s="115" t="s">
        <v>3245</v>
      </c>
      <c r="BO248" s="2"/>
      <c r="BP248" s="3"/>
      <c r="BQ248" s="3"/>
      <c r="BR248" s="3"/>
      <c r="BS248" s="3"/>
    </row>
    <row r="249" spans="1:71" ht="15">
      <c r="A249" s="66" t="s">
        <v>466</v>
      </c>
      <c r="B249" s="67"/>
      <c r="C249" s="67"/>
      <c r="D249" s="68">
        <v>150</v>
      </c>
      <c r="E249" s="70"/>
      <c r="F249" s="102" t="str">
        <f>HYPERLINK("https://yt3.ggpht.com/01251VPi6keLh_WYWBIIHF7vb2cxaKYZLPkI3umB4ebnK7q5_jcx4MLch-W932JWrij6PoCO1w=s88-c-k-c0x00ffffff-no-rj")</f>
        <v>https://yt3.ggpht.com/01251VPi6keLh_WYWBIIHF7vb2cxaKYZLPkI3umB4ebnK7q5_jcx4MLch-W932JWrij6PoCO1w=s88-c-k-c0x00ffffff-no-rj</v>
      </c>
      <c r="G249" s="67"/>
      <c r="H249" s="71" t="s">
        <v>1540</v>
      </c>
      <c r="I249" s="72"/>
      <c r="J249" s="72" t="s">
        <v>159</v>
      </c>
      <c r="K249" s="71" t="s">
        <v>1540</v>
      </c>
      <c r="L249" s="75">
        <v>1</v>
      </c>
      <c r="M249" s="76">
        <v>4633.02099609375</v>
      </c>
      <c r="N249" s="76">
        <v>2569.87548828125</v>
      </c>
      <c r="O249" s="77"/>
      <c r="P249" s="78"/>
      <c r="Q249" s="78"/>
      <c r="R249" s="88"/>
      <c r="S249" s="49">
        <v>0</v>
      </c>
      <c r="T249" s="49">
        <v>1</v>
      </c>
      <c r="U249" s="50">
        <v>0</v>
      </c>
      <c r="V249" s="50">
        <v>0.135911</v>
      </c>
      <c r="W249" s="50">
        <v>0</v>
      </c>
      <c r="X249" s="50">
        <v>0.00158</v>
      </c>
      <c r="Y249" s="50">
        <v>0</v>
      </c>
      <c r="Z249" s="50">
        <v>0</v>
      </c>
      <c r="AA249" s="73">
        <v>249</v>
      </c>
      <c r="AB249" s="73"/>
      <c r="AC249" s="74"/>
      <c r="AD249" s="81" t="s">
        <v>1540</v>
      </c>
      <c r="AE249" s="81" t="s">
        <v>1963</v>
      </c>
      <c r="AF249" s="81"/>
      <c r="AG249" s="81"/>
      <c r="AH249" s="81"/>
      <c r="AI249" s="81" t="s">
        <v>2265</v>
      </c>
      <c r="AJ249" s="85">
        <v>43440.330509259256</v>
      </c>
      <c r="AK249" s="83" t="str">
        <f>HYPERLINK("https://yt3.ggpht.com/01251VPi6keLh_WYWBIIHF7vb2cxaKYZLPkI3umB4ebnK7q5_jcx4MLch-W932JWrij6PoCO1w=s88-c-k-c0x00ffffff-no-rj")</f>
        <v>https://yt3.ggpht.com/01251VPi6keLh_WYWBIIHF7vb2cxaKYZLPkI3umB4ebnK7q5_jcx4MLch-W932JWrij6PoCO1w=s88-c-k-c0x00ffffff-no-rj</v>
      </c>
      <c r="AL249" s="81">
        <v>340</v>
      </c>
      <c r="AM249" s="81">
        <v>0</v>
      </c>
      <c r="AN249" s="81">
        <v>26</v>
      </c>
      <c r="AO249" s="81" t="b">
        <v>0</v>
      </c>
      <c r="AP249" s="81">
        <v>8</v>
      </c>
      <c r="AQ249" s="81"/>
      <c r="AR249" s="81"/>
      <c r="AS249" s="81" t="s">
        <v>2571</v>
      </c>
      <c r="AT249" s="83" t="str">
        <f>HYPERLINK("https://www.youtube.com/channel/UCDtc6LRPWG6BznONo5-2BrA")</f>
        <v>https://www.youtube.com/channel/UCDtc6LRPWG6BznONo5-2BrA</v>
      </c>
      <c r="AU249" s="81">
        <v>2</v>
      </c>
      <c r="AV249" s="49">
        <v>1</v>
      </c>
      <c r="AW249" s="50">
        <v>50</v>
      </c>
      <c r="AX249" s="49">
        <v>0</v>
      </c>
      <c r="AY249" s="50">
        <v>0</v>
      </c>
      <c r="AZ249" s="49">
        <v>0</v>
      </c>
      <c r="BA249" s="50">
        <v>0</v>
      </c>
      <c r="BB249" s="49">
        <v>1</v>
      </c>
      <c r="BC249" s="50">
        <v>50</v>
      </c>
      <c r="BD249" s="49">
        <v>2</v>
      </c>
      <c r="BE249" s="49"/>
      <c r="BF249" s="49"/>
      <c r="BG249" s="49"/>
      <c r="BH249" s="49"/>
      <c r="BI249" s="49"/>
      <c r="BJ249" s="49"/>
      <c r="BK249" s="115" t="s">
        <v>2787</v>
      </c>
      <c r="BL249" s="115" t="s">
        <v>2787</v>
      </c>
      <c r="BM249" s="115" t="s">
        <v>3246</v>
      </c>
      <c r="BN249" s="115" t="s">
        <v>3246</v>
      </c>
      <c r="BO249" s="2"/>
      <c r="BP249" s="3"/>
      <c r="BQ249" s="3"/>
      <c r="BR249" s="3"/>
      <c r="BS249" s="3"/>
    </row>
    <row r="250" spans="1:71" ht="15">
      <c r="A250" s="66" t="s">
        <v>467</v>
      </c>
      <c r="B250" s="67"/>
      <c r="C250" s="67"/>
      <c r="D250" s="68">
        <v>150</v>
      </c>
      <c r="E250" s="70"/>
      <c r="F250" s="102" t="str">
        <f>HYPERLINK("https://yt3.ggpht.com/ytc/AOPolaR2BDAg8_LJg6U4Ge0RU_3sxZyseE0_ENcDLDIa=s88-c-k-c0x00ffffff-no-rj")</f>
        <v>https://yt3.ggpht.com/ytc/AOPolaR2BDAg8_LJg6U4Ge0RU_3sxZyseE0_ENcDLDIa=s88-c-k-c0x00ffffff-no-rj</v>
      </c>
      <c r="G250" s="67"/>
      <c r="H250" s="71" t="s">
        <v>1541</v>
      </c>
      <c r="I250" s="72"/>
      <c r="J250" s="72" t="s">
        <v>159</v>
      </c>
      <c r="K250" s="71" t="s">
        <v>1541</v>
      </c>
      <c r="L250" s="75">
        <v>1</v>
      </c>
      <c r="M250" s="76">
        <v>1761.72607421875</v>
      </c>
      <c r="N250" s="76">
        <v>1025.76416015625</v>
      </c>
      <c r="O250" s="77"/>
      <c r="P250" s="78"/>
      <c r="Q250" s="78"/>
      <c r="R250" s="88"/>
      <c r="S250" s="49">
        <v>0</v>
      </c>
      <c r="T250" s="49">
        <v>1</v>
      </c>
      <c r="U250" s="50">
        <v>0</v>
      </c>
      <c r="V250" s="50">
        <v>0.135911</v>
      </c>
      <c r="W250" s="50">
        <v>0</v>
      </c>
      <c r="X250" s="50">
        <v>0.00158</v>
      </c>
      <c r="Y250" s="50">
        <v>0</v>
      </c>
      <c r="Z250" s="50">
        <v>0</v>
      </c>
      <c r="AA250" s="73">
        <v>250</v>
      </c>
      <c r="AB250" s="73"/>
      <c r="AC250" s="74"/>
      <c r="AD250" s="81" t="s">
        <v>1541</v>
      </c>
      <c r="AE250" s="81"/>
      <c r="AF250" s="81"/>
      <c r="AG250" s="81"/>
      <c r="AH250" s="81"/>
      <c r="AI250" s="81" t="s">
        <v>2266</v>
      </c>
      <c r="AJ250" s="85">
        <v>39871.07844907408</v>
      </c>
      <c r="AK250" s="83" t="str">
        <f>HYPERLINK("https://yt3.ggpht.com/ytc/AOPolaR2BDAg8_LJg6U4Ge0RU_3sxZyseE0_ENcDLDIa=s88-c-k-c0x00ffffff-no-rj")</f>
        <v>https://yt3.ggpht.com/ytc/AOPolaR2BDAg8_LJg6U4Ge0RU_3sxZyseE0_ENcDLDIa=s88-c-k-c0x00ffffff-no-rj</v>
      </c>
      <c r="AL250" s="81">
        <v>63</v>
      </c>
      <c r="AM250" s="81">
        <v>0</v>
      </c>
      <c r="AN250" s="81">
        <v>18</v>
      </c>
      <c r="AO250" s="81" t="b">
        <v>0</v>
      </c>
      <c r="AP250" s="81">
        <v>2</v>
      </c>
      <c r="AQ250" s="81"/>
      <c r="AR250" s="81"/>
      <c r="AS250" s="81" t="s">
        <v>2571</v>
      </c>
      <c r="AT250" s="83" t="str">
        <f>HYPERLINK("https://www.youtube.com/channel/UCFyVBHOSYAkrzkGhEvbkNEQ")</f>
        <v>https://www.youtube.com/channel/UCFyVBHOSYAkrzkGhEvbkNEQ</v>
      </c>
      <c r="AU250" s="81">
        <v>2</v>
      </c>
      <c r="AV250" s="49">
        <v>0</v>
      </c>
      <c r="AW250" s="50">
        <v>0</v>
      </c>
      <c r="AX250" s="49">
        <v>0</v>
      </c>
      <c r="AY250" s="50">
        <v>0</v>
      </c>
      <c r="AZ250" s="49">
        <v>0</v>
      </c>
      <c r="BA250" s="50">
        <v>0</v>
      </c>
      <c r="BB250" s="49">
        <v>2</v>
      </c>
      <c r="BC250" s="50">
        <v>50</v>
      </c>
      <c r="BD250" s="49">
        <v>4</v>
      </c>
      <c r="BE250" s="49"/>
      <c r="BF250" s="49"/>
      <c r="BG250" s="49"/>
      <c r="BH250" s="49"/>
      <c r="BI250" s="49"/>
      <c r="BJ250" s="49"/>
      <c r="BK250" s="115" t="s">
        <v>2788</v>
      </c>
      <c r="BL250" s="115" t="s">
        <v>2788</v>
      </c>
      <c r="BM250" s="115" t="s">
        <v>3247</v>
      </c>
      <c r="BN250" s="115" t="s">
        <v>3247</v>
      </c>
      <c r="BO250" s="2"/>
      <c r="BP250" s="3"/>
      <c r="BQ250" s="3"/>
      <c r="BR250" s="3"/>
      <c r="BS250" s="3"/>
    </row>
    <row r="251" spans="1:71" ht="15">
      <c r="A251" s="66" t="s">
        <v>468</v>
      </c>
      <c r="B251" s="67"/>
      <c r="C251" s="67"/>
      <c r="D251" s="68">
        <v>150</v>
      </c>
      <c r="E251" s="70"/>
      <c r="F251" s="102" t="str">
        <f>HYPERLINK("https://yt3.ggpht.com/ytc/AOPolaQIZJGIuxvbDqjsLQXR8nGNvfX_aCOE5laCk1NjjA67abF6AtV3zUnWa2AmbyiC=s88-c-k-c0x00ffffff-no-rj")</f>
        <v>https://yt3.ggpht.com/ytc/AOPolaQIZJGIuxvbDqjsLQXR8nGNvfX_aCOE5laCk1NjjA67abF6AtV3zUnWa2AmbyiC=s88-c-k-c0x00ffffff-no-rj</v>
      </c>
      <c r="G251" s="67"/>
      <c r="H251" s="71" t="s">
        <v>1542</v>
      </c>
      <c r="I251" s="72"/>
      <c r="J251" s="72" t="s">
        <v>159</v>
      </c>
      <c r="K251" s="71" t="s">
        <v>1542</v>
      </c>
      <c r="L251" s="75">
        <v>1</v>
      </c>
      <c r="M251" s="76">
        <v>3531.857666015625</v>
      </c>
      <c r="N251" s="76">
        <v>143.66378784179688</v>
      </c>
      <c r="O251" s="77"/>
      <c r="P251" s="78"/>
      <c r="Q251" s="78"/>
      <c r="R251" s="88"/>
      <c r="S251" s="49">
        <v>0</v>
      </c>
      <c r="T251" s="49">
        <v>1</v>
      </c>
      <c r="U251" s="50">
        <v>0</v>
      </c>
      <c r="V251" s="50">
        <v>0.135911</v>
      </c>
      <c r="W251" s="50">
        <v>0</v>
      </c>
      <c r="X251" s="50">
        <v>0.00158</v>
      </c>
      <c r="Y251" s="50">
        <v>0</v>
      </c>
      <c r="Z251" s="50">
        <v>0</v>
      </c>
      <c r="AA251" s="73">
        <v>251</v>
      </c>
      <c r="AB251" s="73"/>
      <c r="AC251" s="74"/>
      <c r="AD251" s="81" t="s">
        <v>1542</v>
      </c>
      <c r="AE251" s="81"/>
      <c r="AF251" s="81"/>
      <c r="AG251" s="81"/>
      <c r="AH251" s="81"/>
      <c r="AI251" s="81" t="s">
        <v>2267</v>
      </c>
      <c r="AJ251" s="85">
        <v>44823.14503472222</v>
      </c>
      <c r="AK251" s="83" t="str">
        <f>HYPERLINK("https://yt3.ggpht.com/ytc/AOPolaQIZJGIuxvbDqjsLQXR8nGNvfX_aCOE5laCk1NjjA67abF6AtV3zUnWa2AmbyiC=s88-c-k-c0x00ffffff-no-rj")</f>
        <v>https://yt3.ggpht.com/ytc/AOPolaQIZJGIuxvbDqjsLQXR8nGNvfX_aCOE5laCk1NjjA67abF6AtV3zUnWa2AmbyiC=s88-c-k-c0x00ffffff-no-rj</v>
      </c>
      <c r="AL251" s="81">
        <v>0</v>
      </c>
      <c r="AM251" s="81">
        <v>0</v>
      </c>
      <c r="AN251" s="81">
        <v>0</v>
      </c>
      <c r="AO251" s="81" t="b">
        <v>0</v>
      </c>
      <c r="AP251" s="81">
        <v>0</v>
      </c>
      <c r="AQ251" s="81"/>
      <c r="AR251" s="81"/>
      <c r="AS251" s="81" t="s">
        <v>2571</v>
      </c>
      <c r="AT251" s="83" t="str">
        <f>HYPERLINK("https://www.youtube.com/channel/UCu_BkaIC_61Sr26JlPp7Q8Q")</f>
        <v>https://www.youtube.com/channel/UCu_BkaIC_61Sr26JlPp7Q8Q</v>
      </c>
      <c r="AU251" s="81">
        <v>2</v>
      </c>
      <c r="AV251" s="49">
        <v>2</v>
      </c>
      <c r="AW251" s="50">
        <v>9.523809523809524</v>
      </c>
      <c r="AX251" s="49">
        <v>0</v>
      </c>
      <c r="AY251" s="50">
        <v>0</v>
      </c>
      <c r="AZ251" s="49">
        <v>0</v>
      </c>
      <c r="BA251" s="50">
        <v>0</v>
      </c>
      <c r="BB251" s="49">
        <v>6</v>
      </c>
      <c r="BC251" s="50">
        <v>28.571428571428573</v>
      </c>
      <c r="BD251" s="49">
        <v>21</v>
      </c>
      <c r="BE251" s="49"/>
      <c r="BF251" s="49"/>
      <c r="BG251" s="49"/>
      <c r="BH251" s="49"/>
      <c r="BI251" s="49"/>
      <c r="BJ251" s="49"/>
      <c r="BK251" s="115" t="s">
        <v>2789</v>
      </c>
      <c r="BL251" s="115" t="s">
        <v>2789</v>
      </c>
      <c r="BM251" s="115" t="s">
        <v>3248</v>
      </c>
      <c r="BN251" s="115" t="s">
        <v>3248</v>
      </c>
      <c r="BO251" s="2"/>
      <c r="BP251" s="3"/>
      <c r="BQ251" s="3"/>
      <c r="BR251" s="3"/>
      <c r="BS251" s="3"/>
    </row>
    <row r="252" spans="1:71" ht="15">
      <c r="A252" s="66" t="s">
        <v>469</v>
      </c>
      <c r="B252" s="67"/>
      <c r="C252" s="67"/>
      <c r="D252" s="68">
        <v>150</v>
      </c>
      <c r="E252" s="70"/>
      <c r="F252" s="102" t="str">
        <f>HYPERLINK("https://yt3.ggpht.com/ytc/AOPolaRNwJl8e84LkLwiZ1YBYzG9Cel8ztBhDmXEO--LQg=s88-c-k-c0x00ffffff-no-rj")</f>
        <v>https://yt3.ggpht.com/ytc/AOPolaRNwJl8e84LkLwiZ1YBYzG9Cel8ztBhDmXEO--LQg=s88-c-k-c0x00ffffff-no-rj</v>
      </c>
      <c r="G252" s="67"/>
      <c r="H252" s="71" t="s">
        <v>1543</v>
      </c>
      <c r="I252" s="72"/>
      <c r="J252" s="72" t="s">
        <v>159</v>
      </c>
      <c r="K252" s="71" t="s">
        <v>1543</v>
      </c>
      <c r="L252" s="75">
        <v>1</v>
      </c>
      <c r="M252" s="76">
        <v>5517.57421875</v>
      </c>
      <c r="N252" s="76">
        <v>1041.521240234375</v>
      </c>
      <c r="O252" s="77"/>
      <c r="P252" s="78"/>
      <c r="Q252" s="78"/>
      <c r="R252" s="88"/>
      <c r="S252" s="49">
        <v>0</v>
      </c>
      <c r="T252" s="49">
        <v>1</v>
      </c>
      <c r="U252" s="50">
        <v>0</v>
      </c>
      <c r="V252" s="50">
        <v>0.135911</v>
      </c>
      <c r="W252" s="50">
        <v>0</v>
      </c>
      <c r="X252" s="50">
        <v>0.00158</v>
      </c>
      <c r="Y252" s="50">
        <v>0</v>
      </c>
      <c r="Z252" s="50">
        <v>0</v>
      </c>
      <c r="AA252" s="73">
        <v>252</v>
      </c>
      <c r="AB252" s="73"/>
      <c r="AC252" s="74"/>
      <c r="AD252" s="81" t="s">
        <v>1543</v>
      </c>
      <c r="AE252" s="81"/>
      <c r="AF252" s="81"/>
      <c r="AG252" s="81"/>
      <c r="AH252" s="81"/>
      <c r="AI252" s="81" t="s">
        <v>2268</v>
      </c>
      <c r="AJ252" s="85">
        <v>41298.55474537037</v>
      </c>
      <c r="AK252" s="83" t="str">
        <f>HYPERLINK("https://yt3.ggpht.com/ytc/AOPolaRNwJl8e84LkLwiZ1YBYzG9Cel8ztBhDmXEO--LQg=s88-c-k-c0x00ffffff-no-rj")</f>
        <v>https://yt3.ggpht.com/ytc/AOPolaRNwJl8e84LkLwiZ1YBYzG9Cel8ztBhDmXEO--LQg=s88-c-k-c0x00ffffff-no-rj</v>
      </c>
      <c r="AL252" s="81">
        <v>0</v>
      </c>
      <c r="AM252" s="81">
        <v>0</v>
      </c>
      <c r="AN252" s="81">
        <v>19</v>
      </c>
      <c r="AO252" s="81" t="b">
        <v>0</v>
      </c>
      <c r="AP252" s="81">
        <v>0</v>
      </c>
      <c r="AQ252" s="81"/>
      <c r="AR252" s="81"/>
      <c r="AS252" s="81" t="s">
        <v>2571</v>
      </c>
      <c r="AT252" s="83" t="str">
        <f>HYPERLINK("https://www.youtube.com/channel/UCO0BNEzxeBuFqIwp4AUoIXw")</f>
        <v>https://www.youtube.com/channel/UCO0BNEzxeBuFqIwp4AUoIXw</v>
      </c>
      <c r="AU252" s="81">
        <v>2</v>
      </c>
      <c r="AV252" s="49">
        <v>0</v>
      </c>
      <c r="AW252" s="50">
        <v>0</v>
      </c>
      <c r="AX252" s="49">
        <v>0</v>
      </c>
      <c r="AY252" s="50">
        <v>0</v>
      </c>
      <c r="AZ252" s="49">
        <v>0</v>
      </c>
      <c r="BA252" s="50">
        <v>0</v>
      </c>
      <c r="BB252" s="49">
        <v>4</v>
      </c>
      <c r="BC252" s="50">
        <v>28.571428571428573</v>
      </c>
      <c r="BD252" s="49">
        <v>14</v>
      </c>
      <c r="BE252" s="49"/>
      <c r="BF252" s="49"/>
      <c r="BG252" s="49"/>
      <c r="BH252" s="49"/>
      <c r="BI252" s="49"/>
      <c r="BJ252" s="49"/>
      <c r="BK252" s="115" t="s">
        <v>2790</v>
      </c>
      <c r="BL252" s="115" t="s">
        <v>2790</v>
      </c>
      <c r="BM252" s="115" t="s">
        <v>3249</v>
      </c>
      <c r="BN252" s="115" t="s">
        <v>3249</v>
      </c>
      <c r="BO252" s="2"/>
      <c r="BP252" s="3"/>
      <c r="BQ252" s="3"/>
      <c r="BR252" s="3"/>
      <c r="BS252" s="3"/>
    </row>
    <row r="253" spans="1:71" ht="15">
      <c r="A253" s="66" t="s">
        <v>470</v>
      </c>
      <c r="B253" s="67"/>
      <c r="C253" s="67"/>
      <c r="D253" s="68">
        <v>150</v>
      </c>
      <c r="E253" s="70"/>
      <c r="F253" s="102" t="str">
        <f>HYPERLINK("https://yt3.ggpht.com/ytc/AOPolaS7hQsmZpTQtxn6HaF2eg3H8BC7UtdDSZlrai9HEQ=s88-c-k-c0x00ffffff-no-rj")</f>
        <v>https://yt3.ggpht.com/ytc/AOPolaS7hQsmZpTQtxn6HaF2eg3H8BC7UtdDSZlrai9HEQ=s88-c-k-c0x00ffffff-no-rj</v>
      </c>
      <c r="G253" s="67"/>
      <c r="H253" s="71" t="s">
        <v>1544</v>
      </c>
      <c r="I253" s="72"/>
      <c r="J253" s="72" t="s">
        <v>159</v>
      </c>
      <c r="K253" s="71" t="s">
        <v>1544</v>
      </c>
      <c r="L253" s="75">
        <v>1</v>
      </c>
      <c r="M253" s="76">
        <v>326.3927917480469</v>
      </c>
      <c r="N253" s="76">
        <v>2319.4697265625</v>
      </c>
      <c r="O253" s="77"/>
      <c r="P253" s="78"/>
      <c r="Q253" s="78"/>
      <c r="R253" s="88"/>
      <c r="S253" s="49">
        <v>0</v>
      </c>
      <c r="T253" s="49">
        <v>1</v>
      </c>
      <c r="U253" s="50">
        <v>0</v>
      </c>
      <c r="V253" s="50">
        <v>0.135911</v>
      </c>
      <c r="W253" s="50">
        <v>0</v>
      </c>
      <c r="X253" s="50">
        <v>0.00158</v>
      </c>
      <c r="Y253" s="50">
        <v>0</v>
      </c>
      <c r="Z253" s="50">
        <v>0</v>
      </c>
      <c r="AA253" s="73">
        <v>253</v>
      </c>
      <c r="AB253" s="73"/>
      <c r="AC253" s="74"/>
      <c r="AD253" s="81" t="s">
        <v>1544</v>
      </c>
      <c r="AE253" s="81"/>
      <c r="AF253" s="81"/>
      <c r="AG253" s="81"/>
      <c r="AH253" s="81"/>
      <c r="AI253" s="81" t="s">
        <v>2269</v>
      </c>
      <c r="AJ253" s="85">
        <v>41798.455196759256</v>
      </c>
      <c r="AK253" s="83" t="str">
        <f>HYPERLINK("https://yt3.ggpht.com/ytc/AOPolaS7hQsmZpTQtxn6HaF2eg3H8BC7UtdDSZlrai9HEQ=s88-c-k-c0x00ffffff-no-rj")</f>
        <v>https://yt3.ggpht.com/ytc/AOPolaS7hQsmZpTQtxn6HaF2eg3H8BC7UtdDSZlrai9HEQ=s88-c-k-c0x00ffffff-no-rj</v>
      </c>
      <c r="AL253" s="81">
        <v>0</v>
      </c>
      <c r="AM253" s="81">
        <v>0</v>
      </c>
      <c r="AN253" s="81">
        <v>3</v>
      </c>
      <c r="AO253" s="81" t="b">
        <v>0</v>
      </c>
      <c r="AP253" s="81">
        <v>0</v>
      </c>
      <c r="AQ253" s="81"/>
      <c r="AR253" s="81"/>
      <c r="AS253" s="81" t="s">
        <v>2571</v>
      </c>
      <c r="AT253" s="83" t="str">
        <f>HYPERLINK("https://www.youtube.com/channel/UCTySEEsEqeKxGjkyv8x2Z6g")</f>
        <v>https://www.youtube.com/channel/UCTySEEsEqeKxGjkyv8x2Z6g</v>
      </c>
      <c r="AU253" s="81">
        <v>2</v>
      </c>
      <c r="AV253" s="49">
        <v>2</v>
      </c>
      <c r="AW253" s="50">
        <v>25</v>
      </c>
      <c r="AX253" s="49">
        <v>0</v>
      </c>
      <c r="AY253" s="50">
        <v>0</v>
      </c>
      <c r="AZ253" s="49">
        <v>0</v>
      </c>
      <c r="BA253" s="50">
        <v>0</v>
      </c>
      <c r="BB253" s="49">
        <v>3</v>
      </c>
      <c r="BC253" s="50">
        <v>37.5</v>
      </c>
      <c r="BD253" s="49">
        <v>8</v>
      </c>
      <c r="BE253" s="49"/>
      <c r="BF253" s="49"/>
      <c r="BG253" s="49"/>
      <c r="BH253" s="49"/>
      <c r="BI253" s="49"/>
      <c r="BJ253" s="49"/>
      <c r="BK253" s="115" t="s">
        <v>2791</v>
      </c>
      <c r="BL253" s="115" t="s">
        <v>2791</v>
      </c>
      <c r="BM253" s="115" t="s">
        <v>3250</v>
      </c>
      <c r="BN253" s="115" t="s">
        <v>3250</v>
      </c>
      <c r="BO253" s="2"/>
      <c r="BP253" s="3"/>
      <c r="BQ253" s="3"/>
      <c r="BR253" s="3"/>
      <c r="BS253" s="3"/>
    </row>
    <row r="254" spans="1:71" ht="15">
      <c r="A254" s="66" t="s">
        <v>471</v>
      </c>
      <c r="B254" s="67"/>
      <c r="C254" s="67"/>
      <c r="D254" s="68">
        <v>150</v>
      </c>
      <c r="E254" s="70"/>
      <c r="F254" s="102" t="str">
        <f>HYPERLINK("https://yt3.ggpht.com/rCFRaWLfwQh4C5hYo9w58ICc0f7GKj7Yqwzv7KGQvewVNL45VxMOZ4EjG8UWSF8DIBIZz8vOzQ=s88-c-k-c0x00ffffff-no-rj")</f>
        <v>https://yt3.ggpht.com/rCFRaWLfwQh4C5hYo9w58ICc0f7GKj7Yqwzv7KGQvewVNL45VxMOZ4EjG8UWSF8DIBIZz8vOzQ=s88-c-k-c0x00ffffff-no-rj</v>
      </c>
      <c r="G254" s="67"/>
      <c r="H254" s="71" t="s">
        <v>1545</v>
      </c>
      <c r="I254" s="72"/>
      <c r="J254" s="72" t="s">
        <v>159</v>
      </c>
      <c r="K254" s="71" t="s">
        <v>1545</v>
      </c>
      <c r="L254" s="75">
        <v>1</v>
      </c>
      <c r="M254" s="76">
        <v>3856.240234375</v>
      </c>
      <c r="N254" s="76">
        <v>563.6190795898438</v>
      </c>
      <c r="O254" s="77"/>
      <c r="P254" s="78"/>
      <c r="Q254" s="78"/>
      <c r="R254" s="88"/>
      <c r="S254" s="49">
        <v>0</v>
      </c>
      <c r="T254" s="49">
        <v>1</v>
      </c>
      <c r="U254" s="50">
        <v>0</v>
      </c>
      <c r="V254" s="50">
        <v>0.135911</v>
      </c>
      <c r="W254" s="50">
        <v>0</v>
      </c>
      <c r="X254" s="50">
        <v>0.00158</v>
      </c>
      <c r="Y254" s="50">
        <v>0</v>
      </c>
      <c r="Z254" s="50">
        <v>0</v>
      </c>
      <c r="AA254" s="73">
        <v>254</v>
      </c>
      <c r="AB254" s="73"/>
      <c r="AC254" s="74"/>
      <c r="AD254" s="81" t="s">
        <v>1545</v>
      </c>
      <c r="AE254" s="81" t="s">
        <v>1964</v>
      </c>
      <c r="AF254" s="81"/>
      <c r="AG254" s="81"/>
      <c r="AH254" s="81"/>
      <c r="AI254" s="81" t="s">
        <v>2270</v>
      </c>
      <c r="AJ254" s="85">
        <v>44537.6521875</v>
      </c>
      <c r="AK254" s="83" t="str">
        <f>HYPERLINK("https://yt3.ggpht.com/rCFRaWLfwQh4C5hYo9w58ICc0f7GKj7Yqwzv7KGQvewVNL45VxMOZ4EjG8UWSF8DIBIZz8vOzQ=s88-c-k-c0x00ffffff-no-rj")</f>
        <v>https://yt3.ggpht.com/rCFRaWLfwQh4C5hYo9w58ICc0f7GKj7Yqwzv7KGQvewVNL45VxMOZ4EjG8UWSF8DIBIZz8vOzQ=s88-c-k-c0x00ffffff-no-rj</v>
      </c>
      <c r="AL254" s="81">
        <v>0</v>
      </c>
      <c r="AM254" s="81">
        <v>0</v>
      </c>
      <c r="AN254" s="81">
        <v>2</v>
      </c>
      <c r="AO254" s="81" t="b">
        <v>0</v>
      </c>
      <c r="AP254" s="81">
        <v>0</v>
      </c>
      <c r="AQ254" s="81"/>
      <c r="AR254" s="81"/>
      <c r="AS254" s="81" t="s">
        <v>2571</v>
      </c>
      <c r="AT254" s="83" t="str">
        <f>HYPERLINK("https://www.youtube.com/channel/UCBmWKEEMwlDz1i-HHKJCeMQ")</f>
        <v>https://www.youtube.com/channel/UCBmWKEEMwlDz1i-HHKJCeMQ</v>
      </c>
      <c r="AU254" s="81">
        <v>2</v>
      </c>
      <c r="AV254" s="49">
        <v>0</v>
      </c>
      <c r="AW254" s="50">
        <v>0</v>
      </c>
      <c r="AX254" s="49">
        <v>0</v>
      </c>
      <c r="AY254" s="50">
        <v>0</v>
      </c>
      <c r="AZ254" s="49">
        <v>0</v>
      </c>
      <c r="BA254" s="50">
        <v>0</v>
      </c>
      <c r="BB254" s="49">
        <v>7</v>
      </c>
      <c r="BC254" s="50">
        <v>53.84615384615385</v>
      </c>
      <c r="BD254" s="49">
        <v>13</v>
      </c>
      <c r="BE254" s="49"/>
      <c r="BF254" s="49"/>
      <c r="BG254" s="49"/>
      <c r="BH254" s="49"/>
      <c r="BI254" s="49"/>
      <c r="BJ254" s="49"/>
      <c r="BK254" s="115" t="s">
        <v>2792</v>
      </c>
      <c r="BL254" s="115" t="s">
        <v>2792</v>
      </c>
      <c r="BM254" s="115" t="s">
        <v>3251</v>
      </c>
      <c r="BN254" s="115" t="s">
        <v>3251</v>
      </c>
      <c r="BO254" s="2"/>
      <c r="BP254" s="3"/>
      <c r="BQ254" s="3"/>
      <c r="BR254" s="3"/>
      <c r="BS254" s="3"/>
    </row>
    <row r="255" spans="1:71" ht="15">
      <c r="A255" s="66" t="s">
        <v>472</v>
      </c>
      <c r="B255" s="67"/>
      <c r="C255" s="67"/>
      <c r="D255" s="68">
        <v>150</v>
      </c>
      <c r="E255" s="70"/>
      <c r="F255" s="102" t="str">
        <f>HYPERLINK("https://yt3.ggpht.com/ytc/AOPolaQqzUfB5HDpE7IR4PebGuMqd_N19z8y5eE_0UVDbt3GsM1Pt48jjHJzWazEsjBkl2c=s88-c-k-c0x00ffffff-no-rj")</f>
        <v>https://yt3.ggpht.com/ytc/AOPolaQqzUfB5HDpE7IR4PebGuMqd_N19z8y5eE_0UVDbt3GsM1Pt48jjHJzWazEsjBkl2c=s88-c-k-c0x00ffffff-no-rj</v>
      </c>
      <c r="G255" s="67"/>
      <c r="H255" s="71" t="s">
        <v>1546</v>
      </c>
      <c r="I255" s="72"/>
      <c r="J255" s="72" t="s">
        <v>159</v>
      </c>
      <c r="K255" s="71" t="s">
        <v>1546</v>
      </c>
      <c r="L255" s="75">
        <v>1</v>
      </c>
      <c r="M255" s="76">
        <v>5108.64990234375</v>
      </c>
      <c r="N255" s="76">
        <v>1717.1339111328125</v>
      </c>
      <c r="O255" s="77"/>
      <c r="P255" s="78"/>
      <c r="Q255" s="78"/>
      <c r="R255" s="88"/>
      <c r="S255" s="49">
        <v>0</v>
      </c>
      <c r="T255" s="49">
        <v>1</v>
      </c>
      <c r="U255" s="50">
        <v>0</v>
      </c>
      <c r="V255" s="50">
        <v>0.135911</v>
      </c>
      <c r="W255" s="50">
        <v>0</v>
      </c>
      <c r="X255" s="50">
        <v>0.00158</v>
      </c>
      <c r="Y255" s="50">
        <v>0</v>
      </c>
      <c r="Z255" s="50">
        <v>0</v>
      </c>
      <c r="AA255" s="73">
        <v>255</v>
      </c>
      <c r="AB255" s="73"/>
      <c r="AC255" s="74"/>
      <c r="AD255" s="81" t="s">
        <v>1546</v>
      </c>
      <c r="AE255" s="81"/>
      <c r="AF255" s="81"/>
      <c r="AG255" s="81"/>
      <c r="AH255" s="81"/>
      <c r="AI255" s="81" t="s">
        <v>2271</v>
      </c>
      <c r="AJ255" s="85">
        <v>44062.96163194445</v>
      </c>
      <c r="AK255" s="83" t="str">
        <f>HYPERLINK("https://yt3.ggpht.com/ytc/AOPolaQqzUfB5HDpE7IR4PebGuMqd_N19z8y5eE_0UVDbt3GsM1Pt48jjHJzWazEsjBkl2c=s88-c-k-c0x00ffffff-no-rj")</f>
        <v>https://yt3.ggpht.com/ytc/AOPolaQqzUfB5HDpE7IR4PebGuMqd_N19z8y5eE_0UVDbt3GsM1Pt48jjHJzWazEsjBkl2c=s88-c-k-c0x00ffffff-no-rj</v>
      </c>
      <c r="AL255" s="81">
        <v>0</v>
      </c>
      <c r="AM255" s="81">
        <v>0</v>
      </c>
      <c r="AN255" s="81">
        <v>3</v>
      </c>
      <c r="AO255" s="81" t="b">
        <v>0</v>
      </c>
      <c r="AP255" s="81">
        <v>0</v>
      </c>
      <c r="AQ255" s="81"/>
      <c r="AR255" s="81"/>
      <c r="AS255" s="81" t="s">
        <v>2571</v>
      </c>
      <c r="AT255" s="83" t="str">
        <f>HYPERLINK("https://www.youtube.com/channel/UCesr7dzVRMQZXDhLYOMemdw")</f>
        <v>https://www.youtube.com/channel/UCesr7dzVRMQZXDhLYOMemdw</v>
      </c>
      <c r="AU255" s="81">
        <v>2</v>
      </c>
      <c r="AV255" s="49">
        <v>3</v>
      </c>
      <c r="AW255" s="50">
        <v>42.857142857142854</v>
      </c>
      <c r="AX255" s="49">
        <v>0</v>
      </c>
      <c r="AY255" s="50">
        <v>0</v>
      </c>
      <c r="AZ255" s="49">
        <v>0</v>
      </c>
      <c r="BA255" s="50">
        <v>0</v>
      </c>
      <c r="BB255" s="49">
        <v>3</v>
      </c>
      <c r="BC255" s="50">
        <v>42.857142857142854</v>
      </c>
      <c r="BD255" s="49">
        <v>7</v>
      </c>
      <c r="BE255" s="49"/>
      <c r="BF255" s="49"/>
      <c r="BG255" s="49"/>
      <c r="BH255" s="49"/>
      <c r="BI255" s="49"/>
      <c r="BJ255" s="49"/>
      <c r="BK255" s="115" t="s">
        <v>2793</v>
      </c>
      <c r="BL255" s="115" t="s">
        <v>2793</v>
      </c>
      <c r="BM255" s="115" t="s">
        <v>3252</v>
      </c>
      <c r="BN255" s="115" t="s">
        <v>3252</v>
      </c>
      <c r="BO255" s="2"/>
      <c r="BP255" s="3"/>
      <c r="BQ255" s="3"/>
      <c r="BR255" s="3"/>
      <c r="BS255" s="3"/>
    </row>
    <row r="256" spans="1:71" ht="15">
      <c r="A256" s="66" t="s">
        <v>473</v>
      </c>
      <c r="B256" s="67"/>
      <c r="C256" s="67"/>
      <c r="D256" s="68">
        <v>150</v>
      </c>
      <c r="E256" s="70"/>
      <c r="F256" s="102" t="str">
        <f>HYPERLINK("https://yt3.ggpht.com/ytc/AOPolaSIFgNuEB2WTCog8OAd-Be3NXXeMa3l6Lcanotx=s88-c-k-c0x00ffffff-no-rj")</f>
        <v>https://yt3.ggpht.com/ytc/AOPolaSIFgNuEB2WTCog8OAd-Be3NXXeMa3l6Lcanotx=s88-c-k-c0x00ffffff-no-rj</v>
      </c>
      <c r="G256" s="67"/>
      <c r="H256" s="71" t="s">
        <v>1547</v>
      </c>
      <c r="I256" s="72"/>
      <c r="J256" s="72" t="s">
        <v>159</v>
      </c>
      <c r="K256" s="71" t="s">
        <v>1547</v>
      </c>
      <c r="L256" s="75">
        <v>1</v>
      </c>
      <c r="M256" s="76">
        <v>5463.591796875</v>
      </c>
      <c r="N256" s="76">
        <v>2362.54345703125</v>
      </c>
      <c r="O256" s="77"/>
      <c r="P256" s="78"/>
      <c r="Q256" s="78"/>
      <c r="R256" s="88"/>
      <c r="S256" s="49">
        <v>0</v>
      </c>
      <c r="T256" s="49">
        <v>1</v>
      </c>
      <c r="U256" s="50">
        <v>0</v>
      </c>
      <c r="V256" s="50">
        <v>0.135911</v>
      </c>
      <c r="W256" s="50">
        <v>0</v>
      </c>
      <c r="X256" s="50">
        <v>0.00158</v>
      </c>
      <c r="Y256" s="50">
        <v>0</v>
      </c>
      <c r="Z256" s="50">
        <v>0</v>
      </c>
      <c r="AA256" s="73">
        <v>256</v>
      </c>
      <c r="AB256" s="73"/>
      <c r="AC256" s="74"/>
      <c r="AD256" s="81" t="s">
        <v>1547</v>
      </c>
      <c r="AE256" s="81"/>
      <c r="AF256" s="81"/>
      <c r="AG256" s="81"/>
      <c r="AH256" s="81"/>
      <c r="AI256" s="81" t="s">
        <v>2272</v>
      </c>
      <c r="AJ256" s="85">
        <v>39168.03958333333</v>
      </c>
      <c r="AK256" s="83" t="str">
        <f>HYPERLINK("https://yt3.ggpht.com/ytc/AOPolaSIFgNuEB2WTCog8OAd-Be3NXXeMa3l6Lcanotx=s88-c-k-c0x00ffffff-no-rj")</f>
        <v>https://yt3.ggpht.com/ytc/AOPolaSIFgNuEB2WTCog8OAd-Be3NXXeMa3l6Lcanotx=s88-c-k-c0x00ffffff-no-rj</v>
      </c>
      <c r="AL256" s="81">
        <v>0</v>
      </c>
      <c r="AM256" s="81">
        <v>0</v>
      </c>
      <c r="AN256" s="81">
        <v>17</v>
      </c>
      <c r="AO256" s="81" t="b">
        <v>0</v>
      </c>
      <c r="AP256" s="81">
        <v>0</v>
      </c>
      <c r="AQ256" s="81"/>
      <c r="AR256" s="81"/>
      <c r="AS256" s="81" t="s">
        <v>2571</v>
      </c>
      <c r="AT256" s="83" t="str">
        <f>HYPERLINK("https://www.youtube.com/channel/UCiksh6zhhprJ_1IrsSVhQkw")</f>
        <v>https://www.youtube.com/channel/UCiksh6zhhprJ_1IrsSVhQkw</v>
      </c>
      <c r="AU256" s="81">
        <v>2</v>
      </c>
      <c r="AV256" s="49">
        <v>0</v>
      </c>
      <c r="AW256" s="50">
        <v>0</v>
      </c>
      <c r="AX256" s="49">
        <v>1</v>
      </c>
      <c r="AY256" s="50">
        <v>25</v>
      </c>
      <c r="AZ256" s="49">
        <v>0</v>
      </c>
      <c r="BA256" s="50">
        <v>0</v>
      </c>
      <c r="BB256" s="49">
        <v>2</v>
      </c>
      <c r="BC256" s="50">
        <v>50</v>
      </c>
      <c r="BD256" s="49">
        <v>4</v>
      </c>
      <c r="BE256" s="49"/>
      <c r="BF256" s="49"/>
      <c r="BG256" s="49"/>
      <c r="BH256" s="49"/>
      <c r="BI256" s="49"/>
      <c r="BJ256" s="49"/>
      <c r="BK256" s="115" t="s">
        <v>2794</v>
      </c>
      <c r="BL256" s="115" t="s">
        <v>2794</v>
      </c>
      <c r="BM256" s="115" t="s">
        <v>3253</v>
      </c>
      <c r="BN256" s="115" t="s">
        <v>3253</v>
      </c>
      <c r="BO256" s="2"/>
      <c r="BP256" s="3"/>
      <c r="BQ256" s="3"/>
      <c r="BR256" s="3"/>
      <c r="BS256" s="3"/>
    </row>
    <row r="257" spans="1:71" ht="15">
      <c r="A257" s="66" t="s">
        <v>474</v>
      </c>
      <c r="B257" s="67"/>
      <c r="C257" s="67"/>
      <c r="D257" s="68">
        <v>150</v>
      </c>
      <c r="E257" s="70"/>
      <c r="F257" s="102" t="str">
        <f>HYPERLINK("https://yt3.ggpht.com/ytc/AOPolaQ_sgXlV9emuJUqZkWIgzXAaqXmsxXsrC9PNWP-fg=s88-c-k-c0x00ffffff-no-rj")</f>
        <v>https://yt3.ggpht.com/ytc/AOPolaQ_sgXlV9emuJUqZkWIgzXAaqXmsxXsrC9PNWP-fg=s88-c-k-c0x00ffffff-no-rj</v>
      </c>
      <c r="G257" s="67"/>
      <c r="H257" s="71" t="s">
        <v>1548</v>
      </c>
      <c r="I257" s="72"/>
      <c r="J257" s="72" t="s">
        <v>159</v>
      </c>
      <c r="K257" s="71" t="s">
        <v>1548</v>
      </c>
      <c r="L257" s="75">
        <v>1</v>
      </c>
      <c r="M257" s="76">
        <v>3882.088623046875</v>
      </c>
      <c r="N257" s="76">
        <v>1782.0474853515625</v>
      </c>
      <c r="O257" s="77"/>
      <c r="P257" s="78"/>
      <c r="Q257" s="78"/>
      <c r="R257" s="88"/>
      <c r="S257" s="49">
        <v>0</v>
      </c>
      <c r="T257" s="49">
        <v>1</v>
      </c>
      <c r="U257" s="50">
        <v>0</v>
      </c>
      <c r="V257" s="50">
        <v>0.135911</v>
      </c>
      <c r="W257" s="50">
        <v>0</v>
      </c>
      <c r="X257" s="50">
        <v>0.00158</v>
      </c>
      <c r="Y257" s="50">
        <v>0</v>
      </c>
      <c r="Z257" s="50">
        <v>0</v>
      </c>
      <c r="AA257" s="73">
        <v>257</v>
      </c>
      <c r="AB257" s="73"/>
      <c r="AC257" s="74"/>
      <c r="AD257" s="81" t="s">
        <v>1548</v>
      </c>
      <c r="AE257" s="81" t="s">
        <v>1965</v>
      </c>
      <c r="AF257" s="81"/>
      <c r="AG257" s="81"/>
      <c r="AH257" s="81"/>
      <c r="AI257" s="81" t="s">
        <v>2273</v>
      </c>
      <c r="AJ257" s="85">
        <v>40794.199537037035</v>
      </c>
      <c r="AK257" s="83" t="str">
        <f>HYPERLINK("https://yt3.ggpht.com/ytc/AOPolaQ_sgXlV9emuJUqZkWIgzXAaqXmsxXsrC9PNWP-fg=s88-c-k-c0x00ffffff-no-rj")</f>
        <v>https://yt3.ggpht.com/ytc/AOPolaQ_sgXlV9emuJUqZkWIgzXAaqXmsxXsrC9PNWP-fg=s88-c-k-c0x00ffffff-no-rj</v>
      </c>
      <c r="AL257" s="81">
        <v>378305</v>
      </c>
      <c r="AM257" s="81">
        <v>0</v>
      </c>
      <c r="AN257" s="81">
        <v>921</v>
      </c>
      <c r="AO257" s="81" t="b">
        <v>0</v>
      </c>
      <c r="AP257" s="81">
        <v>72</v>
      </c>
      <c r="AQ257" s="81"/>
      <c r="AR257" s="81"/>
      <c r="AS257" s="81" t="s">
        <v>2571</v>
      </c>
      <c r="AT257" s="83" t="str">
        <f>HYPERLINK("https://www.youtube.com/channel/UCgmhQcKZZmrmT6Iyo-q_TqQ")</f>
        <v>https://www.youtube.com/channel/UCgmhQcKZZmrmT6Iyo-q_TqQ</v>
      </c>
      <c r="AU257" s="81">
        <v>2</v>
      </c>
      <c r="AV257" s="49">
        <v>0</v>
      </c>
      <c r="AW257" s="50">
        <v>0</v>
      </c>
      <c r="AX257" s="49">
        <v>1</v>
      </c>
      <c r="AY257" s="50">
        <v>20</v>
      </c>
      <c r="AZ257" s="49">
        <v>0</v>
      </c>
      <c r="BA257" s="50">
        <v>0</v>
      </c>
      <c r="BB257" s="49">
        <v>0</v>
      </c>
      <c r="BC257" s="50">
        <v>0</v>
      </c>
      <c r="BD257" s="49">
        <v>5</v>
      </c>
      <c r="BE257" s="49"/>
      <c r="BF257" s="49"/>
      <c r="BG257" s="49"/>
      <c r="BH257" s="49"/>
      <c r="BI257" s="49"/>
      <c r="BJ257" s="49"/>
      <c r="BK257" s="115" t="s">
        <v>2795</v>
      </c>
      <c r="BL257" s="115" t="s">
        <v>2795</v>
      </c>
      <c r="BM257" s="115" t="s">
        <v>4477</v>
      </c>
      <c r="BN257" s="115" t="s">
        <v>4477</v>
      </c>
      <c r="BO257" s="2"/>
      <c r="BP257" s="3"/>
      <c r="BQ257" s="3"/>
      <c r="BR257" s="3"/>
      <c r="BS257" s="3"/>
    </row>
    <row r="258" spans="1:71" ht="15">
      <c r="A258" s="66" t="s">
        <v>475</v>
      </c>
      <c r="B258" s="67"/>
      <c r="C258" s="67"/>
      <c r="D258" s="68">
        <v>150</v>
      </c>
      <c r="E258" s="70"/>
      <c r="F258" s="102" t="str">
        <f>HYPERLINK("https://yt3.ggpht.com/ytc/AOPolaRL-O10huFcfGYLTD5olIh8L_psKKyne84nUg=s88-c-k-c0x00ffffff-no-rj")</f>
        <v>https://yt3.ggpht.com/ytc/AOPolaRL-O10huFcfGYLTD5olIh8L_psKKyne84nUg=s88-c-k-c0x00ffffff-no-rj</v>
      </c>
      <c r="G258" s="67"/>
      <c r="H258" s="71" t="s">
        <v>1549</v>
      </c>
      <c r="I258" s="72"/>
      <c r="J258" s="72" t="s">
        <v>159</v>
      </c>
      <c r="K258" s="71" t="s">
        <v>1549</v>
      </c>
      <c r="L258" s="75">
        <v>1</v>
      </c>
      <c r="M258" s="76">
        <v>2189.1953125</v>
      </c>
      <c r="N258" s="76">
        <v>4059.124755859375</v>
      </c>
      <c r="O258" s="77"/>
      <c r="P258" s="78"/>
      <c r="Q258" s="78"/>
      <c r="R258" s="88"/>
      <c r="S258" s="49">
        <v>0</v>
      </c>
      <c r="T258" s="49">
        <v>1</v>
      </c>
      <c r="U258" s="50">
        <v>0</v>
      </c>
      <c r="V258" s="50">
        <v>0.135911</v>
      </c>
      <c r="W258" s="50">
        <v>0</v>
      </c>
      <c r="X258" s="50">
        <v>0.00158</v>
      </c>
      <c r="Y258" s="50">
        <v>0</v>
      </c>
      <c r="Z258" s="50">
        <v>0</v>
      </c>
      <c r="AA258" s="73">
        <v>258</v>
      </c>
      <c r="AB258" s="73"/>
      <c r="AC258" s="74"/>
      <c r="AD258" s="81" t="s">
        <v>1549</v>
      </c>
      <c r="AE258" s="81"/>
      <c r="AF258" s="81"/>
      <c r="AG258" s="81"/>
      <c r="AH258" s="81"/>
      <c r="AI258" s="81" t="s">
        <v>2274</v>
      </c>
      <c r="AJ258" s="85">
        <v>40766.41349537037</v>
      </c>
      <c r="AK258" s="83" t="str">
        <f>HYPERLINK("https://yt3.ggpht.com/ytc/AOPolaRL-O10huFcfGYLTD5olIh8L_psKKyne84nUg=s88-c-k-c0x00ffffff-no-rj")</f>
        <v>https://yt3.ggpht.com/ytc/AOPolaRL-O10huFcfGYLTD5olIh8L_psKKyne84nUg=s88-c-k-c0x00ffffff-no-rj</v>
      </c>
      <c r="AL258" s="81">
        <v>0</v>
      </c>
      <c r="AM258" s="81">
        <v>0</v>
      </c>
      <c r="AN258" s="81">
        <v>3</v>
      </c>
      <c r="AO258" s="81" t="b">
        <v>0</v>
      </c>
      <c r="AP258" s="81">
        <v>0</v>
      </c>
      <c r="AQ258" s="81"/>
      <c r="AR258" s="81"/>
      <c r="AS258" s="81" t="s">
        <v>2571</v>
      </c>
      <c r="AT258" s="83" t="str">
        <f>HYPERLINK("https://www.youtube.com/channel/UC8cuBSCHjs5hqSd8oot3oOw")</f>
        <v>https://www.youtube.com/channel/UC8cuBSCHjs5hqSd8oot3oOw</v>
      </c>
      <c r="AU258" s="81">
        <v>2</v>
      </c>
      <c r="AV258" s="49">
        <v>0</v>
      </c>
      <c r="AW258" s="50">
        <v>0</v>
      </c>
      <c r="AX258" s="49">
        <v>0</v>
      </c>
      <c r="AY258" s="50">
        <v>0</v>
      </c>
      <c r="AZ258" s="49">
        <v>0</v>
      </c>
      <c r="BA258" s="50">
        <v>0</v>
      </c>
      <c r="BB258" s="49">
        <v>0</v>
      </c>
      <c r="BC258" s="50">
        <v>0</v>
      </c>
      <c r="BD258" s="49">
        <v>4</v>
      </c>
      <c r="BE258" s="49"/>
      <c r="BF258" s="49"/>
      <c r="BG258" s="49"/>
      <c r="BH258" s="49"/>
      <c r="BI258" s="49"/>
      <c r="BJ258" s="49"/>
      <c r="BK258" s="115" t="s">
        <v>4477</v>
      </c>
      <c r="BL258" s="115" t="s">
        <v>4477</v>
      </c>
      <c r="BM258" s="115" t="s">
        <v>4477</v>
      </c>
      <c r="BN258" s="115" t="s">
        <v>4477</v>
      </c>
      <c r="BO258" s="2"/>
      <c r="BP258" s="3"/>
      <c r="BQ258" s="3"/>
      <c r="BR258" s="3"/>
      <c r="BS258" s="3"/>
    </row>
    <row r="259" spans="1:71" ht="15">
      <c r="A259" s="66" t="s">
        <v>476</v>
      </c>
      <c r="B259" s="67"/>
      <c r="C259" s="67"/>
      <c r="D259" s="68">
        <v>150</v>
      </c>
      <c r="E259" s="70"/>
      <c r="F259" s="102" t="str">
        <f>HYPERLINK("https://yt3.ggpht.com/ytc/AOPolaTP0c2jg83YMhDq1leaT5UDQ1b_8QxBMe7kh0RU=s88-c-k-c0x00ffffff-no-rj")</f>
        <v>https://yt3.ggpht.com/ytc/AOPolaTP0c2jg83YMhDq1leaT5UDQ1b_8QxBMe7kh0RU=s88-c-k-c0x00ffffff-no-rj</v>
      </c>
      <c r="G259" s="67"/>
      <c r="H259" s="71" t="s">
        <v>1550</v>
      </c>
      <c r="I259" s="72"/>
      <c r="J259" s="72" t="s">
        <v>159</v>
      </c>
      <c r="K259" s="71" t="s">
        <v>1550</v>
      </c>
      <c r="L259" s="75">
        <v>1</v>
      </c>
      <c r="M259" s="76">
        <v>4315.08447265625</v>
      </c>
      <c r="N259" s="76">
        <v>3622.281982421875</v>
      </c>
      <c r="O259" s="77"/>
      <c r="P259" s="78"/>
      <c r="Q259" s="78"/>
      <c r="R259" s="88"/>
      <c r="S259" s="49">
        <v>0</v>
      </c>
      <c r="T259" s="49">
        <v>1</v>
      </c>
      <c r="U259" s="50">
        <v>0</v>
      </c>
      <c r="V259" s="50">
        <v>0.135911</v>
      </c>
      <c r="W259" s="50">
        <v>0</v>
      </c>
      <c r="X259" s="50">
        <v>0.00158</v>
      </c>
      <c r="Y259" s="50">
        <v>0</v>
      </c>
      <c r="Z259" s="50">
        <v>0</v>
      </c>
      <c r="AA259" s="73">
        <v>259</v>
      </c>
      <c r="AB259" s="73"/>
      <c r="AC259" s="74"/>
      <c r="AD259" s="81" t="s">
        <v>1550</v>
      </c>
      <c r="AE259" s="81"/>
      <c r="AF259" s="81"/>
      <c r="AG259" s="81"/>
      <c r="AH259" s="81"/>
      <c r="AI259" s="81" t="s">
        <v>2275</v>
      </c>
      <c r="AJ259" s="85">
        <v>44238.6312962963</v>
      </c>
      <c r="AK259" s="83" t="str">
        <f>HYPERLINK("https://yt3.ggpht.com/ytc/AOPolaTP0c2jg83YMhDq1leaT5UDQ1b_8QxBMe7kh0RU=s88-c-k-c0x00ffffff-no-rj")</f>
        <v>https://yt3.ggpht.com/ytc/AOPolaTP0c2jg83YMhDq1leaT5UDQ1b_8QxBMe7kh0RU=s88-c-k-c0x00ffffff-no-rj</v>
      </c>
      <c r="AL259" s="81">
        <v>0</v>
      </c>
      <c r="AM259" s="81">
        <v>0</v>
      </c>
      <c r="AN259" s="81">
        <v>16</v>
      </c>
      <c r="AO259" s="81" t="b">
        <v>0</v>
      </c>
      <c r="AP259" s="81">
        <v>0</v>
      </c>
      <c r="AQ259" s="81"/>
      <c r="AR259" s="81"/>
      <c r="AS259" s="81" t="s">
        <v>2571</v>
      </c>
      <c r="AT259" s="83" t="str">
        <f>HYPERLINK("https://www.youtube.com/channel/UCU9uc1YB8hLQ91tsDw4o_Hg")</f>
        <v>https://www.youtube.com/channel/UCU9uc1YB8hLQ91tsDw4o_Hg</v>
      </c>
      <c r="AU259" s="81">
        <v>2</v>
      </c>
      <c r="AV259" s="49">
        <v>2</v>
      </c>
      <c r="AW259" s="50">
        <v>18.181818181818183</v>
      </c>
      <c r="AX259" s="49">
        <v>0</v>
      </c>
      <c r="AY259" s="50">
        <v>0</v>
      </c>
      <c r="AZ259" s="49">
        <v>0</v>
      </c>
      <c r="BA259" s="50">
        <v>0</v>
      </c>
      <c r="BB259" s="49">
        <v>3</v>
      </c>
      <c r="BC259" s="50">
        <v>27.272727272727273</v>
      </c>
      <c r="BD259" s="49">
        <v>11</v>
      </c>
      <c r="BE259" s="49"/>
      <c r="BF259" s="49"/>
      <c r="BG259" s="49"/>
      <c r="BH259" s="49"/>
      <c r="BI259" s="49"/>
      <c r="BJ259" s="49"/>
      <c r="BK259" s="115" t="s">
        <v>2796</v>
      </c>
      <c r="BL259" s="115" t="s">
        <v>2796</v>
      </c>
      <c r="BM259" s="115" t="s">
        <v>3254</v>
      </c>
      <c r="BN259" s="115" t="s">
        <v>3254</v>
      </c>
      <c r="BO259" s="2"/>
      <c r="BP259" s="3"/>
      <c r="BQ259" s="3"/>
      <c r="BR259" s="3"/>
      <c r="BS259" s="3"/>
    </row>
    <row r="260" spans="1:71" ht="15">
      <c r="A260" s="66" t="s">
        <v>477</v>
      </c>
      <c r="B260" s="67"/>
      <c r="C260" s="67"/>
      <c r="D260" s="68">
        <v>150</v>
      </c>
      <c r="E260" s="70"/>
      <c r="F260" s="102" t="str">
        <f>HYPERLINK("https://yt3.ggpht.com/ytc/AOPolaQx-jZVoEkesZYC9RW1LuUhLS5EnoDF-ENfbT_VMA=s88-c-k-c0x00ffffff-no-rj")</f>
        <v>https://yt3.ggpht.com/ytc/AOPolaQx-jZVoEkesZYC9RW1LuUhLS5EnoDF-ENfbT_VMA=s88-c-k-c0x00ffffff-no-rj</v>
      </c>
      <c r="G260" s="67"/>
      <c r="H260" s="71" t="s">
        <v>1551</v>
      </c>
      <c r="I260" s="72"/>
      <c r="J260" s="72" t="s">
        <v>159</v>
      </c>
      <c r="K260" s="71" t="s">
        <v>1551</v>
      </c>
      <c r="L260" s="75">
        <v>1</v>
      </c>
      <c r="M260" s="76">
        <v>1571.2635498046875</v>
      </c>
      <c r="N260" s="76">
        <v>2409.242919921875</v>
      </c>
      <c r="O260" s="77"/>
      <c r="P260" s="78"/>
      <c r="Q260" s="78"/>
      <c r="R260" s="88"/>
      <c r="S260" s="49">
        <v>0</v>
      </c>
      <c r="T260" s="49">
        <v>1</v>
      </c>
      <c r="U260" s="50">
        <v>0</v>
      </c>
      <c r="V260" s="50">
        <v>0.135911</v>
      </c>
      <c r="W260" s="50">
        <v>0</v>
      </c>
      <c r="X260" s="50">
        <v>0.00158</v>
      </c>
      <c r="Y260" s="50">
        <v>0</v>
      </c>
      <c r="Z260" s="50">
        <v>0</v>
      </c>
      <c r="AA260" s="73">
        <v>260</v>
      </c>
      <c r="AB260" s="73"/>
      <c r="AC260" s="74"/>
      <c r="AD260" s="81" t="s">
        <v>1551</v>
      </c>
      <c r="AE260" s="81" t="s">
        <v>1966</v>
      </c>
      <c r="AF260" s="81"/>
      <c r="AG260" s="81"/>
      <c r="AH260" s="81"/>
      <c r="AI260" s="81" t="s">
        <v>2276</v>
      </c>
      <c r="AJ260" s="85">
        <v>39913.24454861111</v>
      </c>
      <c r="AK260" s="83" t="str">
        <f>HYPERLINK("https://yt3.ggpht.com/ytc/AOPolaQx-jZVoEkesZYC9RW1LuUhLS5EnoDF-ENfbT_VMA=s88-c-k-c0x00ffffff-no-rj")</f>
        <v>https://yt3.ggpht.com/ytc/AOPolaQx-jZVoEkesZYC9RW1LuUhLS5EnoDF-ENfbT_VMA=s88-c-k-c0x00ffffff-no-rj</v>
      </c>
      <c r="AL260" s="81">
        <v>0</v>
      </c>
      <c r="AM260" s="81">
        <v>0</v>
      </c>
      <c r="AN260" s="81">
        <v>28</v>
      </c>
      <c r="AO260" s="81" t="b">
        <v>0</v>
      </c>
      <c r="AP260" s="81">
        <v>0</v>
      </c>
      <c r="AQ260" s="81"/>
      <c r="AR260" s="81"/>
      <c r="AS260" s="81" t="s">
        <v>2571</v>
      </c>
      <c r="AT260" s="83" t="str">
        <f>HYPERLINK("https://www.youtube.com/channel/UCLaiDqRG0JKXYvcSmQDVsvQ")</f>
        <v>https://www.youtube.com/channel/UCLaiDqRG0JKXYvcSmQDVsvQ</v>
      </c>
      <c r="AU260" s="81">
        <v>2</v>
      </c>
      <c r="AV260" s="49">
        <v>2</v>
      </c>
      <c r="AW260" s="50">
        <v>4.3478260869565215</v>
      </c>
      <c r="AX260" s="49">
        <v>1</v>
      </c>
      <c r="AY260" s="50">
        <v>2.1739130434782608</v>
      </c>
      <c r="AZ260" s="49">
        <v>0</v>
      </c>
      <c r="BA260" s="50">
        <v>0</v>
      </c>
      <c r="BB260" s="49">
        <v>16</v>
      </c>
      <c r="BC260" s="50">
        <v>34.78260869565217</v>
      </c>
      <c r="BD260" s="49">
        <v>46</v>
      </c>
      <c r="BE260" s="49"/>
      <c r="BF260" s="49"/>
      <c r="BG260" s="49"/>
      <c r="BH260" s="49"/>
      <c r="BI260" s="49"/>
      <c r="BJ260" s="49"/>
      <c r="BK260" s="115" t="s">
        <v>2797</v>
      </c>
      <c r="BL260" s="115" t="s">
        <v>2797</v>
      </c>
      <c r="BM260" s="115" t="s">
        <v>3255</v>
      </c>
      <c r="BN260" s="115" t="s">
        <v>3255</v>
      </c>
      <c r="BO260" s="2"/>
      <c r="BP260" s="3"/>
      <c r="BQ260" s="3"/>
      <c r="BR260" s="3"/>
      <c r="BS260" s="3"/>
    </row>
    <row r="261" spans="1:71" ht="15">
      <c r="A261" s="66" t="s">
        <v>478</v>
      </c>
      <c r="B261" s="67"/>
      <c r="C261" s="67"/>
      <c r="D261" s="68">
        <v>150</v>
      </c>
      <c r="E261" s="70"/>
      <c r="F261" s="102" t="str">
        <f>HYPERLINK("https://yt3.ggpht.com/ytc/AOPolaQM49ARrCGK1rnrSgd54nNE9FmcxWrP3Sqs3xIs6g=s88-c-k-c0x00ffffff-no-rj")</f>
        <v>https://yt3.ggpht.com/ytc/AOPolaQM49ARrCGK1rnrSgd54nNE9FmcxWrP3Sqs3xIs6g=s88-c-k-c0x00ffffff-no-rj</v>
      </c>
      <c r="G261" s="67"/>
      <c r="H261" s="71" t="s">
        <v>1529</v>
      </c>
      <c r="I261" s="72"/>
      <c r="J261" s="72" t="s">
        <v>159</v>
      </c>
      <c r="K261" s="71" t="s">
        <v>1529</v>
      </c>
      <c r="L261" s="75">
        <v>1</v>
      </c>
      <c r="M261" s="76">
        <v>471.1751708984375</v>
      </c>
      <c r="N261" s="76">
        <v>1342.697021484375</v>
      </c>
      <c r="O261" s="77"/>
      <c r="P261" s="78"/>
      <c r="Q261" s="78"/>
      <c r="R261" s="88"/>
      <c r="S261" s="49">
        <v>0</v>
      </c>
      <c r="T261" s="49">
        <v>1</v>
      </c>
      <c r="U261" s="50">
        <v>0</v>
      </c>
      <c r="V261" s="50">
        <v>0.135911</v>
      </c>
      <c r="W261" s="50">
        <v>0</v>
      </c>
      <c r="X261" s="50">
        <v>0.00158</v>
      </c>
      <c r="Y261" s="50">
        <v>0</v>
      </c>
      <c r="Z261" s="50">
        <v>0</v>
      </c>
      <c r="AA261" s="73">
        <v>261</v>
      </c>
      <c r="AB261" s="73"/>
      <c r="AC261" s="74"/>
      <c r="AD261" s="81" t="s">
        <v>1529</v>
      </c>
      <c r="AE261" s="81"/>
      <c r="AF261" s="81"/>
      <c r="AG261" s="81"/>
      <c r="AH261" s="81"/>
      <c r="AI261" s="81" t="s">
        <v>2277</v>
      </c>
      <c r="AJ261" s="85">
        <v>41457.521944444445</v>
      </c>
      <c r="AK261" s="83" t="str">
        <f>HYPERLINK("https://yt3.ggpht.com/ytc/AOPolaQM49ARrCGK1rnrSgd54nNE9FmcxWrP3Sqs3xIs6g=s88-c-k-c0x00ffffff-no-rj")</f>
        <v>https://yt3.ggpht.com/ytc/AOPolaQM49ARrCGK1rnrSgd54nNE9FmcxWrP3Sqs3xIs6g=s88-c-k-c0x00ffffff-no-rj</v>
      </c>
      <c r="AL261" s="81">
        <v>292</v>
      </c>
      <c r="AM261" s="81">
        <v>0</v>
      </c>
      <c r="AN261" s="81">
        <v>33</v>
      </c>
      <c r="AO261" s="81" t="b">
        <v>0</v>
      </c>
      <c r="AP261" s="81">
        <v>2</v>
      </c>
      <c r="AQ261" s="81"/>
      <c r="AR261" s="81"/>
      <c r="AS261" s="81" t="s">
        <v>2571</v>
      </c>
      <c r="AT261" s="83" t="str">
        <f>HYPERLINK("https://www.youtube.com/channel/UCqCznLnYsBtWdjHdjci_gmg")</f>
        <v>https://www.youtube.com/channel/UCqCznLnYsBtWdjHdjci_gmg</v>
      </c>
      <c r="AU261" s="81">
        <v>2</v>
      </c>
      <c r="AV261" s="49">
        <v>1</v>
      </c>
      <c r="AW261" s="50">
        <v>6.25</v>
      </c>
      <c r="AX261" s="49">
        <v>0</v>
      </c>
      <c r="AY261" s="50">
        <v>0</v>
      </c>
      <c r="AZ261" s="49">
        <v>0</v>
      </c>
      <c r="BA261" s="50">
        <v>0</v>
      </c>
      <c r="BB261" s="49">
        <v>9</v>
      </c>
      <c r="BC261" s="50">
        <v>56.25</v>
      </c>
      <c r="BD261" s="49">
        <v>16</v>
      </c>
      <c r="BE261" s="49"/>
      <c r="BF261" s="49"/>
      <c r="BG261" s="49"/>
      <c r="BH261" s="49"/>
      <c r="BI261" s="49"/>
      <c r="BJ261" s="49"/>
      <c r="BK261" s="115" t="s">
        <v>2798</v>
      </c>
      <c r="BL261" s="115" t="s">
        <v>2798</v>
      </c>
      <c r="BM261" s="115" t="s">
        <v>3256</v>
      </c>
      <c r="BN261" s="115" t="s">
        <v>3256</v>
      </c>
      <c r="BO261" s="2"/>
      <c r="BP261" s="3"/>
      <c r="BQ261" s="3"/>
      <c r="BR261" s="3"/>
      <c r="BS261" s="3"/>
    </row>
    <row r="262" spans="1:71" ht="15">
      <c r="A262" s="66" t="s">
        <v>479</v>
      </c>
      <c r="B262" s="67"/>
      <c r="C262" s="67"/>
      <c r="D262" s="68">
        <v>150</v>
      </c>
      <c r="E262" s="70"/>
      <c r="F262" s="102" t="str">
        <f>HYPERLINK("https://yt3.ggpht.com/80K0l17dJnG63z_oMZu6XUdzN0wKzTkUyK-wx5ZK5OdNPtKjwWmmiOSJ9qi5lYd4kxhpCykg=s88-c-k-c0x00ffffff-no-rj")</f>
        <v>https://yt3.ggpht.com/80K0l17dJnG63z_oMZu6XUdzN0wKzTkUyK-wx5ZK5OdNPtKjwWmmiOSJ9qi5lYd4kxhpCykg=s88-c-k-c0x00ffffff-no-rj</v>
      </c>
      <c r="G262" s="67"/>
      <c r="H262" s="71" t="s">
        <v>1552</v>
      </c>
      <c r="I262" s="72"/>
      <c r="J262" s="72" t="s">
        <v>159</v>
      </c>
      <c r="K262" s="71" t="s">
        <v>1552</v>
      </c>
      <c r="L262" s="75">
        <v>1</v>
      </c>
      <c r="M262" s="76">
        <v>5161.09228515625</v>
      </c>
      <c r="N262" s="76">
        <v>709.3943481445312</v>
      </c>
      <c r="O262" s="77"/>
      <c r="P262" s="78"/>
      <c r="Q262" s="78"/>
      <c r="R262" s="88"/>
      <c r="S262" s="49">
        <v>0</v>
      </c>
      <c r="T262" s="49">
        <v>1</v>
      </c>
      <c r="U262" s="50">
        <v>0</v>
      </c>
      <c r="V262" s="50">
        <v>0.135911</v>
      </c>
      <c r="W262" s="50">
        <v>0</v>
      </c>
      <c r="X262" s="50">
        <v>0.00158</v>
      </c>
      <c r="Y262" s="50">
        <v>0</v>
      </c>
      <c r="Z262" s="50">
        <v>0</v>
      </c>
      <c r="AA262" s="73">
        <v>262</v>
      </c>
      <c r="AB262" s="73"/>
      <c r="AC262" s="74"/>
      <c r="AD262" s="81" t="s">
        <v>1552</v>
      </c>
      <c r="AE262" s="81"/>
      <c r="AF262" s="81"/>
      <c r="AG262" s="81"/>
      <c r="AH262" s="81"/>
      <c r="AI262" s="81" t="s">
        <v>2278</v>
      </c>
      <c r="AJ262" s="85">
        <v>42212.272731481484</v>
      </c>
      <c r="AK262" s="83" t="str">
        <f>HYPERLINK("https://yt3.ggpht.com/80K0l17dJnG63z_oMZu6XUdzN0wKzTkUyK-wx5ZK5OdNPtKjwWmmiOSJ9qi5lYd4kxhpCykg=s88-c-k-c0x00ffffff-no-rj")</f>
        <v>https://yt3.ggpht.com/80K0l17dJnG63z_oMZu6XUdzN0wKzTkUyK-wx5ZK5OdNPtKjwWmmiOSJ9qi5lYd4kxhpCykg=s88-c-k-c0x00ffffff-no-rj</v>
      </c>
      <c r="AL262" s="81">
        <v>0</v>
      </c>
      <c r="AM262" s="81">
        <v>0</v>
      </c>
      <c r="AN262" s="81">
        <v>19</v>
      </c>
      <c r="AO262" s="81" t="b">
        <v>0</v>
      </c>
      <c r="AP262" s="81">
        <v>0</v>
      </c>
      <c r="AQ262" s="81"/>
      <c r="AR262" s="81"/>
      <c r="AS262" s="81" t="s">
        <v>2571</v>
      </c>
      <c r="AT262" s="83" t="str">
        <f>HYPERLINK("https://www.youtube.com/channel/UCgGbmVKvLW4Ti8UrONXUYgQ")</f>
        <v>https://www.youtube.com/channel/UCgGbmVKvLW4Ti8UrONXUYgQ</v>
      </c>
      <c r="AU262" s="81">
        <v>2</v>
      </c>
      <c r="AV262" s="49">
        <v>1</v>
      </c>
      <c r="AW262" s="50">
        <v>12.5</v>
      </c>
      <c r="AX262" s="49">
        <v>0</v>
      </c>
      <c r="AY262" s="50">
        <v>0</v>
      </c>
      <c r="AZ262" s="49">
        <v>0</v>
      </c>
      <c r="BA262" s="50">
        <v>0</v>
      </c>
      <c r="BB262" s="49">
        <v>2</v>
      </c>
      <c r="BC262" s="50">
        <v>25</v>
      </c>
      <c r="BD262" s="49">
        <v>8</v>
      </c>
      <c r="BE262" s="49"/>
      <c r="BF262" s="49"/>
      <c r="BG262" s="49"/>
      <c r="BH262" s="49"/>
      <c r="BI262" s="49"/>
      <c r="BJ262" s="49"/>
      <c r="BK262" s="115" t="s">
        <v>2799</v>
      </c>
      <c r="BL262" s="115" t="s">
        <v>2799</v>
      </c>
      <c r="BM262" s="115" t="s">
        <v>3257</v>
      </c>
      <c r="BN262" s="115" t="s">
        <v>3257</v>
      </c>
      <c r="BO262" s="2"/>
      <c r="BP262" s="3"/>
      <c r="BQ262" s="3"/>
      <c r="BR262" s="3"/>
      <c r="BS262" s="3"/>
    </row>
    <row r="263" spans="1:71" ht="15">
      <c r="A263" s="66" t="s">
        <v>480</v>
      </c>
      <c r="B263" s="67"/>
      <c r="C263" s="67"/>
      <c r="D263" s="68">
        <v>150</v>
      </c>
      <c r="E263" s="70"/>
      <c r="F263" s="102" t="str">
        <f>HYPERLINK("https://yt3.ggpht.com/ytc/AOPolaSWFBTB1uRwnwLM42VDUP0Xo91FC_jmTWWqTPuW=s88-c-k-c0x00ffffff-no-rj")</f>
        <v>https://yt3.ggpht.com/ytc/AOPolaSWFBTB1uRwnwLM42VDUP0Xo91FC_jmTWWqTPuW=s88-c-k-c0x00ffffff-no-rj</v>
      </c>
      <c r="G263" s="67"/>
      <c r="H263" s="71" t="s">
        <v>1553</v>
      </c>
      <c r="I263" s="72"/>
      <c r="J263" s="72" t="s">
        <v>159</v>
      </c>
      <c r="K263" s="71" t="s">
        <v>1553</v>
      </c>
      <c r="L263" s="75">
        <v>1</v>
      </c>
      <c r="M263" s="76">
        <v>4429.55517578125</v>
      </c>
      <c r="N263" s="76">
        <v>900.0215454101562</v>
      </c>
      <c r="O263" s="77"/>
      <c r="P263" s="78"/>
      <c r="Q263" s="78"/>
      <c r="R263" s="88"/>
      <c r="S263" s="49">
        <v>0</v>
      </c>
      <c r="T263" s="49">
        <v>1</v>
      </c>
      <c r="U263" s="50">
        <v>0</v>
      </c>
      <c r="V263" s="50">
        <v>0.135911</v>
      </c>
      <c r="W263" s="50">
        <v>0</v>
      </c>
      <c r="X263" s="50">
        <v>0.00158</v>
      </c>
      <c r="Y263" s="50">
        <v>0</v>
      </c>
      <c r="Z263" s="50">
        <v>0</v>
      </c>
      <c r="AA263" s="73">
        <v>263</v>
      </c>
      <c r="AB263" s="73"/>
      <c r="AC263" s="74"/>
      <c r="AD263" s="81" t="s">
        <v>1553</v>
      </c>
      <c r="AE263" s="81"/>
      <c r="AF263" s="81"/>
      <c r="AG263" s="81"/>
      <c r="AH263" s="81"/>
      <c r="AI263" s="81" t="s">
        <v>2279</v>
      </c>
      <c r="AJ263" s="85">
        <v>41625.89461805556</v>
      </c>
      <c r="AK263" s="83" t="str">
        <f>HYPERLINK("https://yt3.ggpht.com/ytc/AOPolaSWFBTB1uRwnwLM42VDUP0Xo91FC_jmTWWqTPuW=s88-c-k-c0x00ffffff-no-rj")</f>
        <v>https://yt3.ggpht.com/ytc/AOPolaSWFBTB1uRwnwLM42VDUP0Xo91FC_jmTWWqTPuW=s88-c-k-c0x00ffffff-no-rj</v>
      </c>
      <c r="AL263" s="81">
        <v>0</v>
      </c>
      <c r="AM263" s="81">
        <v>0</v>
      </c>
      <c r="AN263" s="81">
        <v>4</v>
      </c>
      <c r="AO263" s="81" t="b">
        <v>0</v>
      </c>
      <c r="AP263" s="81">
        <v>0</v>
      </c>
      <c r="AQ263" s="81"/>
      <c r="AR263" s="81"/>
      <c r="AS263" s="81" t="s">
        <v>2571</v>
      </c>
      <c r="AT263" s="83" t="str">
        <f>HYPERLINK("https://www.youtube.com/channel/UCxvf6Oqrp2X6Mf-YqcmxYOQ")</f>
        <v>https://www.youtube.com/channel/UCxvf6Oqrp2X6Mf-YqcmxYOQ</v>
      </c>
      <c r="AU263" s="81">
        <v>2</v>
      </c>
      <c r="AV263" s="49">
        <v>0</v>
      </c>
      <c r="AW263" s="50">
        <v>0</v>
      </c>
      <c r="AX263" s="49">
        <v>2</v>
      </c>
      <c r="AY263" s="50">
        <v>25</v>
      </c>
      <c r="AZ263" s="49">
        <v>0</v>
      </c>
      <c r="BA263" s="50">
        <v>0</v>
      </c>
      <c r="BB263" s="49">
        <v>3</v>
      </c>
      <c r="BC263" s="50">
        <v>37.5</v>
      </c>
      <c r="BD263" s="49">
        <v>8</v>
      </c>
      <c r="BE263" s="49"/>
      <c r="BF263" s="49"/>
      <c r="BG263" s="49"/>
      <c r="BH263" s="49"/>
      <c r="BI263" s="49"/>
      <c r="BJ263" s="49"/>
      <c r="BK263" s="115" t="s">
        <v>2800</v>
      </c>
      <c r="BL263" s="115" t="s">
        <v>2800</v>
      </c>
      <c r="BM263" s="115" t="s">
        <v>3258</v>
      </c>
      <c r="BN263" s="115" t="s">
        <v>3258</v>
      </c>
      <c r="BO263" s="2"/>
      <c r="BP263" s="3"/>
      <c r="BQ263" s="3"/>
      <c r="BR263" s="3"/>
      <c r="BS263" s="3"/>
    </row>
    <row r="264" spans="1:71" ht="15">
      <c r="A264" s="66" t="s">
        <v>481</v>
      </c>
      <c r="B264" s="67"/>
      <c r="C264" s="67"/>
      <c r="D264" s="68">
        <v>150</v>
      </c>
      <c r="E264" s="70"/>
      <c r="F264" s="102" t="str">
        <f>HYPERLINK("https://yt3.ggpht.com/Vyj0mi2e2su3jMLJlwSc_MTjgKI0JUuofyEmqYU4Cph9TxWU2GI-RMORZZUoHMS0U3kdxa0SUQ=s88-c-k-c0x00ffffff-no-rj")</f>
        <v>https://yt3.ggpht.com/Vyj0mi2e2su3jMLJlwSc_MTjgKI0JUuofyEmqYU4Cph9TxWU2GI-RMORZZUoHMS0U3kdxa0SUQ=s88-c-k-c0x00ffffff-no-rj</v>
      </c>
      <c r="G264" s="67"/>
      <c r="H264" s="71" t="s">
        <v>1554</v>
      </c>
      <c r="I264" s="72"/>
      <c r="J264" s="72" t="s">
        <v>159</v>
      </c>
      <c r="K264" s="71" t="s">
        <v>1554</v>
      </c>
      <c r="L264" s="75">
        <v>1</v>
      </c>
      <c r="M264" s="76">
        <v>859.4493408203125</v>
      </c>
      <c r="N264" s="76">
        <v>1452.4686279296875</v>
      </c>
      <c r="O264" s="77"/>
      <c r="P264" s="78"/>
      <c r="Q264" s="78"/>
      <c r="R264" s="88"/>
      <c r="S264" s="49">
        <v>0</v>
      </c>
      <c r="T264" s="49">
        <v>1</v>
      </c>
      <c r="U264" s="50">
        <v>0</v>
      </c>
      <c r="V264" s="50">
        <v>0.135911</v>
      </c>
      <c r="W264" s="50">
        <v>0</v>
      </c>
      <c r="X264" s="50">
        <v>0.00158</v>
      </c>
      <c r="Y264" s="50">
        <v>0</v>
      </c>
      <c r="Z264" s="50">
        <v>0</v>
      </c>
      <c r="AA264" s="73">
        <v>264</v>
      </c>
      <c r="AB264" s="73"/>
      <c r="AC264" s="74"/>
      <c r="AD264" s="81" t="s">
        <v>1554</v>
      </c>
      <c r="AE264" s="81" t="s">
        <v>1967</v>
      </c>
      <c r="AF264" s="81"/>
      <c r="AG264" s="81"/>
      <c r="AH264" s="81"/>
      <c r="AI264" s="81" t="s">
        <v>2280</v>
      </c>
      <c r="AJ264" s="85">
        <v>44526.81119212963</v>
      </c>
      <c r="AK264" s="83" t="str">
        <f>HYPERLINK("https://yt3.ggpht.com/Vyj0mi2e2su3jMLJlwSc_MTjgKI0JUuofyEmqYU4Cph9TxWU2GI-RMORZZUoHMS0U3kdxa0SUQ=s88-c-k-c0x00ffffff-no-rj")</f>
        <v>https://yt3.ggpht.com/Vyj0mi2e2su3jMLJlwSc_MTjgKI0JUuofyEmqYU4Cph9TxWU2GI-RMORZZUoHMS0U3kdxa0SUQ=s88-c-k-c0x00ffffff-no-rj</v>
      </c>
      <c r="AL264" s="81">
        <v>0</v>
      </c>
      <c r="AM264" s="81">
        <v>0</v>
      </c>
      <c r="AN264" s="81">
        <v>6</v>
      </c>
      <c r="AO264" s="81" t="b">
        <v>0</v>
      </c>
      <c r="AP264" s="81">
        <v>0</v>
      </c>
      <c r="AQ264" s="81"/>
      <c r="AR264" s="81"/>
      <c r="AS264" s="81" t="s">
        <v>2571</v>
      </c>
      <c r="AT264" s="83" t="str">
        <f>HYPERLINK("https://www.youtube.com/channel/UCWIYAN0rYkeGXZPkqSPP2Hw")</f>
        <v>https://www.youtube.com/channel/UCWIYAN0rYkeGXZPkqSPP2Hw</v>
      </c>
      <c r="AU264" s="81">
        <v>2</v>
      </c>
      <c r="AV264" s="49">
        <v>1</v>
      </c>
      <c r="AW264" s="50">
        <v>25</v>
      </c>
      <c r="AX264" s="49">
        <v>0</v>
      </c>
      <c r="AY264" s="50">
        <v>0</v>
      </c>
      <c r="AZ264" s="49">
        <v>0</v>
      </c>
      <c r="BA264" s="50">
        <v>0</v>
      </c>
      <c r="BB264" s="49">
        <v>1</v>
      </c>
      <c r="BC264" s="50">
        <v>25</v>
      </c>
      <c r="BD264" s="49">
        <v>4</v>
      </c>
      <c r="BE264" s="49"/>
      <c r="BF264" s="49"/>
      <c r="BG264" s="49"/>
      <c r="BH264" s="49"/>
      <c r="BI264" s="49"/>
      <c r="BJ264" s="49"/>
      <c r="BK264" s="115" t="s">
        <v>2801</v>
      </c>
      <c r="BL264" s="115" t="s">
        <v>2801</v>
      </c>
      <c r="BM264" s="115" t="s">
        <v>3259</v>
      </c>
      <c r="BN264" s="115" t="s">
        <v>3259</v>
      </c>
      <c r="BO264" s="2"/>
      <c r="BP264" s="3"/>
      <c r="BQ264" s="3"/>
      <c r="BR264" s="3"/>
      <c r="BS264" s="3"/>
    </row>
    <row r="265" spans="1:71" ht="15">
      <c r="A265" s="66" t="s">
        <v>482</v>
      </c>
      <c r="B265" s="67"/>
      <c r="C265" s="67"/>
      <c r="D265" s="68">
        <v>150</v>
      </c>
      <c r="E265" s="70"/>
      <c r="F265" s="102" t="str">
        <f>HYPERLINK("https://yt3.ggpht.com/DiXwxDLZo1-SgxKiJWATn6DXimYm3B-tx18tMk07lE4Cm-c1GHJ-cFol-QkhH0qXDggJcctC5A=s88-c-k-c0x00ffffff-no-rj")</f>
        <v>https://yt3.ggpht.com/DiXwxDLZo1-SgxKiJWATn6DXimYm3B-tx18tMk07lE4Cm-c1GHJ-cFol-QkhH0qXDggJcctC5A=s88-c-k-c0x00ffffff-no-rj</v>
      </c>
      <c r="G265" s="67"/>
      <c r="H265" s="71" t="s">
        <v>1555</v>
      </c>
      <c r="I265" s="72"/>
      <c r="J265" s="72" t="s">
        <v>159</v>
      </c>
      <c r="K265" s="71" t="s">
        <v>1555</v>
      </c>
      <c r="L265" s="75">
        <v>1</v>
      </c>
      <c r="M265" s="76">
        <v>828.5472412109375</v>
      </c>
      <c r="N265" s="76">
        <v>2686.129638671875</v>
      </c>
      <c r="O265" s="77"/>
      <c r="P265" s="78"/>
      <c r="Q265" s="78"/>
      <c r="R265" s="88"/>
      <c r="S265" s="49">
        <v>0</v>
      </c>
      <c r="T265" s="49">
        <v>1</v>
      </c>
      <c r="U265" s="50">
        <v>0</v>
      </c>
      <c r="V265" s="50">
        <v>0.135911</v>
      </c>
      <c r="W265" s="50">
        <v>0</v>
      </c>
      <c r="X265" s="50">
        <v>0.00158</v>
      </c>
      <c r="Y265" s="50">
        <v>0</v>
      </c>
      <c r="Z265" s="50">
        <v>0</v>
      </c>
      <c r="AA265" s="73">
        <v>265</v>
      </c>
      <c r="AB265" s="73"/>
      <c r="AC265" s="74"/>
      <c r="AD265" s="81" t="s">
        <v>1555</v>
      </c>
      <c r="AE265" s="81"/>
      <c r="AF265" s="81"/>
      <c r="AG265" s="81"/>
      <c r="AH265" s="81"/>
      <c r="AI265" s="81" t="s">
        <v>2281</v>
      </c>
      <c r="AJ265" s="85">
        <v>44743.79325231481</v>
      </c>
      <c r="AK265" s="83" t="str">
        <f>HYPERLINK("https://yt3.ggpht.com/DiXwxDLZo1-SgxKiJWATn6DXimYm3B-tx18tMk07lE4Cm-c1GHJ-cFol-QkhH0qXDggJcctC5A=s88-c-k-c0x00ffffff-no-rj")</f>
        <v>https://yt3.ggpht.com/DiXwxDLZo1-SgxKiJWATn6DXimYm3B-tx18tMk07lE4Cm-c1GHJ-cFol-QkhH0qXDggJcctC5A=s88-c-k-c0x00ffffff-no-rj</v>
      </c>
      <c r="AL265" s="81">
        <v>2366</v>
      </c>
      <c r="AM265" s="81">
        <v>0</v>
      </c>
      <c r="AN265" s="81">
        <v>28</v>
      </c>
      <c r="AO265" s="81" t="b">
        <v>0</v>
      </c>
      <c r="AP265" s="81">
        <v>43</v>
      </c>
      <c r="AQ265" s="81"/>
      <c r="AR265" s="81"/>
      <c r="AS265" s="81" t="s">
        <v>2571</v>
      </c>
      <c r="AT265" s="83" t="str">
        <f>HYPERLINK("https://www.youtube.com/channel/UC0cd_aC-zIv-T6X4Q1uMyBg")</f>
        <v>https://www.youtube.com/channel/UC0cd_aC-zIv-T6X4Q1uMyBg</v>
      </c>
      <c r="AU265" s="81">
        <v>2</v>
      </c>
      <c r="AV265" s="49">
        <v>0</v>
      </c>
      <c r="AW265" s="50">
        <v>0</v>
      </c>
      <c r="AX265" s="49">
        <v>0</v>
      </c>
      <c r="AY265" s="50">
        <v>0</v>
      </c>
      <c r="AZ265" s="49">
        <v>0</v>
      </c>
      <c r="BA265" s="50">
        <v>0</v>
      </c>
      <c r="BB265" s="49">
        <v>3</v>
      </c>
      <c r="BC265" s="50">
        <v>27.272727272727273</v>
      </c>
      <c r="BD265" s="49">
        <v>11</v>
      </c>
      <c r="BE265" s="49"/>
      <c r="BF265" s="49"/>
      <c r="BG265" s="49"/>
      <c r="BH265" s="49"/>
      <c r="BI265" s="49"/>
      <c r="BJ265" s="49"/>
      <c r="BK265" s="115" t="s">
        <v>2802</v>
      </c>
      <c r="BL265" s="115" t="s">
        <v>2802</v>
      </c>
      <c r="BM265" s="115" t="s">
        <v>3260</v>
      </c>
      <c r="BN265" s="115" t="s">
        <v>3260</v>
      </c>
      <c r="BO265" s="2"/>
      <c r="BP265" s="3"/>
      <c r="BQ265" s="3"/>
      <c r="BR265" s="3"/>
      <c r="BS265" s="3"/>
    </row>
    <row r="266" spans="1:71" ht="15">
      <c r="A266" s="66" t="s">
        <v>483</v>
      </c>
      <c r="B266" s="67"/>
      <c r="C266" s="67"/>
      <c r="D266" s="68">
        <v>150</v>
      </c>
      <c r="E266" s="70"/>
      <c r="F266" s="102" t="str">
        <f>HYPERLINK("https://yt3.ggpht.com/ytc/AOPolaR1CpNHHac71AKB9csTct4vUEnTayDzgCgMf9OcRd_rUFrWRPjpl05rNoS439D3=s88-c-k-c0x00ffffff-no-rj")</f>
        <v>https://yt3.ggpht.com/ytc/AOPolaR1CpNHHac71AKB9csTct4vUEnTayDzgCgMf9OcRd_rUFrWRPjpl05rNoS439D3=s88-c-k-c0x00ffffff-no-rj</v>
      </c>
      <c r="G266" s="67"/>
      <c r="H266" s="71" t="s">
        <v>1556</v>
      </c>
      <c r="I266" s="72"/>
      <c r="J266" s="72" t="s">
        <v>159</v>
      </c>
      <c r="K266" s="71" t="s">
        <v>1556</v>
      </c>
      <c r="L266" s="75">
        <v>1</v>
      </c>
      <c r="M266" s="76">
        <v>4689.408203125</v>
      </c>
      <c r="N266" s="76">
        <v>483.7464294433594</v>
      </c>
      <c r="O266" s="77"/>
      <c r="P266" s="78"/>
      <c r="Q266" s="78"/>
      <c r="R266" s="88"/>
      <c r="S266" s="49">
        <v>0</v>
      </c>
      <c r="T266" s="49">
        <v>1</v>
      </c>
      <c r="U266" s="50">
        <v>0</v>
      </c>
      <c r="V266" s="50">
        <v>0.135911</v>
      </c>
      <c r="W266" s="50">
        <v>0</v>
      </c>
      <c r="X266" s="50">
        <v>0.00158</v>
      </c>
      <c r="Y266" s="50">
        <v>0</v>
      </c>
      <c r="Z266" s="50">
        <v>0</v>
      </c>
      <c r="AA266" s="73">
        <v>266</v>
      </c>
      <c r="AB266" s="73"/>
      <c r="AC266" s="74"/>
      <c r="AD266" s="81" t="s">
        <v>1556</v>
      </c>
      <c r="AE266" s="81"/>
      <c r="AF266" s="81"/>
      <c r="AG266" s="81"/>
      <c r="AH266" s="81"/>
      <c r="AI266" s="81" t="s">
        <v>2282</v>
      </c>
      <c r="AJ266" s="85">
        <v>44184.67866898148</v>
      </c>
      <c r="AK266" s="83" t="str">
        <f>HYPERLINK("https://yt3.ggpht.com/ytc/AOPolaR1CpNHHac71AKB9csTct4vUEnTayDzgCgMf9OcRd_rUFrWRPjpl05rNoS439D3=s88-c-k-c0x00ffffff-no-rj")</f>
        <v>https://yt3.ggpht.com/ytc/AOPolaR1CpNHHac71AKB9csTct4vUEnTayDzgCgMf9OcRd_rUFrWRPjpl05rNoS439D3=s88-c-k-c0x00ffffff-no-rj</v>
      </c>
      <c r="AL266" s="81">
        <v>0</v>
      </c>
      <c r="AM266" s="81">
        <v>0</v>
      </c>
      <c r="AN266" s="81">
        <v>1</v>
      </c>
      <c r="AO266" s="81" t="b">
        <v>0</v>
      </c>
      <c r="AP266" s="81">
        <v>0</v>
      </c>
      <c r="AQ266" s="81"/>
      <c r="AR266" s="81"/>
      <c r="AS266" s="81" t="s">
        <v>2571</v>
      </c>
      <c r="AT266" s="83" t="str">
        <f>HYPERLINK("https://www.youtube.com/channel/UCiYgq1Tu6IlmyMhGX5sbT6Q")</f>
        <v>https://www.youtube.com/channel/UCiYgq1Tu6IlmyMhGX5sbT6Q</v>
      </c>
      <c r="AU266" s="81">
        <v>2</v>
      </c>
      <c r="AV266" s="49">
        <v>1</v>
      </c>
      <c r="AW266" s="50">
        <v>12.5</v>
      </c>
      <c r="AX266" s="49">
        <v>0</v>
      </c>
      <c r="AY266" s="50">
        <v>0</v>
      </c>
      <c r="AZ266" s="49">
        <v>0</v>
      </c>
      <c r="BA266" s="50">
        <v>0</v>
      </c>
      <c r="BB266" s="49">
        <v>3</v>
      </c>
      <c r="BC266" s="50">
        <v>37.5</v>
      </c>
      <c r="BD266" s="49">
        <v>8</v>
      </c>
      <c r="BE266" s="49"/>
      <c r="BF266" s="49"/>
      <c r="BG266" s="49"/>
      <c r="BH266" s="49"/>
      <c r="BI266" s="49"/>
      <c r="BJ266" s="49"/>
      <c r="BK266" s="115" t="s">
        <v>2803</v>
      </c>
      <c r="BL266" s="115" t="s">
        <v>2803</v>
      </c>
      <c r="BM266" s="115" t="s">
        <v>3261</v>
      </c>
      <c r="BN266" s="115" t="s">
        <v>3261</v>
      </c>
      <c r="BO266" s="2"/>
      <c r="BP266" s="3"/>
      <c r="BQ266" s="3"/>
      <c r="BR266" s="3"/>
      <c r="BS266" s="3"/>
    </row>
    <row r="267" spans="1:71" ht="15">
      <c r="A267" s="66" t="s">
        <v>484</v>
      </c>
      <c r="B267" s="67"/>
      <c r="C267" s="67"/>
      <c r="D267" s="68">
        <v>150</v>
      </c>
      <c r="E267" s="70"/>
      <c r="F267" s="102" t="str">
        <f>HYPERLINK("https://yt3.ggpht.com/ytc/AOPolaSNjtNvdE-BGh4UXPsFoxg-fzFRH5qSzv4QNdYU13ZQrngxt6_E60wPMUac83NJ=s88-c-k-c0x00ffffff-no-rj")</f>
        <v>https://yt3.ggpht.com/ytc/AOPolaSNjtNvdE-BGh4UXPsFoxg-fzFRH5qSzv4QNdYU13ZQrngxt6_E60wPMUac83NJ=s88-c-k-c0x00ffffff-no-rj</v>
      </c>
      <c r="G267" s="67"/>
      <c r="H267" s="71" t="s">
        <v>1557</v>
      </c>
      <c r="I267" s="72"/>
      <c r="J267" s="72" t="s">
        <v>159</v>
      </c>
      <c r="K267" s="71" t="s">
        <v>1557</v>
      </c>
      <c r="L267" s="75">
        <v>1</v>
      </c>
      <c r="M267" s="76">
        <v>5603.39990234375</v>
      </c>
      <c r="N267" s="76">
        <v>3428.89990234375</v>
      </c>
      <c r="O267" s="77"/>
      <c r="P267" s="78"/>
      <c r="Q267" s="78"/>
      <c r="R267" s="88"/>
      <c r="S267" s="49">
        <v>0</v>
      </c>
      <c r="T267" s="49">
        <v>1</v>
      </c>
      <c r="U267" s="50">
        <v>0</v>
      </c>
      <c r="V267" s="50">
        <v>0.135911</v>
      </c>
      <c r="W267" s="50">
        <v>0</v>
      </c>
      <c r="X267" s="50">
        <v>0.00158</v>
      </c>
      <c r="Y267" s="50">
        <v>0</v>
      </c>
      <c r="Z267" s="50">
        <v>0</v>
      </c>
      <c r="AA267" s="73">
        <v>267</v>
      </c>
      <c r="AB267" s="73"/>
      <c r="AC267" s="74"/>
      <c r="AD267" s="81" t="s">
        <v>1557</v>
      </c>
      <c r="AE267" s="81"/>
      <c r="AF267" s="81"/>
      <c r="AG267" s="81"/>
      <c r="AH267" s="81"/>
      <c r="AI267" s="81" t="s">
        <v>2283</v>
      </c>
      <c r="AJ267" s="85">
        <v>44661.286469907405</v>
      </c>
      <c r="AK267" s="83" t="str">
        <f>HYPERLINK("https://yt3.ggpht.com/ytc/AOPolaSNjtNvdE-BGh4UXPsFoxg-fzFRH5qSzv4QNdYU13ZQrngxt6_E60wPMUac83NJ=s88-c-k-c0x00ffffff-no-rj")</f>
        <v>https://yt3.ggpht.com/ytc/AOPolaSNjtNvdE-BGh4UXPsFoxg-fzFRH5qSzv4QNdYU13ZQrngxt6_E60wPMUac83NJ=s88-c-k-c0x00ffffff-no-rj</v>
      </c>
      <c r="AL267" s="81">
        <v>0</v>
      </c>
      <c r="AM267" s="81">
        <v>0</v>
      </c>
      <c r="AN267" s="81">
        <v>0</v>
      </c>
      <c r="AO267" s="81" t="b">
        <v>0</v>
      </c>
      <c r="AP267" s="81">
        <v>0</v>
      </c>
      <c r="AQ267" s="81"/>
      <c r="AR267" s="81"/>
      <c r="AS267" s="81" t="s">
        <v>2571</v>
      </c>
      <c r="AT267" s="83" t="str">
        <f>HYPERLINK("https://www.youtube.com/channel/UCujfuuCQE7pcm1sqYsXv87g")</f>
        <v>https://www.youtube.com/channel/UCujfuuCQE7pcm1sqYsXv87g</v>
      </c>
      <c r="AU267" s="81">
        <v>2</v>
      </c>
      <c r="AV267" s="49">
        <v>0</v>
      </c>
      <c r="AW267" s="50">
        <v>0</v>
      </c>
      <c r="AX267" s="49">
        <v>0</v>
      </c>
      <c r="AY267" s="50">
        <v>0</v>
      </c>
      <c r="AZ267" s="49">
        <v>0</v>
      </c>
      <c r="BA267" s="50">
        <v>0</v>
      </c>
      <c r="BB267" s="49">
        <v>8</v>
      </c>
      <c r="BC267" s="50">
        <v>50</v>
      </c>
      <c r="BD267" s="49">
        <v>16</v>
      </c>
      <c r="BE267" s="49"/>
      <c r="BF267" s="49"/>
      <c r="BG267" s="49"/>
      <c r="BH267" s="49"/>
      <c r="BI267" s="49"/>
      <c r="BJ267" s="49"/>
      <c r="BK267" s="115" t="s">
        <v>2804</v>
      </c>
      <c r="BL267" s="115" t="s">
        <v>2804</v>
      </c>
      <c r="BM267" s="115" t="s">
        <v>3262</v>
      </c>
      <c r="BN267" s="115" t="s">
        <v>3262</v>
      </c>
      <c r="BO267" s="2"/>
      <c r="BP267" s="3"/>
      <c r="BQ267" s="3"/>
      <c r="BR267" s="3"/>
      <c r="BS267" s="3"/>
    </row>
    <row r="268" spans="1:71" ht="15">
      <c r="A268" s="66" t="s">
        <v>485</v>
      </c>
      <c r="B268" s="67"/>
      <c r="C268" s="67"/>
      <c r="D268" s="68">
        <v>150</v>
      </c>
      <c r="E268" s="70"/>
      <c r="F268" s="102" t="str">
        <f>HYPERLINK("https://yt3.ggpht.com/sH0-lS2nz94F7D_pJuWKeKpm1Pz8T2mfiU6KxipoJ1Eg5P5AvtVjK8WMoXhHporEHa4wbMq4tw=s88-c-k-c0x00ffffff-no-rj")</f>
        <v>https://yt3.ggpht.com/sH0-lS2nz94F7D_pJuWKeKpm1Pz8T2mfiU6KxipoJ1Eg5P5AvtVjK8WMoXhHporEHa4wbMq4tw=s88-c-k-c0x00ffffff-no-rj</v>
      </c>
      <c r="G268" s="67"/>
      <c r="H268" s="71" t="s">
        <v>1558</v>
      </c>
      <c r="I268" s="72"/>
      <c r="J268" s="72" t="s">
        <v>159</v>
      </c>
      <c r="K268" s="71" t="s">
        <v>1558</v>
      </c>
      <c r="L268" s="75">
        <v>1</v>
      </c>
      <c r="M268" s="76">
        <v>811.2777099609375</v>
      </c>
      <c r="N268" s="76">
        <v>2964.1240234375</v>
      </c>
      <c r="O268" s="77"/>
      <c r="P268" s="78"/>
      <c r="Q268" s="78"/>
      <c r="R268" s="88"/>
      <c r="S268" s="49">
        <v>0</v>
      </c>
      <c r="T268" s="49">
        <v>1</v>
      </c>
      <c r="U268" s="50">
        <v>0</v>
      </c>
      <c r="V268" s="50">
        <v>0.135911</v>
      </c>
      <c r="W268" s="50">
        <v>0</v>
      </c>
      <c r="X268" s="50">
        <v>0.00158</v>
      </c>
      <c r="Y268" s="50">
        <v>0</v>
      </c>
      <c r="Z268" s="50">
        <v>0</v>
      </c>
      <c r="AA268" s="73">
        <v>268</v>
      </c>
      <c r="AB268" s="73"/>
      <c r="AC268" s="74"/>
      <c r="AD268" s="81" t="s">
        <v>1558</v>
      </c>
      <c r="AE268" s="81"/>
      <c r="AF268" s="81"/>
      <c r="AG268" s="81"/>
      <c r="AH268" s="81"/>
      <c r="AI268" s="81" t="s">
        <v>2284</v>
      </c>
      <c r="AJ268" s="85">
        <v>40057.22016203704</v>
      </c>
      <c r="AK268" s="83" t="str">
        <f>HYPERLINK("https://yt3.ggpht.com/sH0-lS2nz94F7D_pJuWKeKpm1Pz8T2mfiU6KxipoJ1Eg5P5AvtVjK8WMoXhHporEHa4wbMq4tw=s88-c-k-c0x00ffffff-no-rj")</f>
        <v>https://yt3.ggpht.com/sH0-lS2nz94F7D_pJuWKeKpm1Pz8T2mfiU6KxipoJ1Eg5P5AvtVjK8WMoXhHporEHa4wbMq4tw=s88-c-k-c0x00ffffff-no-rj</v>
      </c>
      <c r="AL268" s="81">
        <v>18825</v>
      </c>
      <c r="AM268" s="81">
        <v>0</v>
      </c>
      <c r="AN268" s="81">
        <v>234</v>
      </c>
      <c r="AO268" s="81" t="b">
        <v>0</v>
      </c>
      <c r="AP268" s="81">
        <v>4</v>
      </c>
      <c r="AQ268" s="81"/>
      <c r="AR268" s="81"/>
      <c r="AS268" s="81" t="s">
        <v>2571</v>
      </c>
      <c r="AT268" s="83" t="str">
        <f>HYPERLINK("https://www.youtube.com/channel/UCARuxXgPYc9hNVFTn5GiaKg")</f>
        <v>https://www.youtube.com/channel/UCARuxXgPYc9hNVFTn5GiaKg</v>
      </c>
      <c r="AU268" s="81">
        <v>2</v>
      </c>
      <c r="AV268" s="49">
        <v>0</v>
      </c>
      <c r="AW268" s="50">
        <v>0</v>
      </c>
      <c r="AX268" s="49">
        <v>1</v>
      </c>
      <c r="AY268" s="50">
        <v>3.7037037037037037</v>
      </c>
      <c r="AZ268" s="49">
        <v>0</v>
      </c>
      <c r="BA268" s="50">
        <v>0</v>
      </c>
      <c r="BB268" s="49">
        <v>8</v>
      </c>
      <c r="BC268" s="50">
        <v>29.62962962962963</v>
      </c>
      <c r="BD268" s="49">
        <v>27</v>
      </c>
      <c r="BE268" s="49"/>
      <c r="BF268" s="49"/>
      <c r="BG268" s="49"/>
      <c r="BH268" s="49"/>
      <c r="BI268" s="49"/>
      <c r="BJ268" s="49"/>
      <c r="BK268" s="115" t="s">
        <v>2805</v>
      </c>
      <c r="BL268" s="115" t="s">
        <v>2805</v>
      </c>
      <c r="BM268" s="115" t="s">
        <v>3263</v>
      </c>
      <c r="BN268" s="115" t="s">
        <v>3263</v>
      </c>
      <c r="BO268" s="2"/>
      <c r="BP268" s="3"/>
      <c r="BQ268" s="3"/>
      <c r="BR268" s="3"/>
      <c r="BS268" s="3"/>
    </row>
    <row r="269" spans="1:71" ht="15">
      <c r="A269" s="66" t="s">
        <v>486</v>
      </c>
      <c r="B269" s="67"/>
      <c r="C269" s="67"/>
      <c r="D269" s="68">
        <v>150</v>
      </c>
      <c r="E269" s="70"/>
      <c r="F269" s="102" t="str">
        <f>HYPERLINK("https://yt3.ggpht.com/ytc/AOPolaRgLHJHpnxvotHxg3Tzp4wmkNkwITOQ--RAxH7C=s88-c-k-c0x00ffffff-no-rj")</f>
        <v>https://yt3.ggpht.com/ytc/AOPolaRgLHJHpnxvotHxg3Tzp4wmkNkwITOQ--RAxH7C=s88-c-k-c0x00ffffff-no-rj</v>
      </c>
      <c r="G269" s="67"/>
      <c r="H269" s="71" t="s">
        <v>1559</v>
      </c>
      <c r="I269" s="72"/>
      <c r="J269" s="72" t="s">
        <v>159</v>
      </c>
      <c r="K269" s="71" t="s">
        <v>1559</v>
      </c>
      <c r="L269" s="75">
        <v>1</v>
      </c>
      <c r="M269" s="76">
        <v>2330.91796875</v>
      </c>
      <c r="N269" s="76">
        <v>3666.257568359375</v>
      </c>
      <c r="O269" s="77"/>
      <c r="P269" s="78"/>
      <c r="Q269" s="78"/>
      <c r="R269" s="88"/>
      <c r="S269" s="49">
        <v>0</v>
      </c>
      <c r="T269" s="49">
        <v>1</v>
      </c>
      <c r="U269" s="50">
        <v>0</v>
      </c>
      <c r="V269" s="50">
        <v>0.135911</v>
      </c>
      <c r="W269" s="50">
        <v>0</v>
      </c>
      <c r="X269" s="50">
        <v>0.00158</v>
      </c>
      <c r="Y269" s="50">
        <v>0</v>
      </c>
      <c r="Z269" s="50">
        <v>0</v>
      </c>
      <c r="AA269" s="73">
        <v>269</v>
      </c>
      <c r="AB269" s="73"/>
      <c r="AC269" s="74"/>
      <c r="AD269" s="81" t="s">
        <v>1559</v>
      </c>
      <c r="AE269" s="81"/>
      <c r="AF269" s="81"/>
      <c r="AG269" s="81"/>
      <c r="AH269" s="81"/>
      <c r="AI269" s="81" t="s">
        <v>2285</v>
      </c>
      <c r="AJ269" s="85">
        <v>43738.08458333334</v>
      </c>
      <c r="AK269" s="83" t="str">
        <f>HYPERLINK("https://yt3.ggpht.com/ytc/AOPolaRgLHJHpnxvotHxg3Tzp4wmkNkwITOQ--RAxH7C=s88-c-k-c0x00ffffff-no-rj")</f>
        <v>https://yt3.ggpht.com/ytc/AOPolaRgLHJHpnxvotHxg3Tzp4wmkNkwITOQ--RAxH7C=s88-c-k-c0x00ffffff-no-rj</v>
      </c>
      <c r="AL269" s="81">
        <v>0</v>
      </c>
      <c r="AM269" s="81">
        <v>0</v>
      </c>
      <c r="AN269" s="81">
        <v>2</v>
      </c>
      <c r="AO269" s="81" t="b">
        <v>0</v>
      </c>
      <c r="AP269" s="81">
        <v>0</v>
      </c>
      <c r="AQ269" s="81"/>
      <c r="AR269" s="81"/>
      <c r="AS269" s="81" t="s">
        <v>2571</v>
      </c>
      <c r="AT269" s="83" t="str">
        <f>HYPERLINK("https://www.youtube.com/channel/UCrvqxV3SwriXq9ktQe71N8g")</f>
        <v>https://www.youtube.com/channel/UCrvqxV3SwriXq9ktQe71N8g</v>
      </c>
      <c r="AU269" s="81">
        <v>2</v>
      </c>
      <c r="AV269" s="49">
        <v>0</v>
      </c>
      <c r="AW269" s="50">
        <v>0</v>
      </c>
      <c r="AX269" s="49">
        <v>1</v>
      </c>
      <c r="AY269" s="50">
        <v>4.3478260869565215</v>
      </c>
      <c r="AZ269" s="49">
        <v>0</v>
      </c>
      <c r="BA269" s="50">
        <v>0</v>
      </c>
      <c r="BB269" s="49">
        <v>7</v>
      </c>
      <c r="BC269" s="50">
        <v>30.434782608695652</v>
      </c>
      <c r="BD269" s="49">
        <v>23</v>
      </c>
      <c r="BE269" s="49"/>
      <c r="BF269" s="49"/>
      <c r="BG269" s="49"/>
      <c r="BH269" s="49"/>
      <c r="BI269" s="49"/>
      <c r="BJ269" s="49"/>
      <c r="BK269" s="115" t="s">
        <v>2806</v>
      </c>
      <c r="BL269" s="115" t="s">
        <v>2806</v>
      </c>
      <c r="BM269" s="115" t="s">
        <v>3264</v>
      </c>
      <c r="BN269" s="115" t="s">
        <v>3264</v>
      </c>
      <c r="BO269" s="2"/>
      <c r="BP269" s="3"/>
      <c r="BQ269" s="3"/>
      <c r="BR269" s="3"/>
      <c r="BS269" s="3"/>
    </row>
    <row r="270" spans="1:71" ht="15">
      <c r="A270" s="66" t="s">
        <v>487</v>
      </c>
      <c r="B270" s="67"/>
      <c r="C270" s="67"/>
      <c r="D270" s="68">
        <v>150</v>
      </c>
      <c r="E270" s="70"/>
      <c r="F270" s="102" t="str">
        <f>HYPERLINK("https://yt3.ggpht.com/ytc/AOPolaTqNsoUneM3coLz965pbVRepWHPfhCnhitTUktLeQ=s88-c-k-c0x00ffffff-no-rj")</f>
        <v>https://yt3.ggpht.com/ytc/AOPolaTqNsoUneM3coLz965pbVRepWHPfhCnhitTUktLeQ=s88-c-k-c0x00ffffff-no-rj</v>
      </c>
      <c r="G270" s="67"/>
      <c r="H270" s="71" t="s">
        <v>1560</v>
      </c>
      <c r="I270" s="72"/>
      <c r="J270" s="72" t="s">
        <v>159</v>
      </c>
      <c r="K270" s="71" t="s">
        <v>1560</v>
      </c>
      <c r="L270" s="75">
        <v>1</v>
      </c>
      <c r="M270" s="76">
        <v>2106.894775390625</v>
      </c>
      <c r="N270" s="76">
        <v>2415.6904296875</v>
      </c>
      <c r="O270" s="77"/>
      <c r="P270" s="78"/>
      <c r="Q270" s="78"/>
      <c r="R270" s="88"/>
      <c r="S270" s="49">
        <v>0</v>
      </c>
      <c r="T270" s="49">
        <v>1</v>
      </c>
      <c r="U270" s="50">
        <v>0</v>
      </c>
      <c r="V270" s="50">
        <v>0.135911</v>
      </c>
      <c r="W270" s="50">
        <v>0</v>
      </c>
      <c r="X270" s="50">
        <v>0.00158</v>
      </c>
      <c r="Y270" s="50">
        <v>0</v>
      </c>
      <c r="Z270" s="50">
        <v>0</v>
      </c>
      <c r="AA270" s="73">
        <v>270</v>
      </c>
      <c r="AB270" s="73"/>
      <c r="AC270" s="74"/>
      <c r="AD270" s="81" t="s">
        <v>1560</v>
      </c>
      <c r="AE270" s="81"/>
      <c r="AF270" s="81"/>
      <c r="AG270" s="81"/>
      <c r="AH270" s="81"/>
      <c r="AI270" s="81" t="s">
        <v>2286</v>
      </c>
      <c r="AJ270" s="85">
        <v>40802.90998842593</v>
      </c>
      <c r="AK270" s="83" t="str">
        <f>HYPERLINK("https://yt3.ggpht.com/ytc/AOPolaTqNsoUneM3coLz965pbVRepWHPfhCnhitTUktLeQ=s88-c-k-c0x00ffffff-no-rj")</f>
        <v>https://yt3.ggpht.com/ytc/AOPolaTqNsoUneM3coLz965pbVRepWHPfhCnhitTUktLeQ=s88-c-k-c0x00ffffff-no-rj</v>
      </c>
      <c r="AL270" s="81">
        <v>0</v>
      </c>
      <c r="AM270" s="81">
        <v>0</v>
      </c>
      <c r="AN270" s="81">
        <v>4</v>
      </c>
      <c r="AO270" s="81" t="b">
        <v>0</v>
      </c>
      <c r="AP270" s="81">
        <v>0</v>
      </c>
      <c r="AQ270" s="81"/>
      <c r="AR270" s="81"/>
      <c r="AS270" s="81" t="s">
        <v>2571</v>
      </c>
      <c r="AT270" s="83" t="str">
        <f>HYPERLINK("https://www.youtube.com/channel/UCxFOzDYX1QkGBYhE4wkV-aA")</f>
        <v>https://www.youtube.com/channel/UCxFOzDYX1QkGBYhE4wkV-aA</v>
      </c>
      <c r="AU270" s="81">
        <v>2</v>
      </c>
      <c r="AV270" s="49">
        <v>0</v>
      </c>
      <c r="AW270" s="50">
        <v>0</v>
      </c>
      <c r="AX270" s="49">
        <v>0</v>
      </c>
      <c r="AY270" s="50">
        <v>0</v>
      </c>
      <c r="AZ270" s="49">
        <v>0</v>
      </c>
      <c r="BA270" s="50">
        <v>0</v>
      </c>
      <c r="BB270" s="49">
        <v>2</v>
      </c>
      <c r="BC270" s="50">
        <v>100</v>
      </c>
      <c r="BD270" s="49">
        <v>2</v>
      </c>
      <c r="BE270" s="49"/>
      <c r="BF270" s="49"/>
      <c r="BG270" s="49"/>
      <c r="BH270" s="49"/>
      <c r="BI270" s="49"/>
      <c r="BJ270" s="49"/>
      <c r="BK270" s="115" t="s">
        <v>2807</v>
      </c>
      <c r="BL270" s="115" t="s">
        <v>2807</v>
      </c>
      <c r="BM270" s="115" t="s">
        <v>3265</v>
      </c>
      <c r="BN270" s="115" t="s">
        <v>3265</v>
      </c>
      <c r="BO270" s="2"/>
      <c r="BP270" s="3"/>
      <c r="BQ270" s="3"/>
      <c r="BR270" s="3"/>
      <c r="BS270" s="3"/>
    </row>
    <row r="271" spans="1:71" ht="15">
      <c r="A271" s="66" t="s">
        <v>488</v>
      </c>
      <c r="B271" s="67"/>
      <c r="C271" s="67"/>
      <c r="D271" s="68">
        <v>150</v>
      </c>
      <c r="E271" s="70"/>
      <c r="F271" s="102" t="str">
        <f>HYPERLINK("https://yt3.ggpht.com/ytc/AOPolaS0hFHRvCSY9TzY_bq_HZj8YLBl6npvfue1ehmdyw=s88-c-k-c0x00ffffff-no-rj")</f>
        <v>https://yt3.ggpht.com/ytc/AOPolaS0hFHRvCSY9TzY_bq_HZj8YLBl6npvfue1ehmdyw=s88-c-k-c0x00ffffff-no-rj</v>
      </c>
      <c r="G271" s="67"/>
      <c r="H271" s="71" t="s">
        <v>1561</v>
      </c>
      <c r="I271" s="72"/>
      <c r="J271" s="72" t="s">
        <v>159</v>
      </c>
      <c r="K271" s="71" t="s">
        <v>1561</v>
      </c>
      <c r="L271" s="75">
        <v>1</v>
      </c>
      <c r="M271" s="76">
        <v>274.48577880859375</v>
      </c>
      <c r="N271" s="76">
        <v>1762.2559814453125</v>
      </c>
      <c r="O271" s="77"/>
      <c r="P271" s="78"/>
      <c r="Q271" s="78"/>
      <c r="R271" s="88"/>
      <c r="S271" s="49">
        <v>0</v>
      </c>
      <c r="T271" s="49">
        <v>1</v>
      </c>
      <c r="U271" s="50">
        <v>0</v>
      </c>
      <c r="V271" s="50">
        <v>0.135911</v>
      </c>
      <c r="W271" s="50">
        <v>0</v>
      </c>
      <c r="X271" s="50">
        <v>0.00158</v>
      </c>
      <c r="Y271" s="50">
        <v>0</v>
      </c>
      <c r="Z271" s="50">
        <v>0</v>
      </c>
      <c r="AA271" s="73">
        <v>271</v>
      </c>
      <c r="AB271" s="73"/>
      <c r="AC271" s="74"/>
      <c r="AD271" s="81" t="s">
        <v>1561</v>
      </c>
      <c r="AE271" s="81"/>
      <c r="AF271" s="81"/>
      <c r="AG271" s="81"/>
      <c r="AH271" s="81"/>
      <c r="AI271" s="81" t="s">
        <v>2287</v>
      </c>
      <c r="AJ271" s="85">
        <v>41739.907164351855</v>
      </c>
      <c r="AK271" s="83" t="str">
        <f>HYPERLINK("https://yt3.ggpht.com/ytc/AOPolaS0hFHRvCSY9TzY_bq_HZj8YLBl6npvfue1ehmdyw=s88-c-k-c0x00ffffff-no-rj")</f>
        <v>https://yt3.ggpht.com/ytc/AOPolaS0hFHRvCSY9TzY_bq_HZj8YLBl6npvfue1ehmdyw=s88-c-k-c0x00ffffff-no-rj</v>
      </c>
      <c r="AL271" s="81">
        <v>0</v>
      </c>
      <c r="AM271" s="81">
        <v>0</v>
      </c>
      <c r="AN271" s="81">
        <v>0</v>
      </c>
      <c r="AO271" s="81" t="b">
        <v>0</v>
      </c>
      <c r="AP271" s="81">
        <v>0</v>
      </c>
      <c r="AQ271" s="81"/>
      <c r="AR271" s="81"/>
      <c r="AS271" s="81" t="s">
        <v>2571</v>
      </c>
      <c r="AT271" s="83" t="str">
        <f>HYPERLINK("https://www.youtube.com/channel/UCfj9WRnlzba_26zFp5eVjUw")</f>
        <v>https://www.youtube.com/channel/UCfj9WRnlzba_26zFp5eVjUw</v>
      </c>
      <c r="AU271" s="81">
        <v>2</v>
      </c>
      <c r="AV271" s="49">
        <v>0</v>
      </c>
      <c r="AW271" s="50">
        <v>0</v>
      </c>
      <c r="AX271" s="49">
        <v>0</v>
      </c>
      <c r="AY271" s="50">
        <v>0</v>
      </c>
      <c r="AZ271" s="49">
        <v>0</v>
      </c>
      <c r="BA271" s="50">
        <v>0</v>
      </c>
      <c r="BB271" s="49">
        <v>3</v>
      </c>
      <c r="BC271" s="50">
        <v>100</v>
      </c>
      <c r="BD271" s="49">
        <v>3</v>
      </c>
      <c r="BE271" s="49"/>
      <c r="BF271" s="49"/>
      <c r="BG271" s="49"/>
      <c r="BH271" s="49"/>
      <c r="BI271" s="49"/>
      <c r="BJ271" s="49"/>
      <c r="BK271" s="115" t="s">
        <v>2808</v>
      </c>
      <c r="BL271" s="115" t="s">
        <v>2808</v>
      </c>
      <c r="BM271" s="115" t="s">
        <v>3266</v>
      </c>
      <c r="BN271" s="115" t="s">
        <v>3266</v>
      </c>
      <c r="BO271" s="2"/>
      <c r="BP271" s="3"/>
      <c r="BQ271" s="3"/>
      <c r="BR271" s="3"/>
      <c r="BS271" s="3"/>
    </row>
    <row r="272" spans="1:71" ht="15">
      <c r="A272" s="66" t="s">
        <v>489</v>
      </c>
      <c r="B272" s="67"/>
      <c r="C272" s="67"/>
      <c r="D272" s="68">
        <v>150</v>
      </c>
      <c r="E272" s="70"/>
      <c r="F272" s="102" t="str">
        <f>HYPERLINK("https://yt3.ggpht.com/ytc/AOPolaQOmEFQyMUcXbOc522-R6leXTsHPfqgtYMsSxY0EA=s88-c-k-c0x00ffffff-no-rj")</f>
        <v>https://yt3.ggpht.com/ytc/AOPolaQOmEFQyMUcXbOc522-R6leXTsHPfqgtYMsSxY0EA=s88-c-k-c0x00ffffff-no-rj</v>
      </c>
      <c r="G272" s="67"/>
      <c r="H272" s="71" t="s">
        <v>1562</v>
      </c>
      <c r="I272" s="72"/>
      <c r="J272" s="72" t="s">
        <v>159</v>
      </c>
      <c r="K272" s="71" t="s">
        <v>1562</v>
      </c>
      <c r="L272" s="75">
        <v>1</v>
      </c>
      <c r="M272" s="76">
        <v>184.9408721923828</v>
      </c>
      <c r="N272" s="76">
        <v>2119.214599609375</v>
      </c>
      <c r="O272" s="77"/>
      <c r="P272" s="78"/>
      <c r="Q272" s="78"/>
      <c r="R272" s="88"/>
      <c r="S272" s="49">
        <v>0</v>
      </c>
      <c r="T272" s="49">
        <v>1</v>
      </c>
      <c r="U272" s="50">
        <v>0</v>
      </c>
      <c r="V272" s="50">
        <v>0.135911</v>
      </c>
      <c r="W272" s="50">
        <v>0</v>
      </c>
      <c r="X272" s="50">
        <v>0.00158</v>
      </c>
      <c r="Y272" s="50">
        <v>0</v>
      </c>
      <c r="Z272" s="50">
        <v>0</v>
      </c>
      <c r="AA272" s="73">
        <v>272</v>
      </c>
      <c r="AB272" s="73"/>
      <c r="AC272" s="74"/>
      <c r="AD272" s="81" t="s">
        <v>1562</v>
      </c>
      <c r="AE272" s="81"/>
      <c r="AF272" s="81"/>
      <c r="AG272" s="81"/>
      <c r="AH272" s="81"/>
      <c r="AI272" s="81" t="s">
        <v>2288</v>
      </c>
      <c r="AJ272" s="85">
        <v>42823.18106481482</v>
      </c>
      <c r="AK272" s="83" t="str">
        <f>HYPERLINK("https://yt3.ggpht.com/ytc/AOPolaQOmEFQyMUcXbOc522-R6leXTsHPfqgtYMsSxY0EA=s88-c-k-c0x00ffffff-no-rj")</f>
        <v>https://yt3.ggpht.com/ytc/AOPolaQOmEFQyMUcXbOc522-R6leXTsHPfqgtYMsSxY0EA=s88-c-k-c0x00ffffff-no-rj</v>
      </c>
      <c r="AL272" s="81">
        <v>305</v>
      </c>
      <c r="AM272" s="81">
        <v>0</v>
      </c>
      <c r="AN272" s="81">
        <v>21</v>
      </c>
      <c r="AO272" s="81" t="b">
        <v>0</v>
      </c>
      <c r="AP272" s="81">
        <v>10</v>
      </c>
      <c r="AQ272" s="81"/>
      <c r="AR272" s="81"/>
      <c r="AS272" s="81" t="s">
        <v>2571</v>
      </c>
      <c r="AT272" s="83" t="str">
        <f>HYPERLINK("https://www.youtube.com/channel/UCCoUV9TjLC98KijS45QgfTw")</f>
        <v>https://www.youtube.com/channel/UCCoUV9TjLC98KijS45QgfTw</v>
      </c>
      <c r="AU272" s="81">
        <v>2</v>
      </c>
      <c r="AV272" s="49">
        <v>1</v>
      </c>
      <c r="AW272" s="50">
        <v>11.11111111111111</v>
      </c>
      <c r="AX272" s="49">
        <v>0</v>
      </c>
      <c r="AY272" s="50">
        <v>0</v>
      </c>
      <c r="AZ272" s="49">
        <v>0</v>
      </c>
      <c r="BA272" s="50">
        <v>0</v>
      </c>
      <c r="BB272" s="49">
        <v>3</v>
      </c>
      <c r="BC272" s="50">
        <v>33.333333333333336</v>
      </c>
      <c r="BD272" s="49">
        <v>9</v>
      </c>
      <c r="BE272" s="49"/>
      <c r="BF272" s="49"/>
      <c r="BG272" s="49"/>
      <c r="BH272" s="49"/>
      <c r="BI272" s="49"/>
      <c r="BJ272" s="49"/>
      <c r="BK272" s="115" t="s">
        <v>2809</v>
      </c>
      <c r="BL272" s="115" t="s">
        <v>2809</v>
      </c>
      <c r="BM272" s="115" t="s">
        <v>3267</v>
      </c>
      <c r="BN272" s="115" t="s">
        <v>3267</v>
      </c>
      <c r="BO272" s="2"/>
      <c r="BP272" s="3"/>
      <c r="BQ272" s="3"/>
      <c r="BR272" s="3"/>
      <c r="BS272" s="3"/>
    </row>
    <row r="273" spans="1:71" ht="15">
      <c r="A273" s="66" t="s">
        <v>490</v>
      </c>
      <c r="B273" s="67"/>
      <c r="C273" s="67"/>
      <c r="D273" s="68">
        <v>150</v>
      </c>
      <c r="E273" s="70"/>
      <c r="F273" s="102" t="str">
        <f>HYPERLINK("https://yt3.ggpht.com/ytc/AOPolaSiJCZ9JUxmsuHKcxhDdJHeivbB9IjayHk_PKWY=s88-c-k-c0x00ffffff-no-rj")</f>
        <v>https://yt3.ggpht.com/ytc/AOPolaSiJCZ9JUxmsuHKcxhDdJHeivbB9IjayHk_PKWY=s88-c-k-c0x00ffffff-no-rj</v>
      </c>
      <c r="G273" s="67"/>
      <c r="H273" s="71" t="s">
        <v>1563</v>
      </c>
      <c r="I273" s="72"/>
      <c r="J273" s="72" t="s">
        <v>159</v>
      </c>
      <c r="K273" s="71" t="s">
        <v>1563</v>
      </c>
      <c r="L273" s="75">
        <v>1</v>
      </c>
      <c r="M273" s="76">
        <v>4621.36279296875</v>
      </c>
      <c r="N273" s="76">
        <v>1509.1722412109375</v>
      </c>
      <c r="O273" s="77"/>
      <c r="P273" s="78"/>
      <c r="Q273" s="78"/>
      <c r="R273" s="88"/>
      <c r="S273" s="49">
        <v>0</v>
      </c>
      <c r="T273" s="49">
        <v>1</v>
      </c>
      <c r="U273" s="50">
        <v>0</v>
      </c>
      <c r="V273" s="50">
        <v>0.135911</v>
      </c>
      <c r="W273" s="50">
        <v>0</v>
      </c>
      <c r="X273" s="50">
        <v>0.00158</v>
      </c>
      <c r="Y273" s="50">
        <v>0</v>
      </c>
      <c r="Z273" s="50">
        <v>0</v>
      </c>
      <c r="AA273" s="73">
        <v>273</v>
      </c>
      <c r="AB273" s="73"/>
      <c r="AC273" s="74"/>
      <c r="AD273" s="81" t="s">
        <v>1563</v>
      </c>
      <c r="AE273" s="81"/>
      <c r="AF273" s="81"/>
      <c r="AG273" s="81"/>
      <c r="AH273" s="81"/>
      <c r="AI273" s="81" t="s">
        <v>2289</v>
      </c>
      <c r="AJ273" s="85">
        <v>44092.50314814815</v>
      </c>
      <c r="AK273" s="83" t="str">
        <f>HYPERLINK("https://yt3.ggpht.com/ytc/AOPolaSiJCZ9JUxmsuHKcxhDdJHeivbB9IjayHk_PKWY=s88-c-k-c0x00ffffff-no-rj")</f>
        <v>https://yt3.ggpht.com/ytc/AOPolaSiJCZ9JUxmsuHKcxhDdJHeivbB9IjayHk_PKWY=s88-c-k-c0x00ffffff-no-rj</v>
      </c>
      <c r="AL273" s="81">
        <v>0</v>
      </c>
      <c r="AM273" s="81">
        <v>0</v>
      </c>
      <c r="AN273" s="81">
        <v>12</v>
      </c>
      <c r="AO273" s="81" t="b">
        <v>0</v>
      </c>
      <c r="AP273" s="81">
        <v>0</v>
      </c>
      <c r="AQ273" s="81"/>
      <c r="AR273" s="81"/>
      <c r="AS273" s="81" t="s">
        <v>2571</v>
      </c>
      <c r="AT273" s="83" t="str">
        <f>HYPERLINK("https://www.youtube.com/channel/UCt4EWW8xBw16DEXh2PsKJCg")</f>
        <v>https://www.youtube.com/channel/UCt4EWW8xBw16DEXh2PsKJCg</v>
      </c>
      <c r="AU273" s="81">
        <v>2</v>
      </c>
      <c r="AV273" s="49">
        <v>0</v>
      </c>
      <c r="AW273" s="50">
        <v>0</v>
      </c>
      <c r="AX273" s="49">
        <v>1</v>
      </c>
      <c r="AY273" s="50">
        <v>11.11111111111111</v>
      </c>
      <c r="AZ273" s="49">
        <v>0</v>
      </c>
      <c r="BA273" s="50">
        <v>0</v>
      </c>
      <c r="BB273" s="49">
        <v>1</v>
      </c>
      <c r="BC273" s="50">
        <v>11.11111111111111</v>
      </c>
      <c r="BD273" s="49">
        <v>9</v>
      </c>
      <c r="BE273" s="49"/>
      <c r="BF273" s="49"/>
      <c r="BG273" s="49"/>
      <c r="BH273" s="49"/>
      <c r="BI273" s="49"/>
      <c r="BJ273" s="49"/>
      <c r="BK273" s="115" t="s">
        <v>2810</v>
      </c>
      <c r="BL273" s="115" t="s">
        <v>2810</v>
      </c>
      <c r="BM273" s="115" t="s">
        <v>3268</v>
      </c>
      <c r="BN273" s="115" t="s">
        <v>3268</v>
      </c>
      <c r="BO273" s="2"/>
      <c r="BP273" s="3"/>
      <c r="BQ273" s="3"/>
      <c r="BR273" s="3"/>
      <c r="BS273" s="3"/>
    </row>
    <row r="274" spans="1:71" ht="15">
      <c r="A274" s="66" t="s">
        <v>491</v>
      </c>
      <c r="B274" s="67"/>
      <c r="C274" s="67"/>
      <c r="D274" s="68">
        <v>150</v>
      </c>
      <c r="E274" s="70"/>
      <c r="F274" s="102" t="str">
        <f>HYPERLINK("https://yt3.ggpht.com/mPyFoRnzznEPHiJrTYUqachlzHv14c2RscM-EJqkoro4q4QQZztDCjTnZPqT1QYAPWzF9Rnb=s88-c-k-c0x00ffffff-no-rj")</f>
        <v>https://yt3.ggpht.com/mPyFoRnzznEPHiJrTYUqachlzHv14c2RscM-EJqkoro4q4QQZztDCjTnZPqT1QYAPWzF9Rnb=s88-c-k-c0x00ffffff-no-rj</v>
      </c>
      <c r="G274" s="67"/>
      <c r="H274" s="71" t="s">
        <v>1564</v>
      </c>
      <c r="I274" s="72"/>
      <c r="J274" s="72" t="s">
        <v>159</v>
      </c>
      <c r="K274" s="71" t="s">
        <v>1564</v>
      </c>
      <c r="L274" s="75">
        <v>1</v>
      </c>
      <c r="M274" s="76">
        <v>1100.2650146484375</v>
      </c>
      <c r="N274" s="76">
        <v>715.7077026367188</v>
      </c>
      <c r="O274" s="77"/>
      <c r="P274" s="78"/>
      <c r="Q274" s="78"/>
      <c r="R274" s="88"/>
      <c r="S274" s="49">
        <v>0</v>
      </c>
      <c r="T274" s="49">
        <v>1</v>
      </c>
      <c r="U274" s="50">
        <v>0</v>
      </c>
      <c r="V274" s="50">
        <v>0.135911</v>
      </c>
      <c r="W274" s="50">
        <v>0</v>
      </c>
      <c r="X274" s="50">
        <v>0.00158</v>
      </c>
      <c r="Y274" s="50">
        <v>0</v>
      </c>
      <c r="Z274" s="50">
        <v>0</v>
      </c>
      <c r="AA274" s="73">
        <v>274</v>
      </c>
      <c r="AB274" s="73"/>
      <c r="AC274" s="74"/>
      <c r="AD274" s="81" t="s">
        <v>1564</v>
      </c>
      <c r="AE274" s="81" t="s">
        <v>1968</v>
      </c>
      <c r="AF274" s="81"/>
      <c r="AG274" s="81"/>
      <c r="AH274" s="81"/>
      <c r="AI274" s="81" t="s">
        <v>2290</v>
      </c>
      <c r="AJ274" s="85">
        <v>41058.66881944444</v>
      </c>
      <c r="AK274" s="83" t="str">
        <f>HYPERLINK("https://yt3.ggpht.com/mPyFoRnzznEPHiJrTYUqachlzHv14c2RscM-EJqkoro4q4QQZztDCjTnZPqT1QYAPWzF9Rnb=s88-c-k-c0x00ffffff-no-rj")</f>
        <v>https://yt3.ggpht.com/mPyFoRnzznEPHiJrTYUqachlzHv14c2RscM-EJqkoro4q4QQZztDCjTnZPqT1QYAPWzF9Rnb=s88-c-k-c0x00ffffff-no-rj</v>
      </c>
      <c r="AL274" s="81">
        <v>19616</v>
      </c>
      <c r="AM274" s="81">
        <v>0</v>
      </c>
      <c r="AN274" s="81">
        <v>1290</v>
      </c>
      <c r="AO274" s="81" t="b">
        <v>0</v>
      </c>
      <c r="AP274" s="81">
        <v>29</v>
      </c>
      <c r="AQ274" s="81"/>
      <c r="AR274" s="81"/>
      <c r="AS274" s="81" t="s">
        <v>2571</v>
      </c>
      <c r="AT274" s="83" t="str">
        <f>HYPERLINK("https://www.youtube.com/channel/UCMAjL0o21SEiBRDgTedgXmw")</f>
        <v>https://www.youtube.com/channel/UCMAjL0o21SEiBRDgTedgXmw</v>
      </c>
      <c r="AU274" s="81">
        <v>2</v>
      </c>
      <c r="AV274" s="49">
        <v>0</v>
      </c>
      <c r="AW274" s="50">
        <v>0</v>
      </c>
      <c r="AX274" s="49">
        <v>0</v>
      </c>
      <c r="AY274" s="50">
        <v>0</v>
      </c>
      <c r="AZ274" s="49">
        <v>0</v>
      </c>
      <c r="BA274" s="50">
        <v>0</v>
      </c>
      <c r="BB274" s="49">
        <v>12</v>
      </c>
      <c r="BC274" s="50">
        <v>60</v>
      </c>
      <c r="BD274" s="49">
        <v>20</v>
      </c>
      <c r="BE274" s="49"/>
      <c r="BF274" s="49"/>
      <c r="BG274" s="49"/>
      <c r="BH274" s="49"/>
      <c r="BI274" s="49"/>
      <c r="BJ274" s="49"/>
      <c r="BK274" s="115" t="s">
        <v>2811</v>
      </c>
      <c r="BL274" s="115" t="s">
        <v>2811</v>
      </c>
      <c r="BM274" s="115" t="s">
        <v>3269</v>
      </c>
      <c r="BN274" s="115" t="s">
        <v>3269</v>
      </c>
      <c r="BO274" s="2"/>
      <c r="BP274" s="3"/>
      <c r="BQ274" s="3"/>
      <c r="BR274" s="3"/>
      <c r="BS274" s="3"/>
    </row>
    <row r="275" spans="1:71" ht="15">
      <c r="A275" s="66" t="s">
        <v>492</v>
      </c>
      <c r="B275" s="67"/>
      <c r="C275" s="67"/>
      <c r="D275" s="68">
        <v>150</v>
      </c>
      <c r="E275" s="70"/>
      <c r="F275" s="102" t="str">
        <f>HYPERLINK("https://yt3.ggpht.com/rTMEBNNqN_M-MYjA_4hfCtRUGU_wrCqa431C2tdTrOdc385P6PJ6v-Pa3-J7I47w7nMORKZ0HQ=s88-c-k-c0x00ffffff-no-rj")</f>
        <v>https://yt3.ggpht.com/rTMEBNNqN_M-MYjA_4hfCtRUGU_wrCqa431C2tdTrOdc385P6PJ6v-Pa3-J7I47w7nMORKZ0HQ=s88-c-k-c0x00ffffff-no-rj</v>
      </c>
      <c r="G275" s="67"/>
      <c r="H275" s="71" t="s">
        <v>1565</v>
      </c>
      <c r="I275" s="72"/>
      <c r="J275" s="72" t="s">
        <v>159</v>
      </c>
      <c r="K275" s="71" t="s">
        <v>1565</v>
      </c>
      <c r="L275" s="75">
        <v>1</v>
      </c>
      <c r="M275" s="76">
        <v>1276.089599609375</v>
      </c>
      <c r="N275" s="76">
        <v>670.3883666992188</v>
      </c>
      <c r="O275" s="77"/>
      <c r="P275" s="78"/>
      <c r="Q275" s="78"/>
      <c r="R275" s="88"/>
      <c r="S275" s="49">
        <v>0</v>
      </c>
      <c r="T275" s="49">
        <v>1</v>
      </c>
      <c r="U275" s="50">
        <v>0</v>
      </c>
      <c r="V275" s="50">
        <v>0.135911</v>
      </c>
      <c r="W275" s="50">
        <v>0</v>
      </c>
      <c r="X275" s="50">
        <v>0.00158</v>
      </c>
      <c r="Y275" s="50">
        <v>0</v>
      </c>
      <c r="Z275" s="50">
        <v>0</v>
      </c>
      <c r="AA275" s="73">
        <v>275</v>
      </c>
      <c r="AB275" s="73"/>
      <c r="AC275" s="74"/>
      <c r="AD275" s="81" t="s">
        <v>1565</v>
      </c>
      <c r="AE275" s="81"/>
      <c r="AF275" s="81"/>
      <c r="AG275" s="81"/>
      <c r="AH275" s="81"/>
      <c r="AI275" s="81" t="s">
        <v>2291</v>
      </c>
      <c r="AJ275" s="85">
        <v>43371.617627314816</v>
      </c>
      <c r="AK275" s="83" t="str">
        <f>HYPERLINK("https://yt3.ggpht.com/rTMEBNNqN_M-MYjA_4hfCtRUGU_wrCqa431C2tdTrOdc385P6PJ6v-Pa3-J7I47w7nMORKZ0HQ=s88-c-k-c0x00ffffff-no-rj")</f>
        <v>https://yt3.ggpht.com/rTMEBNNqN_M-MYjA_4hfCtRUGU_wrCqa431C2tdTrOdc385P6PJ6v-Pa3-J7I47w7nMORKZ0HQ=s88-c-k-c0x00ffffff-no-rj</v>
      </c>
      <c r="AL275" s="81">
        <v>0</v>
      </c>
      <c r="AM275" s="81">
        <v>0</v>
      </c>
      <c r="AN275" s="81">
        <v>8</v>
      </c>
      <c r="AO275" s="81" t="b">
        <v>0</v>
      </c>
      <c r="AP275" s="81">
        <v>0</v>
      </c>
      <c r="AQ275" s="81"/>
      <c r="AR275" s="81"/>
      <c r="AS275" s="81" t="s">
        <v>2571</v>
      </c>
      <c r="AT275" s="83" t="str">
        <f>HYPERLINK("https://www.youtube.com/channel/UCtd3wRenfaDiQ3U5zyBkcFg")</f>
        <v>https://www.youtube.com/channel/UCtd3wRenfaDiQ3U5zyBkcFg</v>
      </c>
      <c r="AU275" s="81">
        <v>2</v>
      </c>
      <c r="AV275" s="49">
        <v>0</v>
      </c>
      <c r="AW275" s="50">
        <v>0</v>
      </c>
      <c r="AX275" s="49">
        <v>0</v>
      </c>
      <c r="AY275" s="50">
        <v>0</v>
      </c>
      <c r="AZ275" s="49">
        <v>0</v>
      </c>
      <c r="BA275" s="50">
        <v>0</v>
      </c>
      <c r="BB275" s="49">
        <v>2</v>
      </c>
      <c r="BC275" s="50">
        <v>28.571428571428573</v>
      </c>
      <c r="BD275" s="49">
        <v>7</v>
      </c>
      <c r="BE275" s="49"/>
      <c r="BF275" s="49"/>
      <c r="BG275" s="49"/>
      <c r="BH275" s="49"/>
      <c r="BI275" s="49"/>
      <c r="BJ275" s="49"/>
      <c r="BK275" s="115" t="s">
        <v>2812</v>
      </c>
      <c r="BL275" s="115" t="s">
        <v>2812</v>
      </c>
      <c r="BM275" s="115" t="s">
        <v>3270</v>
      </c>
      <c r="BN275" s="115" t="s">
        <v>3270</v>
      </c>
      <c r="BO275" s="2"/>
      <c r="BP275" s="3"/>
      <c r="BQ275" s="3"/>
      <c r="BR275" s="3"/>
      <c r="BS275" s="3"/>
    </row>
    <row r="276" spans="1:71" ht="15">
      <c r="A276" s="66" t="s">
        <v>493</v>
      </c>
      <c r="B276" s="67"/>
      <c r="C276" s="67"/>
      <c r="D276" s="68">
        <v>150</v>
      </c>
      <c r="E276" s="70"/>
      <c r="F276" s="102" t="str">
        <f>HYPERLINK("https://yt3.ggpht.com/ytc/AOPolaS1LZSv3xu5smpwq5KfSbMgEi0fv7_FFKQOFjoe=s88-c-k-c0x00ffffff-no-rj")</f>
        <v>https://yt3.ggpht.com/ytc/AOPolaS1LZSv3xu5smpwq5KfSbMgEi0fv7_FFKQOFjoe=s88-c-k-c0x00ffffff-no-rj</v>
      </c>
      <c r="G276" s="67"/>
      <c r="H276" s="71" t="s">
        <v>1566</v>
      </c>
      <c r="I276" s="72"/>
      <c r="J276" s="72" t="s">
        <v>159</v>
      </c>
      <c r="K276" s="71" t="s">
        <v>1566</v>
      </c>
      <c r="L276" s="75">
        <v>1</v>
      </c>
      <c r="M276" s="76">
        <v>4014.072265625</v>
      </c>
      <c r="N276" s="76">
        <v>2964.34423828125</v>
      </c>
      <c r="O276" s="77"/>
      <c r="P276" s="78"/>
      <c r="Q276" s="78"/>
      <c r="R276" s="88"/>
      <c r="S276" s="49">
        <v>0</v>
      </c>
      <c r="T276" s="49">
        <v>1</v>
      </c>
      <c r="U276" s="50">
        <v>0</v>
      </c>
      <c r="V276" s="50">
        <v>0.135911</v>
      </c>
      <c r="W276" s="50">
        <v>0</v>
      </c>
      <c r="X276" s="50">
        <v>0.00158</v>
      </c>
      <c r="Y276" s="50">
        <v>0</v>
      </c>
      <c r="Z276" s="50">
        <v>0</v>
      </c>
      <c r="AA276" s="73">
        <v>276</v>
      </c>
      <c r="AB276" s="73"/>
      <c r="AC276" s="74"/>
      <c r="AD276" s="81" t="s">
        <v>1566</v>
      </c>
      <c r="AE276" s="81"/>
      <c r="AF276" s="81"/>
      <c r="AG276" s="81"/>
      <c r="AH276" s="81"/>
      <c r="AI276" s="81" t="s">
        <v>2292</v>
      </c>
      <c r="AJ276" s="85">
        <v>41989.93549768518</v>
      </c>
      <c r="AK276" s="83" t="str">
        <f>HYPERLINK("https://yt3.ggpht.com/ytc/AOPolaS1LZSv3xu5smpwq5KfSbMgEi0fv7_FFKQOFjoe=s88-c-k-c0x00ffffff-no-rj")</f>
        <v>https://yt3.ggpht.com/ytc/AOPolaS1LZSv3xu5smpwq5KfSbMgEi0fv7_FFKQOFjoe=s88-c-k-c0x00ffffff-no-rj</v>
      </c>
      <c r="AL276" s="81">
        <v>0</v>
      </c>
      <c r="AM276" s="81">
        <v>0</v>
      </c>
      <c r="AN276" s="81">
        <v>3</v>
      </c>
      <c r="AO276" s="81" t="b">
        <v>0</v>
      </c>
      <c r="AP276" s="81">
        <v>0</v>
      </c>
      <c r="AQ276" s="81"/>
      <c r="AR276" s="81"/>
      <c r="AS276" s="81" t="s">
        <v>2571</v>
      </c>
      <c r="AT276" s="83" t="str">
        <f>HYPERLINK("https://www.youtube.com/channel/UCtdg3sbCGTOLdiGBuFJXmDA")</f>
        <v>https://www.youtube.com/channel/UCtdg3sbCGTOLdiGBuFJXmDA</v>
      </c>
      <c r="AU276" s="81">
        <v>2</v>
      </c>
      <c r="AV276" s="49">
        <v>3</v>
      </c>
      <c r="AW276" s="50">
        <v>7.142857142857143</v>
      </c>
      <c r="AX276" s="49">
        <v>0</v>
      </c>
      <c r="AY276" s="50">
        <v>0</v>
      </c>
      <c r="AZ276" s="49">
        <v>0</v>
      </c>
      <c r="BA276" s="50">
        <v>0</v>
      </c>
      <c r="BB276" s="49">
        <v>14</v>
      </c>
      <c r="BC276" s="50">
        <v>33.333333333333336</v>
      </c>
      <c r="BD276" s="49">
        <v>42</v>
      </c>
      <c r="BE276" s="49"/>
      <c r="BF276" s="49"/>
      <c r="BG276" s="49"/>
      <c r="BH276" s="49"/>
      <c r="BI276" s="49"/>
      <c r="BJ276" s="49"/>
      <c r="BK276" s="115" t="s">
        <v>2813</v>
      </c>
      <c r="BL276" s="115" t="s">
        <v>2813</v>
      </c>
      <c r="BM276" s="115" t="s">
        <v>3271</v>
      </c>
      <c r="BN276" s="115" t="s">
        <v>3271</v>
      </c>
      <c r="BO276" s="2"/>
      <c r="BP276" s="3"/>
      <c r="BQ276" s="3"/>
      <c r="BR276" s="3"/>
      <c r="BS276" s="3"/>
    </row>
    <row r="277" spans="1:71" ht="15">
      <c r="A277" s="66" t="s">
        <v>494</v>
      </c>
      <c r="B277" s="67"/>
      <c r="C277" s="67"/>
      <c r="D277" s="68">
        <v>150</v>
      </c>
      <c r="E277" s="70"/>
      <c r="F277" s="102" t="str">
        <f>HYPERLINK("https://yt3.ggpht.com/ytc/AOPolaS8oRFLzj0RvmLchYsgInSnOTZ5N5uupXUORg=s88-c-k-c0x00ffffff-no-rj")</f>
        <v>https://yt3.ggpht.com/ytc/AOPolaS8oRFLzj0RvmLchYsgInSnOTZ5N5uupXUORg=s88-c-k-c0x00ffffff-no-rj</v>
      </c>
      <c r="G277" s="67"/>
      <c r="H277" s="71" t="s">
        <v>1567</v>
      </c>
      <c r="I277" s="72"/>
      <c r="J277" s="72" t="s">
        <v>159</v>
      </c>
      <c r="K277" s="71" t="s">
        <v>1567</v>
      </c>
      <c r="L277" s="75">
        <v>1</v>
      </c>
      <c r="M277" s="76">
        <v>5515.04248046875</v>
      </c>
      <c r="N277" s="76">
        <v>3400.32177734375</v>
      </c>
      <c r="O277" s="77"/>
      <c r="P277" s="78"/>
      <c r="Q277" s="78"/>
      <c r="R277" s="88"/>
      <c r="S277" s="49">
        <v>0</v>
      </c>
      <c r="T277" s="49">
        <v>1</v>
      </c>
      <c r="U277" s="50">
        <v>0</v>
      </c>
      <c r="V277" s="50">
        <v>0.135911</v>
      </c>
      <c r="W277" s="50">
        <v>0</v>
      </c>
      <c r="X277" s="50">
        <v>0.00158</v>
      </c>
      <c r="Y277" s="50">
        <v>0</v>
      </c>
      <c r="Z277" s="50">
        <v>0</v>
      </c>
      <c r="AA277" s="73">
        <v>277</v>
      </c>
      <c r="AB277" s="73"/>
      <c r="AC277" s="74"/>
      <c r="AD277" s="81" t="s">
        <v>1567</v>
      </c>
      <c r="AE277" s="81"/>
      <c r="AF277" s="81"/>
      <c r="AG277" s="81"/>
      <c r="AH277" s="81"/>
      <c r="AI277" s="81" t="s">
        <v>2293</v>
      </c>
      <c r="AJ277" s="85">
        <v>41860.75916666666</v>
      </c>
      <c r="AK277" s="83" t="str">
        <f>HYPERLINK("https://yt3.ggpht.com/ytc/AOPolaS8oRFLzj0RvmLchYsgInSnOTZ5N5uupXUORg=s88-c-k-c0x00ffffff-no-rj")</f>
        <v>https://yt3.ggpht.com/ytc/AOPolaS8oRFLzj0RvmLchYsgInSnOTZ5N5uupXUORg=s88-c-k-c0x00ffffff-no-rj</v>
      </c>
      <c r="AL277" s="81">
        <v>463</v>
      </c>
      <c r="AM277" s="81">
        <v>0</v>
      </c>
      <c r="AN277" s="81">
        <v>6</v>
      </c>
      <c r="AO277" s="81" t="b">
        <v>0</v>
      </c>
      <c r="AP277" s="81">
        <v>11</v>
      </c>
      <c r="AQ277" s="81"/>
      <c r="AR277" s="81"/>
      <c r="AS277" s="81" t="s">
        <v>2571</v>
      </c>
      <c r="AT277" s="83" t="str">
        <f>HYPERLINK("https://www.youtube.com/channel/UCPKnvbtQzhFGp2-XLqNTGTw")</f>
        <v>https://www.youtube.com/channel/UCPKnvbtQzhFGp2-XLqNTGTw</v>
      </c>
      <c r="AU277" s="81">
        <v>2</v>
      </c>
      <c r="AV277" s="49">
        <v>1</v>
      </c>
      <c r="AW277" s="50">
        <v>7.142857142857143</v>
      </c>
      <c r="AX277" s="49">
        <v>1</v>
      </c>
      <c r="AY277" s="50">
        <v>7.142857142857143</v>
      </c>
      <c r="AZ277" s="49">
        <v>0</v>
      </c>
      <c r="BA277" s="50">
        <v>0</v>
      </c>
      <c r="BB277" s="49">
        <v>8</v>
      </c>
      <c r="BC277" s="50">
        <v>57.142857142857146</v>
      </c>
      <c r="BD277" s="49">
        <v>14</v>
      </c>
      <c r="BE277" s="49"/>
      <c r="BF277" s="49"/>
      <c r="BG277" s="49"/>
      <c r="BH277" s="49"/>
      <c r="BI277" s="49"/>
      <c r="BJ277" s="49"/>
      <c r="BK277" s="115" t="s">
        <v>2814</v>
      </c>
      <c r="BL277" s="115" t="s">
        <v>2814</v>
      </c>
      <c r="BM277" s="115" t="s">
        <v>3272</v>
      </c>
      <c r="BN277" s="115" t="s">
        <v>3272</v>
      </c>
      <c r="BO277" s="2"/>
      <c r="BP277" s="3"/>
      <c r="BQ277" s="3"/>
      <c r="BR277" s="3"/>
      <c r="BS277" s="3"/>
    </row>
    <row r="278" spans="1:71" ht="15">
      <c r="A278" s="66" t="s">
        <v>495</v>
      </c>
      <c r="B278" s="67"/>
      <c r="C278" s="67"/>
      <c r="D278" s="68">
        <v>150</v>
      </c>
      <c r="E278" s="70"/>
      <c r="F278" s="102" t="str">
        <f>HYPERLINK("https://yt3.ggpht.com/ytc/AOPolaR0TXEPaB_ZYerBhW-aFi2ZTwBaFjr45U9hUVr3=s88-c-k-c0x00ffffff-no-rj")</f>
        <v>https://yt3.ggpht.com/ytc/AOPolaR0TXEPaB_ZYerBhW-aFi2ZTwBaFjr45U9hUVr3=s88-c-k-c0x00ffffff-no-rj</v>
      </c>
      <c r="G278" s="67"/>
      <c r="H278" s="71" t="s">
        <v>1568</v>
      </c>
      <c r="I278" s="72"/>
      <c r="J278" s="72" t="s">
        <v>159</v>
      </c>
      <c r="K278" s="71" t="s">
        <v>1568</v>
      </c>
      <c r="L278" s="75">
        <v>1</v>
      </c>
      <c r="M278" s="76">
        <v>5983.6640625</v>
      </c>
      <c r="N278" s="76">
        <v>2556.399169921875</v>
      </c>
      <c r="O278" s="77"/>
      <c r="P278" s="78"/>
      <c r="Q278" s="78"/>
      <c r="R278" s="88"/>
      <c r="S278" s="49">
        <v>0</v>
      </c>
      <c r="T278" s="49">
        <v>1</v>
      </c>
      <c r="U278" s="50">
        <v>0</v>
      </c>
      <c r="V278" s="50">
        <v>0.135911</v>
      </c>
      <c r="W278" s="50">
        <v>0</v>
      </c>
      <c r="X278" s="50">
        <v>0.00158</v>
      </c>
      <c r="Y278" s="50">
        <v>0</v>
      </c>
      <c r="Z278" s="50">
        <v>0</v>
      </c>
      <c r="AA278" s="73">
        <v>278</v>
      </c>
      <c r="AB278" s="73"/>
      <c r="AC278" s="74"/>
      <c r="AD278" s="81" t="s">
        <v>1568</v>
      </c>
      <c r="AE278" s="81" t="s">
        <v>1969</v>
      </c>
      <c r="AF278" s="81"/>
      <c r="AG278" s="81"/>
      <c r="AH278" s="81"/>
      <c r="AI278" s="81" t="s">
        <v>2294</v>
      </c>
      <c r="AJ278" s="85">
        <v>41914.12226851852</v>
      </c>
      <c r="AK278" s="83" t="str">
        <f>HYPERLINK("https://yt3.ggpht.com/ytc/AOPolaR0TXEPaB_ZYerBhW-aFi2ZTwBaFjr45U9hUVr3=s88-c-k-c0x00ffffff-no-rj")</f>
        <v>https://yt3.ggpht.com/ytc/AOPolaR0TXEPaB_ZYerBhW-aFi2ZTwBaFjr45U9hUVr3=s88-c-k-c0x00ffffff-no-rj</v>
      </c>
      <c r="AL278" s="81">
        <v>153</v>
      </c>
      <c r="AM278" s="81">
        <v>0</v>
      </c>
      <c r="AN278" s="81">
        <v>5</v>
      </c>
      <c r="AO278" s="81" t="b">
        <v>0</v>
      </c>
      <c r="AP278" s="81">
        <v>7</v>
      </c>
      <c r="AQ278" s="81"/>
      <c r="AR278" s="81"/>
      <c r="AS278" s="81" t="s">
        <v>2571</v>
      </c>
      <c r="AT278" s="83" t="str">
        <f>HYPERLINK("https://www.youtube.com/channel/UCu5bxEeqk0-PKsOcTNPM91w")</f>
        <v>https://www.youtube.com/channel/UCu5bxEeqk0-PKsOcTNPM91w</v>
      </c>
      <c r="AU278" s="81">
        <v>2</v>
      </c>
      <c r="AV278" s="49">
        <v>0</v>
      </c>
      <c r="AW278" s="50">
        <v>0</v>
      </c>
      <c r="AX278" s="49">
        <v>0</v>
      </c>
      <c r="AY278" s="50">
        <v>0</v>
      </c>
      <c r="AZ278" s="49">
        <v>0</v>
      </c>
      <c r="BA278" s="50">
        <v>0</v>
      </c>
      <c r="BB278" s="49">
        <v>2</v>
      </c>
      <c r="BC278" s="50">
        <v>33.333333333333336</v>
      </c>
      <c r="BD278" s="49">
        <v>6</v>
      </c>
      <c r="BE278" s="49"/>
      <c r="BF278" s="49"/>
      <c r="BG278" s="49"/>
      <c r="BH278" s="49"/>
      <c r="BI278" s="49"/>
      <c r="BJ278" s="49"/>
      <c r="BK278" s="115" t="s">
        <v>2815</v>
      </c>
      <c r="BL278" s="115" t="s">
        <v>2815</v>
      </c>
      <c r="BM278" s="115" t="s">
        <v>3273</v>
      </c>
      <c r="BN278" s="115" t="s">
        <v>3273</v>
      </c>
      <c r="BO278" s="2"/>
      <c r="BP278" s="3"/>
      <c r="BQ278" s="3"/>
      <c r="BR278" s="3"/>
      <c r="BS278" s="3"/>
    </row>
    <row r="279" spans="1:71" ht="15">
      <c r="A279" s="66" t="s">
        <v>496</v>
      </c>
      <c r="B279" s="67"/>
      <c r="C279" s="67"/>
      <c r="D279" s="68">
        <v>150</v>
      </c>
      <c r="E279" s="70"/>
      <c r="F279" s="102" t="str">
        <f>HYPERLINK("https://yt3.ggpht.com/bmnWfreTPRBTtpVqfp6NfHoHNZ2mvNRabt9pBX1wlzGYkEb_LS9u8dlGkpAjvgUI-byrTy9PhA=s88-c-k-c0x00ffffff-no-rj")</f>
        <v>https://yt3.ggpht.com/bmnWfreTPRBTtpVqfp6NfHoHNZ2mvNRabt9pBX1wlzGYkEb_LS9u8dlGkpAjvgUI-byrTy9PhA=s88-c-k-c0x00ffffff-no-rj</v>
      </c>
      <c r="G279" s="67"/>
      <c r="H279" s="71" t="s">
        <v>1569</v>
      </c>
      <c r="I279" s="72"/>
      <c r="J279" s="72" t="s">
        <v>159</v>
      </c>
      <c r="K279" s="71" t="s">
        <v>1569</v>
      </c>
      <c r="L279" s="75">
        <v>1</v>
      </c>
      <c r="M279" s="76">
        <v>2244.416748046875</v>
      </c>
      <c r="N279" s="76">
        <v>510.9885559082031</v>
      </c>
      <c r="O279" s="77"/>
      <c r="P279" s="78"/>
      <c r="Q279" s="78"/>
      <c r="R279" s="88"/>
      <c r="S279" s="49">
        <v>0</v>
      </c>
      <c r="T279" s="49">
        <v>1</v>
      </c>
      <c r="U279" s="50">
        <v>0</v>
      </c>
      <c r="V279" s="50">
        <v>0.135911</v>
      </c>
      <c r="W279" s="50">
        <v>0</v>
      </c>
      <c r="X279" s="50">
        <v>0.00158</v>
      </c>
      <c r="Y279" s="50">
        <v>0</v>
      </c>
      <c r="Z279" s="50">
        <v>0</v>
      </c>
      <c r="AA279" s="73">
        <v>279</v>
      </c>
      <c r="AB279" s="73"/>
      <c r="AC279" s="74"/>
      <c r="AD279" s="81" t="s">
        <v>1569</v>
      </c>
      <c r="AE279" s="81" t="s">
        <v>1970</v>
      </c>
      <c r="AF279" s="81"/>
      <c r="AG279" s="81"/>
      <c r="AH279" s="81"/>
      <c r="AI279" s="81" t="s">
        <v>2295</v>
      </c>
      <c r="AJ279" s="85">
        <v>38930.02143518518</v>
      </c>
      <c r="AK279" s="83" t="str">
        <f>HYPERLINK("https://yt3.ggpht.com/bmnWfreTPRBTtpVqfp6NfHoHNZ2mvNRabt9pBX1wlzGYkEb_LS9u8dlGkpAjvgUI-byrTy9PhA=s88-c-k-c0x00ffffff-no-rj")</f>
        <v>https://yt3.ggpht.com/bmnWfreTPRBTtpVqfp6NfHoHNZ2mvNRabt9pBX1wlzGYkEb_LS9u8dlGkpAjvgUI-byrTy9PhA=s88-c-k-c0x00ffffff-no-rj</v>
      </c>
      <c r="AL279" s="81">
        <v>545</v>
      </c>
      <c r="AM279" s="81">
        <v>0</v>
      </c>
      <c r="AN279" s="81">
        <v>16</v>
      </c>
      <c r="AO279" s="81" t="b">
        <v>0</v>
      </c>
      <c r="AP279" s="81">
        <v>18</v>
      </c>
      <c r="AQ279" s="81"/>
      <c r="AR279" s="81"/>
      <c r="AS279" s="81" t="s">
        <v>2571</v>
      </c>
      <c r="AT279" s="83" t="str">
        <f>HYPERLINK("https://www.youtube.com/channel/UCABmc2URl-4aM3f3xoV_cKA")</f>
        <v>https://www.youtube.com/channel/UCABmc2URl-4aM3f3xoV_cKA</v>
      </c>
      <c r="AU279" s="81">
        <v>2</v>
      </c>
      <c r="AV279" s="49">
        <v>1</v>
      </c>
      <c r="AW279" s="50">
        <v>14.285714285714286</v>
      </c>
      <c r="AX279" s="49">
        <v>0</v>
      </c>
      <c r="AY279" s="50">
        <v>0</v>
      </c>
      <c r="AZ279" s="49">
        <v>0</v>
      </c>
      <c r="BA279" s="50">
        <v>0</v>
      </c>
      <c r="BB279" s="49">
        <v>3</v>
      </c>
      <c r="BC279" s="50">
        <v>42.857142857142854</v>
      </c>
      <c r="BD279" s="49">
        <v>7</v>
      </c>
      <c r="BE279" s="49"/>
      <c r="BF279" s="49"/>
      <c r="BG279" s="49"/>
      <c r="BH279" s="49"/>
      <c r="BI279" s="49"/>
      <c r="BJ279" s="49"/>
      <c r="BK279" s="115" t="s">
        <v>2816</v>
      </c>
      <c r="BL279" s="115" t="s">
        <v>2816</v>
      </c>
      <c r="BM279" s="115" t="s">
        <v>3274</v>
      </c>
      <c r="BN279" s="115" t="s">
        <v>3274</v>
      </c>
      <c r="BO279" s="2"/>
      <c r="BP279" s="3"/>
      <c r="BQ279" s="3"/>
      <c r="BR279" s="3"/>
      <c r="BS279" s="3"/>
    </row>
    <row r="280" spans="1:71" ht="15">
      <c r="A280" s="66" t="s">
        <v>497</v>
      </c>
      <c r="B280" s="67"/>
      <c r="C280" s="67"/>
      <c r="D280" s="68">
        <v>150</v>
      </c>
      <c r="E280" s="70"/>
      <c r="F280" s="102" t="str">
        <f>HYPERLINK("https://yt3.ggpht.com/ytc/AOPolaRPV-T98i4WVGrjtByQBOqWp6jtnlnmUgKwVKaTng=s88-c-k-c0x00ffffff-no-rj")</f>
        <v>https://yt3.ggpht.com/ytc/AOPolaRPV-T98i4WVGrjtByQBOqWp6jtnlnmUgKwVKaTng=s88-c-k-c0x00ffffff-no-rj</v>
      </c>
      <c r="G280" s="67"/>
      <c r="H280" s="71" t="s">
        <v>1570</v>
      </c>
      <c r="I280" s="72"/>
      <c r="J280" s="72" t="s">
        <v>159</v>
      </c>
      <c r="K280" s="71" t="s">
        <v>1570</v>
      </c>
      <c r="L280" s="75">
        <v>1</v>
      </c>
      <c r="M280" s="76">
        <v>4942.28564453125</v>
      </c>
      <c r="N280" s="76">
        <v>3840.213134765625</v>
      </c>
      <c r="O280" s="77"/>
      <c r="P280" s="78"/>
      <c r="Q280" s="78"/>
      <c r="R280" s="88"/>
      <c r="S280" s="49">
        <v>0</v>
      </c>
      <c r="T280" s="49">
        <v>1</v>
      </c>
      <c r="U280" s="50">
        <v>0</v>
      </c>
      <c r="V280" s="50">
        <v>0.135911</v>
      </c>
      <c r="W280" s="50">
        <v>0</v>
      </c>
      <c r="X280" s="50">
        <v>0.00158</v>
      </c>
      <c r="Y280" s="50">
        <v>0</v>
      </c>
      <c r="Z280" s="50">
        <v>0</v>
      </c>
      <c r="AA280" s="73">
        <v>280</v>
      </c>
      <c r="AB280" s="73"/>
      <c r="AC280" s="74"/>
      <c r="AD280" s="81" t="s">
        <v>1570</v>
      </c>
      <c r="AE280" s="81"/>
      <c r="AF280" s="81"/>
      <c r="AG280" s="81"/>
      <c r="AH280" s="81"/>
      <c r="AI280" s="81" t="s">
        <v>2296</v>
      </c>
      <c r="AJ280" s="85">
        <v>38788.44666666666</v>
      </c>
      <c r="AK280" s="83" t="str">
        <f>HYPERLINK("https://yt3.ggpht.com/ytc/AOPolaRPV-T98i4WVGrjtByQBOqWp6jtnlnmUgKwVKaTng=s88-c-k-c0x00ffffff-no-rj")</f>
        <v>https://yt3.ggpht.com/ytc/AOPolaRPV-T98i4WVGrjtByQBOqWp6jtnlnmUgKwVKaTng=s88-c-k-c0x00ffffff-no-rj</v>
      </c>
      <c r="AL280" s="81">
        <v>675</v>
      </c>
      <c r="AM280" s="81">
        <v>0</v>
      </c>
      <c r="AN280" s="81">
        <v>15</v>
      </c>
      <c r="AO280" s="81" t="b">
        <v>0</v>
      </c>
      <c r="AP280" s="81">
        <v>2</v>
      </c>
      <c r="AQ280" s="81"/>
      <c r="AR280" s="81"/>
      <c r="AS280" s="81" t="s">
        <v>2571</v>
      </c>
      <c r="AT280" s="83" t="str">
        <f>HYPERLINK("https://www.youtube.com/channel/UChNsjqOlxib_QEjdOrvFoKQ")</f>
        <v>https://www.youtube.com/channel/UChNsjqOlxib_QEjdOrvFoKQ</v>
      </c>
      <c r="AU280" s="81">
        <v>2</v>
      </c>
      <c r="AV280" s="49">
        <v>0</v>
      </c>
      <c r="AW280" s="50">
        <v>0</v>
      </c>
      <c r="AX280" s="49">
        <v>0</v>
      </c>
      <c r="AY280" s="50">
        <v>0</v>
      </c>
      <c r="AZ280" s="49">
        <v>0</v>
      </c>
      <c r="BA280" s="50">
        <v>0</v>
      </c>
      <c r="BB280" s="49">
        <v>2</v>
      </c>
      <c r="BC280" s="50">
        <v>50</v>
      </c>
      <c r="BD280" s="49">
        <v>4</v>
      </c>
      <c r="BE280" s="49"/>
      <c r="BF280" s="49"/>
      <c r="BG280" s="49"/>
      <c r="BH280" s="49"/>
      <c r="BI280" s="49"/>
      <c r="BJ280" s="49"/>
      <c r="BK280" s="115" t="s">
        <v>2817</v>
      </c>
      <c r="BL280" s="115" t="s">
        <v>2817</v>
      </c>
      <c r="BM280" s="115" t="s">
        <v>3275</v>
      </c>
      <c r="BN280" s="115" t="s">
        <v>3275</v>
      </c>
      <c r="BO280" s="2"/>
      <c r="BP280" s="3"/>
      <c r="BQ280" s="3"/>
      <c r="BR280" s="3"/>
      <c r="BS280" s="3"/>
    </row>
    <row r="281" spans="1:71" ht="15">
      <c r="A281" s="66" t="s">
        <v>498</v>
      </c>
      <c r="B281" s="67"/>
      <c r="C281" s="67"/>
      <c r="D281" s="68">
        <v>150</v>
      </c>
      <c r="E281" s="70"/>
      <c r="F281" s="102" t="str">
        <f>HYPERLINK("https://yt3.ggpht.com/ytc/AOPolaQ12ggVrusg-3IgutwTGWBmGtzUumnsnzriGly8=s88-c-k-c0x00ffffff-no-rj")</f>
        <v>https://yt3.ggpht.com/ytc/AOPolaQ12ggVrusg-3IgutwTGWBmGtzUumnsnzriGly8=s88-c-k-c0x00ffffff-no-rj</v>
      </c>
      <c r="G281" s="67"/>
      <c r="H281" s="71" t="s">
        <v>1571</v>
      </c>
      <c r="I281" s="72"/>
      <c r="J281" s="72" t="s">
        <v>159</v>
      </c>
      <c r="K281" s="71" t="s">
        <v>1571</v>
      </c>
      <c r="L281" s="75">
        <v>1</v>
      </c>
      <c r="M281" s="76">
        <v>955.101318359375</v>
      </c>
      <c r="N281" s="76">
        <v>3586.788818359375</v>
      </c>
      <c r="O281" s="77"/>
      <c r="P281" s="78"/>
      <c r="Q281" s="78"/>
      <c r="R281" s="88"/>
      <c r="S281" s="49">
        <v>0</v>
      </c>
      <c r="T281" s="49">
        <v>1</v>
      </c>
      <c r="U281" s="50">
        <v>0</v>
      </c>
      <c r="V281" s="50">
        <v>0.135911</v>
      </c>
      <c r="W281" s="50">
        <v>0</v>
      </c>
      <c r="X281" s="50">
        <v>0.00158</v>
      </c>
      <c r="Y281" s="50">
        <v>0</v>
      </c>
      <c r="Z281" s="50">
        <v>0</v>
      </c>
      <c r="AA281" s="73">
        <v>281</v>
      </c>
      <c r="AB281" s="73"/>
      <c r="AC281" s="74"/>
      <c r="AD281" s="81" t="s">
        <v>1571</v>
      </c>
      <c r="AE281" s="81"/>
      <c r="AF281" s="81"/>
      <c r="AG281" s="81"/>
      <c r="AH281" s="81"/>
      <c r="AI281" s="81" t="s">
        <v>2297</v>
      </c>
      <c r="AJ281" s="85">
        <v>41141.68591435185</v>
      </c>
      <c r="AK281" s="83" t="str">
        <f>HYPERLINK("https://yt3.ggpht.com/ytc/AOPolaQ12ggVrusg-3IgutwTGWBmGtzUumnsnzriGly8=s88-c-k-c0x00ffffff-no-rj")</f>
        <v>https://yt3.ggpht.com/ytc/AOPolaQ12ggVrusg-3IgutwTGWBmGtzUumnsnzriGly8=s88-c-k-c0x00ffffff-no-rj</v>
      </c>
      <c r="AL281" s="81">
        <v>0</v>
      </c>
      <c r="AM281" s="81">
        <v>0</v>
      </c>
      <c r="AN281" s="81">
        <v>0</v>
      </c>
      <c r="AO281" s="81" t="b">
        <v>0</v>
      </c>
      <c r="AP281" s="81">
        <v>0</v>
      </c>
      <c r="AQ281" s="81"/>
      <c r="AR281" s="81"/>
      <c r="AS281" s="81" t="s">
        <v>2571</v>
      </c>
      <c r="AT281" s="83" t="str">
        <f>HYPERLINK("https://www.youtube.com/channel/UCUFw03RsMPzf-FYc8Ro3jLw")</f>
        <v>https://www.youtube.com/channel/UCUFw03RsMPzf-FYc8Ro3jLw</v>
      </c>
      <c r="AU281" s="81">
        <v>2</v>
      </c>
      <c r="AV281" s="49">
        <v>1</v>
      </c>
      <c r="AW281" s="50">
        <v>20</v>
      </c>
      <c r="AX281" s="49">
        <v>0</v>
      </c>
      <c r="AY281" s="50">
        <v>0</v>
      </c>
      <c r="AZ281" s="49">
        <v>0</v>
      </c>
      <c r="BA281" s="50">
        <v>0</v>
      </c>
      <c r="BB281" s="49">
        <v>2</v>
      </c>
      <c r="BC281" s="50">
        <v>40</v>
      </c>
      <c r="BD281" s="49">
        <v>5</v>
      </c>
      <c r="BE281" s="49"/>
      <c r="BF281" s="49"/>
      <c r="BG281" s="49"/>
      <c r="BH281" s="49"/>
      <c r="BI281" s="49"/>
      <c r="BJ281" s="49"/>
      <c r="BK281" s="115" t="s">
        <v>2818</v>
      </c>
      <c r="BL281" s="115" t="s">
        <v>2818</v>
      </c>
      <c r="BM281" s="115" t="s">
        <v>3276</v>
      </c>
      <c r="BN281" s="115" t="s">
        <v>3276</v>
      </c>
      <c r="BO281" s="2"/>
      <c r="BP281" s="3"/>
      <c r="BQ281" s="3"/>
      <c r="BR281" s="3"/>
      <c r="BS281" s="3"/>
    </row>
    <row r="282" spans="1:71" ht="15">
      <c r="A282" s="66" t="s">
        <v>499</v>
      </c>
      <c r="B282" s="67"/>
      <c r="C282" s="67"/>
      <c r="D282" s="68">
        <v>150</v>
      </c>
      <c r="E282" s="70"/>
      <c r="F282" s="102" t="str">
        <f>HYPERLINK("https://yt3.ggpht.com/ytc/AOPolaRnb6IrmH51nyy_s5iGrBO8_DJek9eLY7OqgJAJ4Q=s88-c-k-c0x00ffffff-no-rj")</f>
        <v>https://yt3.ggpht.com/ytc/AOPolaRnb6IrmH51nyy_s5iGrBO8_DJek9eLY7OqgJAJ4Q=s88-c-k-c0x00ffffff-no-rj</v>
      </c>
      <c r="G282" s="67"/>
      <c r="H282" s="71" t="s">
        <v>1572</v>
      </c>
      <c r="I282" s="72"/>
      <c r="J282" s="72" t="s">
        <v>159</v>
      </c>
      <c r="K282" s="71" t="s">
        <v>1572</v>
      </c>
      <c r="L282" s="75">
        <v>1</v>
      </c>
      <c r="M282" s="76">
        <v>940.6614379882812</v>
      </c>
      <c r="N282" s="76">
        <v>991.5730590820312</v>
      </c>
      <c r="O282" s="77"/>
      <c r="P282" s="78"/>
      <c r="Q282" s="78"/>
      <c r="R282" s="88"/>
      <c r="S282" s="49">
        <v>0</v>
      </c>
      <c r="T282" s="49">
        <v>1</v>
      </c>
      <c r="U282" s="50">
        <v>0</v>
      </c>
      <c r="V282" s="50">
        <v>0.135911</v>
      </c>
      <c r="W282" s="50">
        <v>0</v>
      </c>
      <c r="X282" s="50">
        <v>0.00158</v>
      </c>
      <c r="Y282" s="50">
        <v>0</v>
      </c>
      <c r="Z282" s="50">
        <v>0</v>
      </c>
      <c r="AA282" s="73">
        <v>282</v>
      </c>
      <c r="AB282" s="73"/>
      <c r="AC282" s="74"/>
      <c r="AD282" s="81" t="s">
        <v>1572</v>
      </c>
      <c r="AE282" s="81"/>
      <c r="AF282" s="81"/>
      <c r="AG282" s="81"/>
      <c r="AH282" s="81"/>
      <c r="AI282" s="81" t="s">
        <v>2298</v>
      </c>
      <c r="AJ282" s="85">
        <v>41240.919027777774</v>
      </c>
      <c r="AK282" s="83" t="str">
        <f>HYPERLINK("https://yt3.ggpht.com/ytc/AOPolaRnb6IrmH51nyy_s5iGrBO8_DJek9eLY7OqgJAJ4Q=s88-c-k-c0x00ffffff-no-rj")</f>
        <v>https://yt3.ggpht.com/ytc/AOPolaRnb6IrmH51nyy_s5iGrBO8_DJek9eLY7OqgJAJ4Q=s88-c-k-c0x00ffffff-no-rj</v>
      </c>
      <c r="AL282" s="81">
        <v>50792</v>
      </c>
      <c r="AM282" s="81">
        <v>0</v>
      </c>
      <c r="AN282" s="81">
        <v>166</v>
      </c>
      <c r="AO282" s="81" t="b">
        <v>0</v>
      </c>
      <c r="AP282" s="81">
        <v>1</v>
      </c>
      <c r="AQ282" s="81"/>
      <c r="AR282" s="81"/>
      <c r="AS282" s="81" t="s">
        <v>2571</v>
      </c>
      <c r="AT282" s="83" t="str">
        <f>HYPERLINK("https://www.youtube.com/channel/UCoi61Fuq1yLvee1oxpBgpZQ")</f>
        <v>https://www.youtube.com/channel/UCoi61Fuq1yLvee1oxpBgpZQ</v>
      </c>
      <c r="AU282" s="81">
        <v>2</v>
      </c>
      <c r="AV282" s="49">
        <v>3</v>
      </c>
      <c r="AW282" s="50">
        <v>5.357142857142857</v>
      </c>
      <c r="AX282" s="49">
        <v>1</v>
      </c>
      <c r="AY282" s="50">
        <v>1.7857142857142858</v>
      </c>
      <c r="AZ282" s="49">
        <v>0</v>
      </c>
      <c r="BA282" s="50">
        <v>0</v>
      </c>
      <c r="BB282" s="49">
        <v>25</v>
      </c>
      <c r="BC282" s="50">
        <v>44.642857142857146</v>
      </c>
      <c r="BD282" s="49">
        <v>56</v>
      </c>
      <c r="BE282" s="49"/>
      <c r="BF282" s="49"/>
      <c r="BG282" s="49"/>
      <c r="BH282" s="49"/>
      <c r="BI282" s="49"/>
      <c r="BJ282" s="49"/>
      <c r="BK282" s="115" t="s">
        <v>2819</v>
      </c>
      <c r="BL282" s="115" t="s">
        <v>2819</v>
      </c>
      <c r="BM282" s="115" t="s">
        <v>3277</v>
      </c>
      <c r="BN282" s="115" t="s">
        <v>3277</v>
      </c>
      <c r="BO282" s="2"/>
      <c r="BP282" s="3"/>
      <c r="BQ282" s="3"/>
      <c r="BR282" s="3"/>
      <c r="BS282" s="3"/>
    </row>
    <row r="283" spans="1:71" ht="15">
      <c r="A283" s="66" t="s">
        <v>500</v>
      </c>
      <c r="B283" s="67"/>
      <c r="C283" s="67"/>
      <c r="D283" s="68">
        <v>150</v>
      </c>
      <c r="E283" s="70"/>
      <c r="F283" s="102" t="str">
        <f>HYPERLINK("https://yt3.ggpht.com/ytc/AOPolaTOu3SeCJLl2pK3KG3Wc8B0LooQ9TyusMBrXXp2=s88-c-k-c0x00ffffff-no-rj")</f>
        <v>https://yt3.ggpht.com/ytc/AOPolaTOu3SeCJLl2pK3KG3Wc8B0LooQ9TyusMBrXXp2=s88-c-k-c0x00ffffff-no-rj</v>
      </c>
      <c r="G283" s="67"/>
      <c r="H283" s="71" t="s">
        <v>1573</v>
      </c>
      <c r="I283" s="72"/>
      <c r="J283" s="72" t="s">
        <v>159</v>
      </c>
      <c r="K283" s="71" t="s">
        <v>1573</v>
      </c>
      <c r="L283" s="75">
        <v>1</v>
      </c>
      <c r="M283" s="76">
        <v>4959.3134765625</v>
      </c>
      <c r="N283" s="76">
        <v>776.8594970703125</v>
      </c>
      <c r="O283" s="77"/>
      <c r="P283" s="78"/>
      <c r="Q283" s="78"/>
      <c r="R283" s="88"/>
      <c r="S283" s="49">
        <v>0</v>
      </c>
      <c r="T283" s="49">
        <v>1</v>
      </c>
      <c r="U283" s="50">
        <v>0</v>
      </c>
      <c r="V283" s="50">
        <v>0.135911</v>
      </c>
      <c r="W283" s="50">
        <v>0</v>
      </c>
      <c r="X283" s="50">
        <v>0.00158</v>
      </c>
      <c r="Y283" s="50">
        <v>0</v>
      </c>
      <c r="Z283" s="50">
        <v>0</v>
      </c>
      <c r="AA283" s="73">
        <v>283</v>
      </c>
      <c r="AB283" s="73"/>
      <c r="AC283" s="74"/>
      <c r="AD283" s="81" t="s">
        <v>1573</v>
      </c>
      <c r="AE283" s="81"/>
      <c r="AF283" s="81"/>
      <c r="AG283" s="81"/>
      <c r="AH283" s="81"/>
      <c r="AI283" s="81" t="s">
        <v>2299</v>
      </c>
      <c r="AJ283" s="85">
        <v>38876.38741898148</v>
      </c>
      <c r="AK283" s="83" t="str">
        <f>HYPERLINK("https://yt3.ggpht.com/ytc/AOPolaTOu3SeCJLl2pK3KG3Wc8B0LooQ9TyusMBrXXp2=s88-c-k-c0x00ffffff-no-rj")</f>
        <v>https://yt3.ggpht.com/ytc/AOPolaTOu3SeCJLl2pK3KG3Wc8B0LooQ9TyusMBrXXp2=s88-c-k-c0x00ffffff-no-rj</v>
      </c>
      <c r="AL283" s="81">
        <v>1249</v>
      </c>
      <c r="AM283" s="81">
        <v>0</v>
      </c>
      <c r="AN283" s="81">
        <v>33</v>
      </c>
      <c r="AO283" s="81" t="b">
        <v>0</v>
      </c>
      <c r="AP283" s="81">
        <v>13</v>
      </c>
      <c r="AQ283" s="81"/>
      <c r="AR283" s="81"/>
      <c r="AS283" s="81" t="s">
        <v>2571</v>
      </c>
      <c r="AT283" s="83" t="str">
        <f>HYPERLINK("https://www.youtube.com/channel/UCcBW5wEyhL7tw8Xgb3VJozw")</f>
        <v>https://www.youtube.com/channel/UCcBW5wEyhL7tw8Xgb3VJozw</v>
      </c>
      <c r="AU283" s="81">
        <v>2</v>
      </c>
      <c r="AV283" s="49">
        <v>1</v>
      </c>
      <c r="AW283" s="50">
        <v>14.285714285714286</v>
      </c>
      <c r="AX283" s="49">
        <v>0</v>
      </c>
      <c r="AY283" s="50">
        <v>0</v>
      </c>
      <c r="AZ283" s="49">
        <v>0</v>
      </c>
      <c r="BA283" s="50">
        <v>0</v>
      </c>
      <c r="BB283" s="49">
        <v>2</v>
      </c>
      <c r="BC283" s="50">
        <v>28.571428571428573</v>
      </c>
      <c r="BD283" s="49">
        <v>7</v>
      </c>
      <c r="BE283" s="49"/>
      <c r="BF283" s="49"/>
      <c r="BG283" s="49"/>
      <c r="BH283" s="49"/>
      <c r="BI283" s="49"/>
      <c r="BJ283" s="49"/>
      <c r="BK283" s="115" t="s">
        <v>2820</v>
      </c>
      <c r="BL283" s="115" t="s">
        <v>2820</v>
      </c>
      <c r="BM283" s="115" t="s">
        <v>3278</v>
      </c>
      <c r="BN283" s="115" t="s">
        <v>3278</v>
      </c>
      <c r="BO283" s="2"/>
      <c r="BP283" s="3"/>
      <c r="BQ283" s="3"/>
      <c r="BR283" s="3"/>
      <c r="BS283" s="3"/>
    </row>
    <row r="284" spans="1:71" ht="15">
      <c r="A284" s="66" t="s">
        <v>501</v>
      </c>
      <c r="B284" s="67"/>
      <c r="C284" s="67"/>
      <c r="D284" s="68">
        <v>150</v>
      </c>
      <c r="E284" s="70"/>
      <c r="F284" s="102" t="str">
        <f>HYPERLINK("https://yt3.ggpht.com/ytc/AOPolaT9oeGlZgV4Xqi77R98IxoKSpyItcMLbE_-KUfscQ=s88-c-k-c0x00ffffff-no-rj")</f>
        <v>https://yt3.ggpht.com/ytc/AOPolaT9oeGlZgV4Xqi77R98IxoKSpyItcMLbE_-KUfscQ=s88-c-k-c0x00ffffff-no-rj</v>
      </c>
      <c r="G284" s="67"/>
      <c r="H284" s="71" t="s">
        <v>1574</v>
      </c>
      <c r="I284" s="72"/>
      <c r="J284" s="72" t="s">
        <v>159</v>
      </c>
      <c r="K284" s="71" t="s">
        <v>1574</v>
      </c>
      <c r="L284" s="75">
        <v>1</v>
      </c>
      <c r="M284" s="76">
        <v>1750.359130859375</v>
      </c>
      <c r="N284" s="76">
        <v>2676.10546875</v>
      </c>
      <c r="O284" s="77"/>
      <c r="P284" s="78"/>
      <c r="Q284" s="78"/>
      <c r="R284" s="88"/>
      <c r="S284" s="49">
        <v>0</v>
      </c>
      <c r="T284" s="49">
        <v>1</v>
      </c>
      <c r="U284" s="50">
        <v>0</v>
      </c>
      <c r="V284" s="50">
        <v>0.135911</v>
      </c>
      <c r="W284" s="50">
        <v>0</v>
      </c>
      <c r="X284" s="50">
        <v>0.00158</v>
      </c>
      <c r="Y284" s="50">
        <v>0</v>
      </c>
      <c r="Z284" s="50">
        <v>0</v>
      </c>
      <c r="AA284" s="73">
        <v>284</v>
      </c>
      <c r="AB284" s="73"/>
      <c r="AC284" s="74"/>
      <c r="AD284" s="81" t="s">
        <v>1574</v>
      </c>
      <c r="AE284" s="81"/>
      <c r="AF284" s="81"/>
      <c r="AG284" s="81"/>
      <c r="AH284" s="81"/>
      <c r="AI284" s="81" t="s">
        <v>2300</v>
      </c>
      <c r="AJ284" s="85">
        <v>41371.04688657408</v>
      </c>
      <c r="AK284" s="83" t="str">
        <f>HYPERLINK("https://yt3.ggpht.com/ytc/AOPolaT9oeGlZgV4Xqi77R98IxoKSpyItcMLbE_-KUfscQ=s88-c-k-c0x00ffffff-no-rj")</f>
        <v>https://yt3.ggpht.com/ytc/AOPolaT9oeGlZgV4Xqi77R98IxoKSpyItcMLbE_-KUfscQ=s88-c-k-c0x00ffffff-no-rj</v>
      </c>
      <c r="AL284" s="81">
        <v>7578115</v>
      </c>
      <c r="AM284" s="81">
        <v>0</v>
      </c>
      <c r="AN284" s="81">
        <v>12400</v>
      </c>
      <c r="AO284" s="81" t="b">
        <v>0</v>
      </c>
      <c r="AP284" s="81">
        <v>18</v>
      </c>
      <c r="AQ284" s="81"/>
      <c r="AR284" s="81"/>
      <c r="AS284" s="81" t="s">
        <v>2571</v>
      </c>
      <c r="AT284" s="83" t="str">
        <f>HYPERLINK("https://www.youtube.com/channel/UCGLUqQCF5lu-Wt-QHpby0uw")</f>
        <v>https://www.youtube.com/channel/UCGLUqQCF5lu-Wt-QHpby0uw</v>
      </c>
      <c r="AU284" s="81">
        <v>2</v>
      </c>
      <c r="AV284" s="49">
        <v>0</v>
      </c>
      <c r="AW284" s="50">
        <v>0</v>
      </c>
      <c r="AX284" s="49">
        <v>0</v>
      </c>
      <c r="AY284" s="50">
        <v>0</v>
      </c>
      <c r="AZ284" s="49">
        <v>0</v>
      </c>
      <c r="BA284" s="50">
        <v>0</v>
      </c>
      <c r="BB284" s="49">
        <v>6</v>
      </c>
      <c r="BC284" s="50">
        <v>33.333333333333336</v>
      </c>
      <c r="BD284" s="49">
        <v>18</v>
      </c>
      <c r="BE284" s="49"/>
      <c r="BF284" s="49"/>
      <c r="BG284" s="49"/>
      <c r="BH284" s="49"/>
      <c r="BI284" s="49"/>
      <c r="BJ284" s="49"/>
      <c r="BK284" s="115" t="s">
        <v>2821</v>
      </c>
      <c r="BL284" s="115" t="s">
        <v>2821</v>
      </c>
      <c r="BM284" s="115" t="s">
        <v>3279</v>
      </c>
      <c r="BN284" s="115" t="s">
        <v>3279</v>
      </c>
      <c r="BO284" s="2"/>
      <c r="BP284" s="3"/>
      <c r="BQ284" s="3"/>
      <c r="BR284" s="3"/>
      <c r="BS284" s="3"/>
    </row>
    <row r="285" spans="1:71" ht="15">
      <c r="A285" s="66" t="s">
        <v>502</v>
      </c>
      <c r="B285" s="67"/>
      <c r="C285" s="67"/>
      <c r="D285" s="68">
        <v>150</v>
      </c>
      <c r="E285" s="70"/>
      <c r="F285" s="102" t="str">
        <f>HYPERLINK("https://yt3.ggpht.com/ytc/AOPolaQynvP6eUgpCvvgCrufvcVMtlaIuOCqhpW7aw=s88-c-k-c0x00ffffff-no-rj")</f>
        <v>https://yt3.ggpht.com/ytc/AOPolaQynvP6eUgpCvvgCrufvcVMtlaIuOCqhpW7aw=s88-c-k-c0x00ffffff-no-rj</v>
      </c>
      <c r="G285" s="67"/>
      <c r="H285" s="71" t="s">
        <v>1575</v>
      </c>
      <c r="I285" s="72"/>
      <c r="J285" s="72" t="s">
        <v>159</v>
      </c>
      <c r="K285" s="71" t="s">
        <v>1575</v>
      </c>
      <c r="L285" s="75">
        <v>1</v>
      </c>
      <c r="M285" s="76">
        <v>1138.1153564453125</v>
      </c>
      <c r="N285" s="76">
        <v>3548.07568359375</v>
      </c>
      <c r="O285" s="77"/>
      <c r="P285" s="78"/>
      <c r="Q285" s="78"/>
      <c r="R285" s="88"/>
      <c r="S285" s="49">
        <v>0</v>
      </c>
      <c r="T285" s="49">
        <v>1</v>
      </c>
      <c r="U285" s="50">
        <v>0</v>
      </c>
      <c r="V285" s="50">
        <v>0.135911</v>
      </c>
      <c r="W285" s="50">
        <v>0</v>
      </c>
      <c r="X285" s="50">
        <v>0.00158</v>
      </c>
      <c r="Y285" s="50">
        <v>0</v>
      </c>
      <c r="Z285" s="50">
        <v>0</v>
      </c>
      <c r="AA285" s="73">
        <v>285</v>
      </c>
      <c r="AB285" s="73"/>
      <c r="AC285" s="74"/>
      <c r="AD285" s="81" t="s">
        <v>1575</v>
      </c>
      <c r="AE285" s="81"/>
      <c r="AF285" s="81"/>
      <c r="AG285" s="81"/>
      <c r="AH285" s="81"/>
      <c r="AI285" s="81" t="s">
        <v>2301</v>
      </c>
      <c r="AJ285" s="85">
        <v>41553.16578703704</v>
      </c>
      <c r="AK285" s="83" t="str">
        <f>HYPERLINK("https://yt3.ggpht.com/ytc/AOPolaQynvP6eUgpCvvgCrufvcVMtlaIuOCqhpW7aw=s88-c-k-c0x00ffffff-no-rj")</f>
        <v>https://yt3.ggpht.com/ytc/AOPolaQynvP6eUgpCvvgCrufvcVMtlaIuOCqhpW7aw=s88-c-k-c0x00ffffff-no-rj</v>
      </c>
      <c r="AL285" s="81">
        <v>0</v>
      </c>
      <c r="AM285" s="81">
        <v>0</v>
      </c>
      <c r="AN285" s="81">
        <v>3</v>
      </c>
      <c r="AO285" s="81" t="b">
        <v>0</v>
      </c>
      <c r="AP285" s="81">
        <v>0</v>
      </c>
      <c r="AQ285" s="81"/>
      <c r="AR285" s="81"/>
      <c r="AS285" s="81" t="s">
        <v>2571</v>
      </c>
      <c r="AT285" s="83" t="str">
        <f>HYPERLINK("https://www.youtube.com/channel/UCNi6O1MZiQuNEHm1Dxl0ZsQ")</f>
        <v>https://www.youtube.com/channel/UCNi6O1MZiQuNEHm1Dxl0ZsQ</v>
      </c>
      <c r="AU285" s="81">
        <v>2</v>
      </c>
      <c r="AV285" s="49">
        <v>0</v>
      </c>
      <c r="AW285" s="50">
        <v>0</v>
      </c>
      <c r="AX285" s="49">
        <v>0</v>
      </c>
      <c r="AY285" s="50">
        <v>0</v>
      </c>
      <c r="AZ285" s="49">
        <v>0</v>
      </c>
      <c r="BA285" s="50">
        <v>0</v>
      </c>
      <c r="BB285" s="49">
        <v>6</v>
      </c>
      <c r="BC285" s="50">
        <v>31.57894736842105</v>
      </c>
      <c r="BD285" s="49">
        <v>19</v>
      </c>
      <c r="BE285" s="49"/>
      <c r="BF285" s="49"/>
      <c r="BG285" s="49"/>
      <c r="BH285" s="49"/>
      <c r="BI285" s="49"/>
      <c r="BJ285" s="49"/>
      <c r="BK285" s="115" t="s">
        <v>2822</v>
      </c>
      <c r="BL285" s="115" t="s">
        <v>2822</v>
      </c>
      <c r="BM285" s="115" t="s">
        <v>3280</v>
      </c>
      <c r="BN285" s="115" t="s">
        <v>3280</v>
      </c>
      <c r="BO285" s="2"/>
      <c r="BP285" s="3"/>
      <c r="BQ285" s="3"/>
      <c r="BR285" s="3"/>
      <c r="BS285" s="3"/>
    </row>
    <row r="286" spans="1:71" ht="15">
      <c r="A286" s="66" t="s">
        <v>503</v>
      </c>
      <c r="B286" s="67"/>
      <c r="C286" s="67"/>
      <c r="D286" s="68">
        <v>150</v>
      </c>
      <c r="E286" s="70"/>
      <c r="F286" s="102" t="str">
        <f>HYPERLINK("https://yt3.ggpht.com/ytc/AOPolaTzeRMdQACL3_0KpAMarlSgJfXpe0B4qYY0Jw=s88-c-k-c0x00ffffff-no-rj")</f>
        <v>https://yt3.ggpht.com/ytc/AOPolaTzeRMdQACL3_0KpAMarlSgJfXpe0B4qYY0Jw=s88-c-k-c0x00ffffff-no-rj</v>
      </c>
      <c r="G286" s="67"/>
      <c r="H286" s="71" t="s">
        <v>1576</v>
      </c>
      <c r="I286" s="72"/>
      <c r="J286" s="72" t="s">
        <v>159</v>
      </c>
      <c r="K286" s="71" t="s">
        <v>1576</v>
      </c>
      <c r="L286" s="75">
        <v>1</v>
      </c>
      <c r="M286" s="76">
        <v>3591.795654296875</v>
      </c>
      <c r="N286" s="76">
        <v>218.58396911621094</v>
      </c>
      <c r="O286" s="77"/>
      <c r="P286" s="78"/>
      <c r="Q286" s="78"/>
      <c r="R286" s="88"/>
      <c r="S286" s="49">
        <v>0</v>
      </c>
      <c r="T286" s="49">
        <v>1</v>
      </c>
      <c r="U286" s="50">
        <v>0</v>
      </c>
      <c r="V286" s="50">
        <v>0.135911</v>
      </c>
      <c r="W286" s="50">
        <v>0</v>
      </c>
      <c r="X286" s="50">
        <v>0.00158</v>
      </c>
      <c r="Y286" s="50">
        <v>0</v>
      </c>
      <c r="Z286" s="50">
        <v>0</v>
      </c>
      <c r="AA286" s="73">
        <v>286</v>
      </c>
      <c r="AB286" s="73"/>
      <c r="AC286" s="74"/>
      <c r="AD286" s="81" t="s">
        <v>1576</v>
      </c>
      <c r="AE286" s="81" t="s">
        <v>1971</v>
      </c>
      <c r="AF286" s="81"/>
      <c r="AG286" s="81"/>
      <c r="AH286" s="81"/>
      <c r="AI286" s="81" t="s">
        <v>2302</v>
      </c>
      <c r="AJ286" s="85">
        <v>43577.12060185185</v>
      </c>
      <c r="AK286" s="83" t="str">
        <f>HYPERLINK("https://yt3.ggpht.com/ytc/AOPolaTzeRMdQACL3_0KpAMarlSgJfXpe0B4qYY0Jw=s88-c-k-c0x00ffffff-no-rj")</f>
        <v>https://yt3.ggpht.com/ytc/AOPolaTzeRMdQACL3_0KpAMarlSgJfXpe0B4qYY0Jw=s88-c-k-c0x00ffffff-no-rj</v>
      </c>
      <c r="AL286" s="81">
        <v>0</v>
      </c>
      <c r="AM286" s="81">
        <v>0</v>
      </c>
      <c r="AN286" s="81">
        <v>0</v>
      </c>
      <c r="AO286" s="81" t="b">
        <v>0</v>
      </c>
      <c r="AP286" s="81">
        <v>0</v>
      </c>
      <c r="AQ286" s="81"/>
      <c r="AR286" s="81"/>
      <c r="AS286" s="81" t="s">
        <v>2571</v>
      </c>
      <c r="AT286" s="83" t="str">
        <f>HYPERLINK("https://www.youtube.com/channel/UC52PwLmabCcTtfozOucTlhg")</f>
        <v>https://www.youtube.com/channel/UC52PwLmabCcTtfozOucTlhg</v>
      </c>
      <c r="AU286" s="81">
        <v>2</v>
      </c>
      <c r="AV286" s="49">
        <v>2</v>
      </c>
      <c r="AW286" s="50">
        <v>14.285714285714286</v>
      </c>
      <c r="AX286" s="49">
        <v>0</v>
      </c>
      <c r="AY286" s="50">
        <v>0</v>
      </c>
      <c r="AZ286" s="49">
        <v>0</v>
      </c>
      <c r="BA286" s="50">
        <v>0</v>
      </c>
      <c r="BB286" s="49">
        <v>6</v>
      </c>
      <c r="BC286" s="50">
        <v>42.857142857142854</v>
      </c>
      <c r="BD286" s="49">
        <v>14</v>
      </c>
      <c r="BE286" s="49"/>
      <c r="BF286" s="49"/>
      <c r="BG286" s="49"/>
      <c r="BH286" s="49"/>
      <c r="BI286" s="49"/>
      <c r="BJ286" s="49"/>
      <c r="BK286" s="115" t="s">
        <v>2823</v>
      </c>
      <c r="BL286" s="115" t="s">
        <v>2823</v>
      </c>
      <c r="BM286" s="115" t="s">
        <v>3281</v>
      </c>
      <c r="BN286" s="115" t="s">
        <v>3281</v>
      </c>
      <c r="BO286" s="2"/>
      <c r="BP286" s="3"/>
      <c r="BQ286" s="3"/>
      <c r="BR286" s="3"/>
      <c r="BS286" s="3"/>
    </row>
    <row r="287" spans="1:71" ht="15">
      <c r="A287" s="66" t="s">
        <v>504</v>
      </c>
      <c r="B287" s="67"/>
      <c r="C287" s="67"/>
      <c r="D287" s="68">
        <v>150</v>
      </c>
      <c r="E287" s="70"/>
      <c r="F287" s="102" t="str">
        <f>HYPERLINK("https://yt3.ggpht.com/ytc/AOPolaQkZJiqOHAfbHF3wHlPqLC1bWCb2-c60QFU3Q=s88-c-k-c0x00ffffff-no-rj")</f>
        <v>https://yt3.ggpht.com/ytc/AOPolaQkZJiqOHAfbHF3wHlPqLC1bWCb2-c60QFU3Q=s88-c-k-c0x00ffffff-no-rj</v>
      </c>
      <c r="G287" s="67"/>
      <c r="H287" s="71" t="s">
        <v>1577</v>
      </c>
      <c r="I287" s="72"/>
      <c r="J287" s="72" t="s">
        <v>159</v>
      </c>
      <c r="K287" s="71" t="s">
        <v>1577</v>
      </c>
      <c r="L287" s="75">
        <v>1</v>
      </c>
      <c r="M287" s="76">
        <v>2685.765625</v>
      </c>
      <c r="N287" s="76">
        <v>1224.2147216796875</v>
      </c>
      <c r="O287" s="77"/>
      <c r="P287" s="78"/>
      <c r="Q287" s="78"/>
      <c r="R287" s="88"/>
      <c r="S287" s="49">
        <v>0</v>
      </c>
      <c r="T287" s="49">
        <v>1</v>
      </c>
      <c r="U287" s="50">
        <v>0</v>
      </c>
      <c r="V287" s="50">
        <v>0.135911</v>
      </c>
      <c r="W287" s="50">
        <v>0</v>
      </c>
      <c r="X287" s="50">
        <v>0.00158</v>
      </c>
      <c r="Y287" s="50">
        <v>0</v>
      </c>
      <c r="Z287" s="50">
        <v>0</v>
      </c>
      <c r="AA287" s="73">
        <v>287</v>
      </c>
      <c r="AB287" s="73"/>
      <c r="AC287" s="74"/>
      <c r="AD287" s="81" t="s">
        <v>1577</v>
      </c>
      <c r="AE287" s="81"/>
      <c r="AF287" s="81"/>
      <c r="AG287" s="81"/>
      <c r="AH287" s="81"/>
      <c r="AI287" s="81" t="s">
        <v>2303</v>
      </c>
      <c r="AJ287" s="85">
        <v>40824.00730324074</v>
      </c>
      <c r="AK287" s="83" t="str">
        <f>HYPERLINK("https://yt3.ggpht.com/ytc/AOPolaQkZJiqOHAfbHF3wHlPqLC1bWCb2-c60QFU3Q=s88-c-k-c0x00ffffff-no-rj")</f>
        <v>https://yt3.ggpht.com/ytc/AOPolaQkZJiqOHAfbHF3wHlPqLC1bWCb2-c60QFU3Q=s88-c-k-c0x00ffffff-no-rj</v>
      </c>
      <c r="AL287" s="81">
        <v>0</v>
      </c>
      <c r="AM287" s="81">
        <v>0</v>
      </c>
      <c r="AN287" s="81">
        <v>4</v>
      </c>
      <c r="AO287" s="81" t="b">
        <v>0</v>
      </c>
      <c r="AP287" s="81">
        <v>0</v>
      </c>
      <c r="AQ287" s="81"/>
      <c r="AR287" s="81"/>
      <c r="AS287" s="81" t="s">
        <v>2571</v>
      </c>
      <c r="AT287" s="83" t="str">
        <f>HYPERLINK("https://www.youtube.com/channel/UC2dc3LQHoOgR83z5i2hFMgA")</f>
        <v>https://www.youtube.com/channel/UC2dc3LQHoOgR83z5i2hFMgA</v>
      </c>
      <c r="AU287" s="81">
        <v>2</v>
      </c>
      <c r="AV287" s="49">
        <v>0</v>
      </c>
      <c r="AW287" s="50">
        <v>0</v>
      </c>
      <c r="AX287" s="49">
        <v>0</v>
      </c>
      <c r="AY287" s="50">
        <v>0</v>
      </c>
      <c r="AZ287" s="49">
        <v>0</v>
      </c>
      <c r="BA287" s="50">
        <v>0</v>
      </c>
      <c r="BB287" s="49">
        <v>3</v>
      </c>
      <c r="BC287" s="50">
        <v>50</v>
      </c>
      <c r="BD287" s="49">
        <v>6</v>
      </c>
      <c r="BE287" s="49"/>
      <c r="BF287" s="49"/>
      <c r="BG287" s="49"/>
      <c r="BH287" s="49"/>
      <c r="BI287" s="49"/>
      <c r="BJ287" s="49"/>
      <c r="BK287" s="115" t="s">
        <v>2824</v>
      </c>
      <c r="BL287" s="115" t="s">
        <v>2824</v>
      </c>
      <c r="BM287" s="115" t="s">
        <v>3282</v>
      </c>
      <c r="BN287" s="115" t="s">
        <v>3282</v>
      </c>
      <c r="BO287" s="2"/>
      <c r="BP287" s="3"/>
      <c r="BQ287" s="3"/>
      <c r="BR287" s="3"/>
      <c r="BS287" s="3"/>
    </row>
    <row r="288" spans="1:71" ht="15">
      <c r="A288" s="66" t="s">
        <v>505</v>
      </c>
      <c r="B288" s="67"/>
      <c r="C288" s="67"/>
      <c r="D288" s="68">
        <v>150</v>
      </c>
      <c r="E288" s="70"/>
      <c r="F288" s="102" t="str">
        <f>HYPERLINK("https://yt3.ggpht.com/ytc/AOPolaSMRMXVwWYbEW_apfgPyw94-puoIrVAoQTZCSb_=s88-c-k-c0x00ffffff-no-rj")</f>
        <v>https://yt3.ggpht.com/ytc/AOPolaSMRMXVwWYbEW_apfgPyw94-puoIrVAoQTZCSb_=s88-c-k-c0x00ffffff-no-rj</v>
      </c>
      <c r="G288" s="67"/>
      <c r="H288" s="71" t="s">
        <v>1578</v>
      </c>
      <c r="I288" s="72"/>
      <c r="J288" s="72" t="s">
        <v>159</v>
      </c>
      <c r="K288" s="71" t="s">
        <v>1578</v>
      </c>
      <c r="L288" s="75">
        <v>1</v>
      </c>
      <c r="M288" s="76">
        <v>1233.913818359375</v>
      </c>
      <c r="N288" s="76">
        <v>1342.4769287109375</v>
      </c>
      <c r="O288" s="77"/>
      <c r="P288" s="78"/>
      <c r="Q288" s="78"/>
      <c r="R288" s="88"/>
      <c r="S288" s="49">
        <v>0</v>
      </c>
      <c r="T288" s="49">
        <v>1</v>
      </c>
      <c r="U288" s="50">
        <v>0</v>
      </c>
      <c r="V288" s="50">
        <v>0.135911</v>
      </c>
      <c r="W288" s="50">
        <v>0</v>
      </c>
      <c r="X288" s="50">
        <v>0.00158</v>
      </c>
      <c r="Y288" s="50">
        <v>0</v>
      </c>
      <c r="Z288" s="50">
        <v>0</v>
      </c>
      <c r="AA288" s="73">
        <v>288</v>
      </c>
      <c r="AB288" s="73"/>
      <c r="AC288" s="74"/>
      <c r="AD288" s="81" t="s">
        <v>1578</v>
      </c>
      <c r="AE288" s="81"/>
      <c r="AF288" s="81"/>
      <c r="AG288" s="81"/>
      <c r="AH288" s="81"/>
      <c r="AI288" s="81" t="s">
        <v>2304</v>
      </c>
      <c r="AJ288" s="85">
        <v>44033.94064814815</v>
      </c>
      <c r="AK288" s="83" t="str">
        <f>HYPERLINK("https://yt3.ggpht.com/ytc/AOPolaSMRMXVwWYbEW_apfgPyw94-puoIrVAoQTZCSb_=s88-c-k-c0x00ffffff-no-rj")</f>
        <v>https://yt3.ggpht.com/ytc/AOPolaSMRMXVwWYbEW_apfgPyw94-puoIrVAoQTZCSb_=s88-c-k-c0x00ffffff-no-rj</v>
      </c>
      <c r="AL288" s="81">
        <v>26024</v>
      </c>
      <c r="AM288" s="81">
        <v>0</v>
      </c>
      <c r="AN288" s="81">
        <v>119</v>
      </c>
      <c r="AO288" s="81" t="b">
        <v>0</v>
      </c>
      <c r="AP288" s="81">
        <v>18</v>
      </c>
      <c r="AQ288" s="81"/>
      <c r="AR288" s="81"/>
      <c r="AS288" s="81" t="s">
        <v>2571</v>
      </c>
      <c r="AT288" s="83" t="str">
        <f>HYPERLINK("https://www.youtube.com/channel/UCUKexRyXS2HSuQvLAhp42Tw")</f>
        <v>https://www.youtube.com/channel/UCUKexRyXS2HSuQvLAhp42Tw</v>
      </c>
      <c r="AU288" s="81">
        <v>2</v>
      </c>
      <c r="AV288" s="49">
        <v>3</v>
      </c>
      <c r="AW288" s="50">
        <v>10.344827586206897</v>
      </c>
      <c r="AX288" s="49">
        <v>1</v>
      </c>
      <c r="AY288" s="50">
        <v>3.4482758620689653</v>
      </c>
      <c r="AZ288" s="49">
        <v>0</v>
      </c>
      <c r="BA288" s="50">
        <v>0</v>
      </c>
      <c r="BB288" s="49">
        <v>10</v>
      </c>
      <c r="BC288" s="50">
        <v>34.48275862068966</v>
      </c>
      <c r="BD288" s="49">
        <v>29</v>
      </c>
      <c r="BE288" s="49"/>
      <c r="BF288" s="49"/>
      <c r="BG288" s="49"/>
      <c r="BH288" s="49"/>
      <c r="BI288" s="49"/>
      <c r="BJ288" s="49"/>
      <c r="BK288" s="115" t="s">
        <v>2825</v>
      </c>
      <c r="BL288" s="115" t="s">
        <v>2825</v>
      </c>
      <c r="BM288" s="115" t="s">
        <v>3283</v>
      </c>
      <c r="BN288" s="115" t="s">
        <v>3283</v>
      </c>
      <c r="BO288" s="2"/>
      <c r="BP288" s="3"/>
      <c r="BQ288" s="3"/>
      <c r="BR288" s="3"/>
      <c r="BS288" s="3"/>
    </row>
    <row r="289" spans="1:71" ht="15">
      <c r="A289" s="66" t="s">
        <v>506</v>
      </c>
      <c r="B289" s="67"/>
      <c r="C289" s="67"/>
      <c r="D289" s="68">
        <v>150</v>
      </c>
      <c r="E289" s="70"/>
      <c r="F289" s="102" t="str">
        <f>HYPERLINK("https://yt3.ggpht.com/8jT7MJTcgq7-TWrEsS_dbt9TfVOXfkBhEPxTyXwo8J8_gS8KxdnhGf1CJfJ5DYDDEzGiTHfywsg=s88-c-k-c0x00ffffff-no-rj")</f>
        <v>https://yt3.ggpht.com/8jT7MJTcgq7-TWrEsS_dbt9TfVOXfkBhEPxTyXwo8J8_gS8KxdnhGf1CJfJ5DYDDEzGiTHfywsg=s88-c-k-c0x00ffffff-no-rj</v>
      </c>
      <c r="G289" s="67"/>
      <c r="H289" s="71" t="s">
        <v>1579</v>
      </c>
      <c r="I289" s="72"/>
      <c r="J289" s="72" t="s">
        <v>159</v>
      </c>
      <c r="K289" s="71" t="s">
        <v>1579</v>
      </c>
      <c r="L289" s="75">
        <v>1</v>
      </c>
      <c r="M289" s="76">
        <v>1892.2774658203125</v>
      </c>
      <c r="N289" s="76">
        <v>376.7474365234375</v>
      </c>
      <c r="O289" s="77"/>
      <c r="P289" s="78"/>
      <c r="Q289" s="78"/>
      <c r="R289" s="88"/>
      <c r="S289" s="49">
        <v>0</v>
      </c>
      <c r="T289" s="49">
        <v>1</v>
      </c>
      <c r="U289" s="50">
        <v>0</v>
      </c>
      <c r="V289" s="50">
        <v>0.135911</v>
      </c>
      <c r="W289" s="50">
        <v>0</v>
      </c>
      <c r="X289" s="50">
        <v>0.00158</v>
      </c>
      <c r="Y289" s="50">
        <v>0</v>
      </c>
      <c r="Z289" s="50">
        <v>0</v>
      </c>
      <c r="AA289" s="73">
        <v>289</v>
      </c>
      <c r="AB289" s="73"/>
      <c r="AC289" s="74"/>
      <c r="AD289" s="81" t="s">
        <v>1579</v>
      </c>
      <c r="AE289" s="81"/>
      <c r="AF289" s="81"/>
      <c r="AG289" s="81"/>
      <c r="AH289" s="81"/>
      <c r="AI289" s="81" t="s">
        <v>2305</v>
      </c>
      <c r="AJ289" s="85">
        <v>44434.63900462963</v>
      </c>
      <c r="AK289" s="83" t="str">
        <f>HYPERLINK("https://yt3.ggpht.com/8jT7MJTcgq7-TWrEsS_dbt9TfVOXfkBhEPxTyXwo8J8_gS8KxdnhGf1CJfJ5DYDDEzGiTHfywsg=s88-c-k-c0x00ffffff-no-rj")</f>
        <v>https://yt3.ggpht.com/8jT7MJTcgq7-TWrEsS_dbt9TfVOXfkBhEPxTyXwo8J8_gS8KxdnhGf1CJfJ5DYDDEzGiTHfywsg=s88-c-k-c0x00ffffff-no-rj</v>
      </c>
      <c r="AL289" s="81">
        <v>0</v>
      </c>
      <c r="AM289" s="81">
        <v>0</v>
      </c>
      <c r="AN289" s="81">
        <v>15</v>
      </c>
      <c r="AO289" s="81" t="b">
        <v>0</v>
      </c>
      <c r="AP289" s="81">
        <v>0</v>
      </c>
      <c r="AQ289" s="81"/>
      <c r="AR289" s="81"/>
      <c r="AS289" s="81" t="s">
        <v>2571</v>
      </c>
      <c r="AT289" s="83" t="str">
        <f>HYPERLINK("https://www.youtube.com/channel/UC60nwKcOgEyf80YUuCLLdJQ")</f>
        <v>https://www.youtube.com/channel/UC60nwKcOgEyf80YUuCLLdJQ</v>
      </c>
      <c r="AU289" s="81">
        <v>2</v>
      </c>
      <c r="AV289" s="49">
        <v>0</v>
      </c>
      <c r="AW289" s="50">
        <v>0</v>
      </c>
      <c r="AX289" s="49">
        <v>1</v>
      </c>
      <c r="AY289" s="50">
        <v>7.142857142857143</v>
      </c>
      <c r="AZ289" s="49">
        <v>0</v>
      </c>
      <c r="BA289" s="50">
        <v>0</v>
      </c>
      <c r="BB289" s="49">
        <v>6</v>
      </c>
      <c r="BC289" s="50">
        <v>42.857142857142854</v>
      </c>
      <c r="BD289" s="49">
        <v>14</v>
      </c>
      <c r="BE289" s="49"/>
      <c r="BF289" s="49"/>
      <c r="BG289" s="49"/>
      <c r="BH289" s="49"/>
      <c r="BI289" s="49"/>
      <c r="BJ289" s="49"/>
      <c r="BK289" s="115" t="s">
        <v>2826</v>
      </c>
      <c r="BL289" s="115" t="s">
        <v>2826</v>
      </c>
      <c r="BM289" s="115" t="s">
        <v>3284</v>
      </c>
      <c r="BN289" s="115" t="s">
        <v>3284</v>
      </c>
      <c r="BO289" s="2"/>
      <c r="BP289" s="3"/>
      <c r="BQ289" s="3"/>
      <c r="BR289" s="3"/>
      <c r="BS289" s="3"/>
    </row>
    <row r="290" spans="1:71" ht="15">
      <c r="A290" s="66" t="s">
        <v>507</v>
      </c>
      <c r="B290" s="67"/>
      <c r="C290" s="67"/>
      <c r="D290" s="68">
        <v>150</v>
      </c>
      <c r="E290" s="70"/>
      <c r="F290" s="102" t="str">
        <f>HYPERLINK("https://yt3.ggpht.com/OReYf3HhK2XG1G292uNLr2NAIh6xFjCHiGTeMFicTM7Om1DXkgp27rVUmLYsUu6mB9oI74-vx4k=s88-c-k-c0x00ffffff-no-rj")</f>
        <v>https://yt3.ggpht.com/OReYf3HhK2XG1G292uNLr2NAIh6xFjCHiGTeMFicTM7Om1DXkgp27rVUmLYsUu6mB9oI74-vx4k=s88-c-k-c0x00ffffff-no-rj</v>
      </c>
      <c r="G290" s="67"/>
      <c r="H290" s="71" t="s">
        <v>1580</v>
      </c>
      <c r="I290" s="72"/>
      <c r="J290" s="72" t="s">
        <v>159</v>
      </c>
      <c r="K290" s="71" t="s">
        <v>1580</v>
      </c>
      <c r="L290" s="75">
        <v>1</v>
      </c>
      <c r="M290" s="76">
        <v>5133.767578125</v>
      </c>
      <c r="N290" s="76">
        <v>2951.6806640625</v>
      </c>
      <c r="O290" s="77"/>
      <c r="P290" s="78"/>
      <c r="Q290" s="78"/>
      <c r="R290" s="88"/>
      <c r="S290" s="49">
        <v>0</v>
      </c>
      <c r="T290" s="49">
        <v>1</v>
      </c>
      <c r="U290" s="50">
        <v>0</v>
      </c>
      <c r="V290" s="50">
        <v>0.135911</v>
      </c>
      <c r="W290" s="50">
        <v>0</v>
      </c>
      <c r="X290" s="50">
        <v>0.00158</v>
      </c>
      <c r="Y290" s="50">
        <v>0</v>
      </c>
      <c r="Z290" s="50">
        <v>0</v>
      </c>
      <c r="AA290" s="73">
        <v>290</v>
      </c>
      <c r="AB290" s="73"/>
      <c r="AC290" s="74"/>
      <c r="AD290" s="81" t="s">
        <v>1580</v>
      </c>
      <c r="AE290" s="81"/>
      <c r="AF290" s="81"/>
      <c r="AG290" s="81"/>
      <c r="AH290" s="81"/>
      <c r="AI290" s="81" t="s">
        <v>2306</v>
      </c>
      <c r="AJ290" s="85">
        <v>44158.44403935185</v>
      </c>
      <c r="AK290" s="83" t="str">
        <f>HYPERLINK("https://yt3.ggpht.com/OReYf3HhK2XG1G292uNLr2NAIh6xFjCHiGTeMFicTM7Om1DXkgp27rVUmLYsUu6mB9oI74-vx4k=s88-c-k-c0x00ffffff-no-rj")</f>
        <v>https://yt3.ggpht.com/OReYf3HhK2XG1G292uNLr2NAIh6xFjCHiGTeMFicTM7Om1DXkgp27rVUmLYsUu6mB9oI74-vx4k=s88-c-k-c0x00ffffff-no-rj</v>
      </c>
      <c r="AL290" s="81">
        <v>0</v>
      </c>
      <c r="AM290" s="81">
        <v>0</v>
      </c>
      <c r="AN290" s="81">
        <v>2</v>
      </c>
      <c r="AO290" s="81" t="b">
        <v>0</v>
      </c>
      <c r="AP290" s="81">
        <v>0</v>
      </c>
      <c r="AQ290" s="81"/>
      <c r="AR290" s="81"/>
      <c r="AS290" s="81" t="s">
        <v>2571</v>
      </c>
      <c r="AT290" s="83" t="str">
        <f>HYPERLINK("https://www.youtube.com/channel/UCGtoANzUVfayDBzkfHamfpw")</f>
        <v>https://www.youtube.com/channel/UCGtoANzUVfayDBzkfHamfpw</v>
      </c>
      <c r="AU290" s="81">
        <v>2</v>
      </c>
      <c r="AV290" s="49">
        <v>2</v>
      </c>
      <c r="AW290" s="50">
        <v>8</v>
      </c>
      <c r="AX290" s="49">
        <v>1</v>
      </c>
      <c r="AY290" s="50">
        <v>4</v>
      </c>
      <c r="AZ290" s="49">
        <v>0</v>
      </c>
      <c r="BA290" s="50">
        <v>0</v>
      </c>
      <c r="BB290" s="49">
        <v>7</v>
      </c>
      <c r="BC290" s="50">
        <v>28</v>
      </c>
      <c r="BD290" s="49">
        <v>25</v>
      </c>
      <c r="BE290" s="49"/>
      <c r="BF290" s="49"/>
      <c r="BG290" s="49"/>
      <c r="BH290" s="49"/>
      <c r="BI290" s="49"/>
      <c r="BJ290" s="49"/>
      <c r="BK290" s="115" t="s">
        <v>2827</v>
      </c>
      <c r="BL290" s="115" t="s">
        <v>2827</v>
      </c>
      <c r="BM290" s="115" t="s">
        <v>3285</v>
      </c>
      <c r="BN290" s="115" t="s">
        <v>3285</v>
      </c>
      <c r="BO290" s="2"/>
      <c r="BP290" s="3"/>
      <c r="BQ290" s="3"/>
      <c r="BR290" s="3"/>
      <c r="BS290" s="3"/>
    </row>
    <row r="291" spans="1:71" ht="15">
      <c r="A291" s="66" t="s">
        <v>508</v>
      </c>
      <c r="B291" s="67"/>
      <c r="C291" s="67"/>
      <c r="D291" s="68">
        <v>150</v>
      </c>
      <c r="E291" s="70"/>
      <c r="F291" s="102" t="str">
        <f>HYPERLINK("https://yt3.ggpht.com/ytc/AOPolaSgHT_8f0lWaSmRebcd70vFVttese4EGrEarGfwFg=s88-c-k-c0x00ffffff-no-rj")</f>
        <v>https://yt3.ggpht.com/ytc/AOPolaSgHT_8f0lWaSmRebcd70vFVttese4EGrEarGfwFg=s88-c-k-c0x00ffffff-no-rj</v>
      </c>
      <c r="G291" s="67"/>
      <c r="H291" s="71" t="s">
        <v>1581</v>
      </c>
      <c r="I291" s="72"/>
      <c r="J291" s="72" t="s">
        <v>159</v>
      </c>
      <c r="K291" s="71" t="s">
        <v>1581</v>
      </c>
      <c r="L291" s="75">
        <v>1</v>
      </c>
      <c r="M291" s="76">
        <v>886.2079467773438</v>
      </c>
      <c r="N291" s="76">
        <v>3203.1865234375</v>
      </c>
      <c r="O291" s="77"/>
      <c r="P291" s="78"/>
      <c r="Q291" s="78"/>
      <c r="R291" s="88"/>
      <c r="S291" s="49">
        <v>0</v>
      </c>
      <c r="T291" s="49">
        <v>1</v>
      </c>
      <c r="U291" s="50">
        <v>0</v>
      </c>
      <c r="V291" s="50">
        <v>0.135911</v>
      </c>
      <c r="W291" s="50">
        <v>0</v>
      </c>
      <c r="X291" s="50">
        <v>0.00158</v>
      </c>
      <c r="Y291" s="50">
        <v>0</v>
      </c>
      <c r="Z291" s="50">
        <v>0</v>
      </c>
      <c r="AA291" s="73">
        <v>291</v>
      </c>
      <c r="AB291" s="73"/>
      <c r="AC291" s="74"/>
      <c r="AD291" s="81" t="s">
        <v>1581</v>
      </c>
      <c r="AE291" s="81" t="s">
        <v>1972</v>
      </c>
      <c r="AF291" s="81"/>
      <c r="AG291" s="81"/>
      <c r="AH291" s="81"/>
      <c r="AI291" s="81" t="s">
        <v>2307</v>
      </c>
      <c r="AJ291" s="85">
        <v>41375.970497685186</v>
      </c>
      <c r="AK291" s="83" t="str">
        <f>HYPERLINK("https://yt3.ggpht.com/ytc/AOPolaSgHT_8f0lWaSmRebcd70vFVttese4EGrEarGfwFg=s88-c-k-c0x00ffffff-no-rj")</f>
        <v>https://yt3.ggpht.com/ytc/AOPolaSgHT_8f0lWaSmRebcd70vFVttese4EGrEarGfwFg=s88-c-k-c0x00ffffff-no-rj</v>
      </c>
      <c r="AL291" s="81">
        <v>0</v>
      </c>
      <c r="AM291" s="81">
        <v>0</v>
      </c>
      <c r="AN291" s="81">
        <v>4</v>
      </c>
      <c r="AO291" s="81" t="b">
        <v>0</v>
      </c>
      <c r="AP291" s="81">
        <v>0</v>
      </c>
      <c r="AQ291" s="81"/>
      <c r="AR291" s="81"/>
      <c r="AS291" s="81" t="s">
        <v>2571</v>
      </c>
      <c r="AT291" s="83" t="str">
        <f>HYPERLINK("https://www.youtube.com/channel/UCfmVMwdFkCFdmflzgwXtOCg")</f>
        <v>https://www.youtube.com/channel/UCfmVMwdFkCFdmflzgwXtOCg</v>
      </c>
      <c r="AU291" s="81">
        <v>2</v>
      </c>
      <c r="AV291" s="49">
        <v>2</v>
      </c>
      <c r="AW291" s="50">
        <v>28.571428571428573</v>
      </c>
      <c r="AX291" s="49">
        <v>0</v>
      </c>
      <c r="AY291" s="50">
        <v>0</v>
      </c>
      <c r="AZ291" s="49">
        <v>0</v>
      </c>
      <c r="BA291" s="50">
        <v>0</v>
      </c>
      <c r="BB291" s="49">
        <v>3</v>
      </c>
      <c r="BC291" s="50">
        <v>42.857142857142854</v>
      </c>
      <c r="BD291" s="49">
        <v>7</v>
      </c>
      <c r="BE291" s="49"/>
      <c r="BF291" s="49"/>
      <c r="BG291" s="49"/>
      <c r="BH291" s="49"/>
      <c r="BI291" s="49"/>
      <c r="BJ291" s="49"/>
      <c r="BK291" s="115" t="s">
        <v>2828</v>
      </c>
      <c r="BL291" s="115" t="s">
        <v>2828</v>
      </c>
      <c r="BM291" s="115" t="s">
        <v>3286</v>
      </c>
      <c r="BN291" s="115" t="s">
        <v>3286</v>
      </c>
      <c r="BO291" s="2"/>
      <c r="BP291" s="3"/>
      <c r="BQ291" s="3"/>
      <c r="BR291" s="3"/>
      <c r="BS291" s="3"/>
    </row>
    <row r="292" spans="1:71" ht="15">
      <c r="A292" s="66" t="s">
        <v>509</v>
      </c>
      <c r="B292" s="67"/>
      <c r="C292" s="67"/>
      <c r="D292" s="68">
        <v>150</v>
      </c>
      <c r="E292" s="70"/>
      <c r="F292" s="102" t="str">
        <f>HYPERLINK("https://yt3.ggpht.com/ytc/AOPolaQRc7YyBflB701g4UTEQr6N2kjiXlfKTSpVZw=s88-c-k-c0x00ffffff-no-rj")</f>
        <v>https://yt3.ggpht.com/ytc/AOPolaQRc7YyBflB701g4UTEQr6N2kjiXlfKTSpVZw=s88-c-k-c0x00ffffff-no-rj</v>
      </c>
      <c r="G292" s="67"/>
      <c r="H292" s="71" t="s">
        <v>1582</v>
      </c>
      <c r="I292" s="72"/>
      <c r="J292" s="72" t="s">
        <v>159</v>
      </c>
      <c r="K292" s="71" t="s">
        <v>1582</v>
      </c>
      <c r="L292" s="75">
        <v>1</v>
      </c>
      <c r="M292" s="76">
        <v>5327.63525390625</v>
      </c>
      <c r="N292" s="76">
        <v>3041.23193359375</v>
      </c>
      <c r="O292" s="77"/>
      <c r="P292" s="78"/>
      <c r="Q292" s="78"/>
      <c r="R292" s="88"/>
      <c r="S292" s="49">
        <v>0</v>
      </c>
      <c r="T292" s="49">
        <v>1</v>
      </c>
      <c r="U292" s="50">
        <v>0</v>
      </c>
      <c r="V292" s="50">
        <v>0.135911</v>
      </c>
      <c r="W292" s="50">
        <v>0</v>
      </c>
      <c r="X292" s="50">
        <v>0.00158</v>
      </c>
      <c r="Y292" s="50">
        <v>0</v>
      </c>
      <c r="Z292" s="50">
        <v>0</v>
      </c>
      <c r="AA292" s="73">
        <v>292</v>
      </c>
      <c r="AB292" s="73"/>
      <c r="AC292" s="74"/>
      <c r="AD292" s="81" t="s">
        <v>1582</v>
      </c>
      <c r="AE292" s="81"/>
      <c r="AF292" s="81"/>
      <c r="AG292" s="81"/>
      <c r="AH292" s="81"/>
      <c r="AI292" s="81" t="s">
        <v>2308</v>
      </c>
      <c r="AJ292" s="85">
        <v>39733.978125</v>
      </c>
      <c r="AK292" s="83" t="str">
        <f>HYPERLINK("https://yt3.ggpht.com/ytc/AOPolaQRc7YyBflB701g4UTEQr6N2kjiXlfKTSpVZw=s88-c-k-c0x00ffffff-no-rj")</f>
        <v>https://yt3.ggpht.com/ytc/AOPolaQRc7YyBflB701g4UTEQr6N2kjiXlfKTSpVZw=s88-c-k-c0x00ffffff-no-rj</v>
      </c>
      <c r="AL292" s="81">
        <v>0</v>
      </c>
      <c r="AM292" s="81">
        <v>0</v>
      </c>
      <c r="AN292" s="81">
        <v>6</v>
      </c>
      <c r="AO292" s="81" t="b">
        <v>0</v>
      </c>
      <c r="AP292" s="81">
        <v>0</v>
      </c>
      <c r="AQ292" s="81"/>
      <c r="AR292" s="81"/>
      <c r="AS292" s="81" t="s">
        <v>2571</v>
      </c>
      <c r="AT292" s="83" t="str">
        <f>HYPERLINK("https://www.youtube.com/channel/UCOLKv4Q4IiYXK3q_0K76qlA")</f>
        <v>https://www.youtube.com/channel/UCOLKv4Q4IiYXK3q_0K76qlA</v>
      </c>
      <c r="AU292" s="81">
        <v>2</v>
      </c>
      <c r="AV292" s="49">
        <v>1</v>
      </c>
      <c r="AW292" s="50">
        <v>16.666666666666668</v>
      </c>
      <c r="AX292" s="49">
        <v>0</v>
      </c>
      <c r="AY292" s="50">
        <v>0</v>
      </c>
      <c r="AZ292" s="49">
        <v>0</v>
      </c>
      <c r="BA292" s="50">
        <v>0</v>
      </c>
      <c r="BB292" s="49">
        <v>2</v>
      </c>
      <c r="BC292" s="50">
        <v>33.333333333333336</v>
      </c>
      <c r="BD292" s="49">
        <v>6</v>
      </c>
      <c r="BE292" s="49"/>
      <c r="BF292" s="49"/>
      <c r="BG292" s="49"/>
      <c r="BH292" s="49"/>
      <c r="BI292" s="49"/>
      <c r="BJ292" s="49"/>
      <c r="BK292" s="115" t="s">
        <v>2829</v>
      </c>
      <c r="BL292" s="115" t="s">
        <v>2829</v>
      </c>
      <c r="BM292" s="115" t="s">
        <v>3287</v>
      </c>
      <c r="BN292" s="115" t="s">
        <v>3287</v>
      </c>
      <c r="BO292" s="2"/>
      <c r="BP292" s="3"/>
      <c r="BQ292" s="3"/>
      <c r="BR292" s="3"/>
      <c r="BS292" s="3"/>
    </row>
    <row r="293" spans="1:71" ht="15">
      <c r="A293" s="66" t="s">
        <v>510</v>
      </c>
      <c r="B293" s="67"/>
      <c r="C293" s="67"/>
      <c r="D293" s="68">
        <v>150</v>
      </c>
      <c r="E293" s="70"/>
      <c r="F293" s="102" t="str">
        <f>HYPERLINK("https://yt3.ggpht.com/ytc/AOPolaQRCue_aigUDVLTChZFa_W8_KixfQuk9YB9Tw=s88-c-k-c0x00ffffff-no-rj")</f>
        <v>https://yt3.ggpht.com/ytc/AOPolaQRCue_aigUDVLTChZFa_W8_KixfQuk9YB9Tw=s88-c-k-c0x00ffffff-no-rj</v>
      </c>
      <c r="G293" s="67"/>
      <c r="H293" s="71" t="s">
        <v>1583</v>
      </c>
      <c r="I293" s="72"/>
      <c r="J293" s="72" t="s">
        <v>159</v>
      </c>
      <c r="K293" s="71" t="s">
        <v>1583</v>
      </c>
      <c r="L293" s="75">
        <v>1</v>
      </c>
      <c r="M293" s="76">
        <v>4653.5068359375</v>
      </c>
      <c r="N293" s="76">
        <v>726.0422973632812</v>
      </c>
      <c r="O293" s="77"/>
      <c r="P293" s="78"/>
      <c r="Q293" s="78"/>
      <c r="R293" s="88"/>
      <c r="S293" s="49">
        <v>0</v>
      </c>
      <c r="T293" s="49">
        <v>1</v>
      </c>
      <c r="U293" s="50">
        <v>0</v>
      </c>
      <c r="V293" s="50">
        <v>0.135911</v>
      </c>
      <c r="W293" s="50">
        <v>0</v>
      </c>
      <c r="X293" s="50">
        <v>0.00158</v>
      </c>
      <c r="Y293" s="50">
        <v>0</v>
      </c>
      <c r="Z293" s="50">
        <v>0</v>
      </c>
      <c r="AA293" s="73">
        <v>293</v>
      </c>
      <c r="AB293" s="73"/>
      <c r="AC293" s="74"/>
      <c r="AD293" s="81" t="s">
        <v>1583</v>
      </c>
      <c r="AE293" s="81"/>
      <c r="AF293" s="81"/>
      <c r="AG293" s="81"/>
      <c r="AH293" s="81"/>
      <c r="AI293" s="81" t="s">
        <v>2309</v>
      </c>
      <c r="AJ293" s="85">
        <v>40519.08100694444</v>
      </c>
      <c r="AK293" s="83" t="str">
        <f>HYPERLINK("https://yt3.ggpht.com/ytc/AOPolaQRCue_aigUDVLTChZFa_W8_KixfQuk9YB9Tw=s88-c-k-c0x00ffffff-no-rj")</f>
        <v>https://yt3.ggpht.com/ytc/AOPolaQRCue_aigUDVLTChZFa_W8_KixfQuk9YB9Tw=s88-c-k-c0x00ffffff-no-rj</v>
      </c>
      <c r="AL293" s="81">
        <v>0</v>
      </c>
      <c r="AM293" s="81">
        <v>0</v>
      </c>
      <c r="AN293" s="81">
        <v>80</v>
      </c>
      <c r="AO293" s="81" t="b">
        <v>0</v>
      </c>
      <c r="AP293" s="81">
        <v>0</v>
      </c>
      <c r="AQ293" s="81"/>
      <c r="AR293" s="81"/>
      <c r="AS293" s="81" t="s">
        <v>2571</v>
      </c>
      <c r="AT293" s="83" t="str">
        <f>HYPERLINK("https://www.youtube.com/channel/UCvi6nnSst0EXfRUa7ABdRNg")</f>
        <v>https://www.youtube.com/channel/UCvi6nnSst0EXfRUa7ABdRNg</v>
      </c>
      <c r="AU293" s="81">
        <v>2</v>
      </c>
      <c r="AV293" s="49">
        <v>0</v>
      </c>
      <c r="AW293" s="50">
        <v>0</v>
      </c>
      <c r="AX293" s="49">
        <v>3</v>
      </c>
      <c r="AY293" s="50">
        <v>11.538461538461538</v>
      </c>
      <c r="AZ293" s="49">
        <v>0</v>
      </c>
      <c r="BA293" s="50">
        <v>0</v>
      </c>
      <c r="BB293" s="49">
        <v>8</v>
      </c>
      <c r="BC293" s="50">
        <v>30.76923076923077</v>
      </c>
      <c r="BD293" s="49">
        <v>26</v>
      </c>
      <c r="BE293" s="49"/>
      <c r="BF293" s="49"/>
      <c r="BG293" s="49"/>
      <c r="BH293" s="49"/>
      <c r="BI293" s="49"/>
      <c r="BJ293" s="49"/>
      <c r="BK293" s="115" t="s">
        <v>2830</v>
      </c>
      <c r="BL293" s="115" t="s">
        <v>2830</v>
      </c>
      <c r="BM293" s="115" t="s">
        <v>3288</v>
      </c>
      <c r="BN293" s="115" t="s">
        <v>3288</v>
      </c>
      <c r="BO293" s="2"/>
      <c r="BP293" s="3"/>
      <c r="BQ293" s="3"/>
      <c r="BR293" s="3"/>
      <c r="BS293" s="3"/>
    </row>
    <row r="294" spans="1:71" ht="15">
      <c r="A294" s="66" t="s">
        <v>511</v>
      </c>
      <c r="B294" s="67"/>
      <c r="C294" s="67"/>
      <c r="D294" s="68">
        <v>150</v>
      </c>
      <c r="E294" s="70"/>
      <c r="F294" s="102" t="str">
        <f>HYPERLINK("https://yt3.ggpht.com/jyCMnbcsM6HYbuHLAEVrtko9DCsmCUWK_pGqcZTu4PdlFgjsqqzhvMRy7P-n5JLObB4FY2wuLg=s88-c-k-c0x00ffffff-no-rj")</f>
        <v>https://yt3.ggpht.com/jyCMnbcsM6HYbuHLAEVrtko9DCsmCUWK_pGqcZTu4PdlFgjsqqzhvMRy7P-n5JLObB4FY2wuLg=s88-c-k-c0x00ffffff-no-rj</v>
      </c>
      <c r="G294" s="67"/>
      <c r="H294" s="71" t="s">
        <v>1584</v>
      </c>
      <c r="I294" s="72"/>
      <c r="J294" s="72" t="s">
        <v>159</v>
      </c>
      <c r="K294" s="71" t="s">
        <v>1584</v>
      </c>
      <c r="L294" s="75">
        <v>1</v>
      </c>
      <c r="M294" s="76">
        <v>5908.20703125</v>
      </c>
      <c r="N294" s="76">
        <v>1768.4842529296875</v>
      </c>
      <c r="O294" s="77"/>
      <c r="P294" s="78"/>
      <c r="Q294" s="78"/>
      <c r="R294" s="88"/>
      <c r="S294" s="49">
        <v>0</v>
      </c>
      <c r="T294" s="49">
        <v>1</v>
      </c>
      <c r="U294" s="50">
        <v>0</v>
      </c>
      <c r="V294" s="50">
        <v>0.135911</v>
      </c>
      <c r="W294" s="50">
        <v>0</v>
      </c>
      <c r="X294" s="50">
        <v>0.00158</v>
      </c>
      <c r="Y294" s="50">
        <v>0</v>
      </c>
      <c r="Z294" s="50">
        <v>0</v>
      </c>
      <c r="AA294" s="73">
        <v>294</v>
      </c>
      <c r="AB294" s="73"/>
      <c r="AC294" s="74"/>
      <c r="AD294" s="81" t="s">
        <v>1584</v>
      </c>
      <c r="AE294" s="81" t="s">
        <v>1973</v>
      </c>
      <c r="AF294" s="81"/>
      <c r="AG294" s="81"/>
      <c r="AH294" s="81"/>
      <c r="AI294" s="81" t="s">
        <v>2310</v>
      </c>
      <c r="AJ294" s="85">
        <v>43823.14857638889</v>
      </c>
      <c r="AK294" s="83" t="str">
        <f>HYPERLINK("https://yt3.ggpht.com/jyCMnbcsM6HYbuHLAEVrtko9DCsmCUWK_pGqcZTu4PdlFgjsqqzhvMRy7P-n5JLObB4FY2wuLg=s88-c-k-c0x00ffffff-no-rj")</f>
        <v>https://yt3.ggpht.com/jyCMnbcsM6HYbuHLAEVrtko9DCsmCUWK_pGqcZTu4PdlFgjsqqzhvMRy7P-n5JLObB4FY2wuLg=s88-c-k-c0x00ffffff-no-rj</v>
      </c>
      <c r="AL294" s="81">
        <v>0</v>
      </c>
      <c r="AM294" s="81">
        <v>0</v>
      </c>
      <c r="AN294" s="81">
        <v>19</v>
      </c>
      <c r="AO294" s="81" t="b">
        <v>0</v>
      </c>
      <c r="AP294" s="81">
        <v>0</v>
      </c>
      <c r="AQ294" s="81"/>
      <c r="AR294" s="81"/>
      <c r="AS294" s="81" t="s">
        <v>2571</v>
      </c>
      <c r="AT294" s="83" t="str">
        <f>HYPERLINK("https://www.youtube.com/channel/UCw2Q_WsvOnhMcBQ4qWtl5iA")</f>
        <v>https://www.youtube.com/channel/UCw2Q_WsvOnhMcBQ4qWtl5iA</v>
      </c>
      <c r="AU294" s="81">
        <v>2</v>
      </c>
      <c r="AV294" s="49">
        <v>0</v>
      </c>
      <c r="AW294" s="50">
        <v>0</v>
      </c>
      <c r="AX294" s="49">
        <v>0</v>
      </c>
      <c r="AY294" s="50">
        <v>0</v>
      </c>
      <c r="AZ294" s="49">
        <v>0</v>
      </c>
      <c r="BA294" s="50">
        <v>0</v>
      </c>
      <c r="BB294" s="49">
        <v>6</v>
      </c>
      <c r="BC294" s="50">
        <v>54.54545454545455</v>
      </c>
      <c r="BD294" s="49">
        <v>11</v>
      </c>
      <c r="BE294" s="49"/>
      <c r="BF294" s="49"/>
      <c r="BG294" s="49"/>
      <c r="BH294" s="49"/>
      <c r="BI294" s="49"/>
      <c r="BJ294" s="49"/>
      <c r="BK294" s="115" t="s">
        <v>2831</v>
      </c>
      <c r="BL294" s="115" t="s">
        <v>2831</v>
      </c>
      <c r="BM294" s="115" t="s">
        <v>3289</v>
      </c>
      <c r="BN294" s="115" t="s">
        <v>3289</v>
      </c>
      <c r="BO294" s="2"/>
      <c r="BP294" s="3"/>
      <c r="BQ294" s="3"/>
      <c r="BR294" s="3"/>
      <c r="BS294" s="3"/>
    </row>
    <row r="295" spans="1:71" ht="15">
      <c r="A295" s="66" t="s">
        <v>512</v>
      </c>
      <c r="B295" s="67"/>
      <c r="C295" s="67"/>
      <c r="D295" s="68">
        <v>150</v>
      </c>
      <c r="E295" s="70"/>
      <c r="F295" s="102" t="str">
        <f>HYPERLINK("https://yt3.ggpht.com/kh1-O0fN33rWG9jlrAgiosGJgbyzie8eqgMY-FGbQ3KY40pSHcGiKuNOaGwh4fJG8RxRz2Fsb4k=s88-c-k-c0x00ffffff-no-rj")</f>
        <v>https://yt3.ggpht.com/kh1-O0fN33rWG9jlrAgiosGJgbyzie8eqgMY-FGbQ3KY40pSHcGiKuNOaGwh4fJG8RxRz2Fsb4k=s88-c-k-c0x00ffffff-no-rj</v>
      </c>
      <c r="G295" s="67"/>
      <c r="H295" s="71" t="s">
        <v>1585</v>
      </c>
      <c r="I295" s="72"/>
      <c r="J295" s="72" t="s">
        <v>159</v>
      </c>
      <c r="K295" s="71" t="s">
        <v>1585</v>
      </c>
      <c r="L295" s="75">
        <v>1</v>
      </c>
      <c r="M295" s="76">
        <v>3504.939697265625</v>
      </c>
      <c r="N295" s="76">
        <v>4100.29150390625</v>
      </c>
      <c r="O295" s="77"/>
      <c r="P295" s="78"/>
      <c r="Q295" s="78"/>
      <c r="R295" s="88"/>
      <c r="S295" s="49">
        <v>0</v>
      </c>
      <c r="T295" s="49">
        <v>1</v>
      </c>
      <c r="U295" s="50">
        <v>0</v>
      </c>
      <c r="V295" s="50">
        <v>0.135911</v>
      </c>
      <c r="W295" s="50">
        <v>0</v>
      </c>
      <c r="X295" s="50">
        <v>0.00158</v>
      </c>
      <c r="Y295" s="50">
        <v>0</v>
      </c>
      <c r="Z295" s="50">
        <v>0</v>
      </c>
      <c r="AA295" s="73">
        <v>295</v>
      </c>
      <c r="AB295" s="73"/>
      <c r="AC295" s="74"/>
      <c r="AD295" s="81" t="s">
        <v>1585</v>
      </c>
      <c r="AE295" s="81"/>
      <c r="AF295" s="81"/>
      <c r="AG295" s="81"/>
      <c r="AH295" s="81"/>
      <c r="AI295" s="81" t="s">
        <v>2311</v>
      </c>
      <c r="AJ295" s="85">
        <v>44167.339479166665</v>
      </c>
      <c r="AK295" s="83" t="str">
        <f>HYPERLINK("https://yt3.ggpht.com/kh1-O0fN33rWG9jlrAgiosGJgbyzie8eqgMY-FGbQ3KY40pSHcGiKuNOaGwh4fJG8RxRz2Fsb4k=s88-c-k-c0x00ffffff-no-rj")</f>
        <v>https://yt3.ggpht.com/kh1-O0fN33rWG9jlrAgiosGJgbyzie8eqgMY-FGbQ3KY40pSHcGiKuNOaGwh4fJG8RxRz2Fsb4k=s88-c-k-c0x00ffffff-no-rj</v>
      </c>
      <c r="AL295" s="81">
        <v>0</v>
      </c>
      <c r="AM295" s="81">
        <v>0</v>
      </c>
      <c r="AN295" s="81">
        <v>1</v>
      </c>
      <c r="AO295" s="81" t="b">
        <v>0</v>
      </c>
      <c r="AP295" s="81">
        <v>0</v>
      </c>
      <c r="AQ295" s="81"/>
      <c r="AR295" s="81"/>
      <c r="AS295" s="81" t="s">
        <v>2571</v>
      </c>
      <c r="AT295" s="83" t="str">
        <f>HYPERLINK("https://www.youtube.com/channel/UC1KoxDzK1bD1Jry2R87oOpg")</f>
        <v>https://www.youtube.com/channel/UC1KoxDzK1bD1Jry2R87oOpg</v>
      </c>
      <c r="AU295" s="81">
        <v>2</v>
      </c>
      <c r="AV295" s="49">
        <v>1</v>
      </c>
      <c r="AW295" s="50">
        <v>1.9230769230769231</v>
      </c>
      <c r="AX295" s="49">
        <v>2</v>
      </c>
      <c r="AY295" s="50">
        <v>3.8461538461538463</v>
      </c>
      <c r="AZ295" s="49">
        <v>0</v>
      </c>
      <c r="BA295" s="50">
        <v>0</v>
      </c>
      <c r="BB295" s="49">
        <v>20</v>
      </c>
      <c r="BC295" s="50">
        <v>38.46153846153846</v>
      </c>
      <c r="BD295" s="49">
        <v>52</v>
      </c>
      <c r="BE295" s="49"/>
      <c r="BF295" s="49"/>
      <c r="BG295" s="49"/>
      <c r="BH295" s="49"/>
      <c r="BI295" s="49"/>
      <c r="BJ295" s="49"/>
      <c r="BK295" s="115" t="s">
        <v>2832</v>
      </c>
      <c r="BL295" s="115" t="s">
        <v>2832</v>
      </c>
      <c r="BM295" s="115" t="s">
        <v>3290</v>
      </c>
      <c r="BN295" s="115" t="s">
        <v>3290</v>
      </c>
      <c r="BO295" s="2"/>
      <c r="BP295" s="3"/>
      <c r="BQ295" s="3"/>
      <c r="BR295" s="3"/>
      <c r="BS295" s="3"/>
    </row>
    <row r="296" spans="1:71" ht="15">
      <c r="A296" s="66" t="s">
        <v>513</v>
      </c>
      <c r="B296" s="67"/>
      <c r="C296" s="67"/>
      <c r="D296" s="68">
        <v>150</v>
      </c>
      <c r="E296" s="70"/>
      <c r="F296" s="102" t="str">
        <f>HYPERLINK("https://yt3.ggpht.com/ytc/AOPolaSFebD3g0MFz06-text1laOH8ulf_5qjD9ESQ=s88-c-k-c0x00ffffff-no-rj")</f>
        <v>https://yt3.ggpht.com/ytc/AOPolaSFebD3g0MFz06-text1laOH8ulf_5qjD9ESQ=s88-c-k-c0x00ffffff-no-rj</v>
      </c>
      <c r="G296" s="67"/>
      <c r="H296" s="71" t="s">
        <v>1586</v>
      </c>
      <c r="I296" s="72"/>
      <c r="J296" s="72" t="s">
        <v>159</v>
      </c>
      <c r="K296" s="71" t="s">
        <v>1586</v>
      </c>
      <c r="L296" s="75">
        <v>1</v>
      </c>
      <c r="M296" s="76">
        <v>3955.3779296875</v>
      </c>
      <c r="N296" s="76">
        <v>2181.3544921875</v>
      </c>
      <c r="O296" s="77"/>
      <c r="P296" s="78"/>
      <c r="Q296" s="78"/>
      <c r="R296" s="88"/>
      <c r="S296" s="49">
        <v>0</v>
      </c>
      <c r="T296" s="49">
        <v>1</v>
      </c>
      <c r="U296" s="50">
        <v>0</v>
      </c>
      <c r="V296" s="50">
        <v>0.135911</v>
      </c>
      <c r="W296" s="50">
        <v>0</v>
      </c>
      <c r="X296" s="50">
        <v>0.00158</v>
      </c>
      <c r="Y296" s="50">
        <v>0</v>
      </c>
      <c r="Z296" s="50">
        <v>0</v>
      </c>
      <c r="AA296" s="73">
        <v>296</v>
      </c>
      <c r="AB296" s="73"/>
      <c r="AC296" s="74"/>
      <c r="AD296" s="81" t="s">
        <v>1586</v>
      </c>
      <c r="AE296" s="81"/>
      <c r="AF296" s="81"/>
      <c r="AG296" s="81"/>
      <c r="AH296" s="81"/>
      <c r="AI296" s="81" t="s">
        <v>2312</v>
      </c>
      <c r="AJ296" s="85">
        <v>42016.02410879629</v>
      </c>
      <c r="AK296" s="83" t="str">
        <f>HYPERLINK("https://yt3.ggpht.com/ytc/AOPolaSFebD3g0MFz06-text1laOH8ulf_5qjD9ESQ=s88-c-k-c0x00ffffff-no-rj")</f>
        <v>https://yt3.ggpht.com/ytc/AOPolaSFebD3g0MFz06-text1laOH8ulf_5qjD9ESQ=s88-c-k-c0x00ffffff-no-rj</v>
      </c>
      <c r="AL296" s="81">
        <v>0</v>
      </c>
      <c r="AM296" s="81">
        <v>0</v>
      </c>
      <c r="AN296" s="81">
        <v>1</v>
      </c>
      <c r="AO296" s="81" t="b">
        <v>0</v>
      </c>
      <c r="AP296" s="81">
        <v>0</v>
      </c>
      <c r="AQ296" s="81"/>
      <c r="AR296" s="81"/>
      <c r="AS296" s="81" t="s">
        <v>2571</v>
      </c>
      <c r="AT296" s="83" t="str">
        <f>HYPERLINK("https://www.youtube.com/channel/UC85CHtE35ZdwXAmQWUbeMTQ")</f>
        <v>https://www.youtube.com/channel/UC85CHtE35ZdwXAmQWUbeMTQ</v>
      </c>
      <c r="AU296" s="81">
        <v>2</v>
      </c>
      <c r="AV296" s="49">
        <v>1</v>
      </c>
      <c r="AW296" s="50">
        <v>20</v>
      </c>
      <c r="AX296" s="49">
        <v>0</v>
      </c>
      <c r="AY296" s="50">
        <v>0</v>
      </c>
      <c r="AZ296" s="49">
        <v>0</v>
      </c>
      <c r="BA296" s="50">
        <v>0</v>
      </c>
      <c r="BB296" s="49">
        <v>2</v>
      </c>
      <c r="BC296" s="50">
        <v>40</v>
      </c>
      <c r="BD296" s="49">
        <v>5</v>
      </c>
      <c r="BE296" s="49"/>
      <c r="BF296" s="49"/>
      <c r="BG296" s="49"/>
      <c r="BH296" s="49"/>
      <c r="BI296" s="49"/>
      <c r="BJ296" s="49"/>
      <c r="BK296" s="115" t="s">
        <v>2833</v>
      </c>
      <c r="BL296" s="115" t="s">
        <v>2833</v>
      </c>
      <c r="BM296" s="115" t="s">
        <v>3291</v>
      </c>
      <c r="BN296" s="115" t="s">
        <v>3291</v>
      </c>
      <c r="BO296" s="2"/>
      <c r="BP296" s="3"/>
      <c r="BQ296" s="3"/>
      <c r="BR296" s="3"/>
      <c r="BS296" s="3"/>
    </row>
    <row r="297" spans="1:71" ht="15">
      <c r="A297" s="66" t="s">
        <v>514</v>
      </c>
      <c r="B297" s="67"/>
      <c r="C297" s="67"/>
      <c r="D297" s="68">
        <v>150</v>
      </c>
      <c r="E297" s="70"/>
      <c r="F297" s="102" t="str">
        <f>HYPERLINK("https://yt3.ggpht.com/8Z6XD4eOgathM6b3qeIrOhOoXP_88-sl1ta7VdykkT7FwwlVndY_aYp6tLvchBrOje4bE_C41Q=s88-c-k-c0x00ffffff-no-rj")</f>
        <v>https://yt3.ggpht.com/8Z6XD4eOgathM6b3qeIrOhOoXP_88-sl1ta7VdykkT7FwwlVndY_aYp6tLvchBrOje4bE_C41Q=s88-c-k-c0x00ffffff-no-rj</v>
      </c>
      <c r="G297" s="67"/>
      <c r="H297" s="71" t="s">
        <v>1587</v>
      </c>
      <c r="I297" s="72"/>
      <c r="J297" s="72" t="s">
        <v>159</v>
      </c>
      <c r="K297" s="71" t="s">
        <v>1587</v>
      </c>
      <c r="L297" s="75">
        <v>1</v>
      </c>
      <c r="M297" s="76">
        <v>2179.492431640625</v>
      </c>
      <c r="N297" s="76">
        <v>4161.806640625</v>
      </c>
      <c r="O297" s="77"/>
      <c r="P297" s="78"/>
      <c r="Q297" s="78"/>
      <c r="R297" s="88"/>
      <c r="S297" s="49">
        <v>0</v>
      </c>
      <c r="T297" s="49">
        <v>1</v>
      </c>
      <c r="U297" s="50">
        <v>0</v>
      </c>
      <c r="V297" s="50">
        <v>0.135911</v>
      </c>
      <c r="W297" s="50">
        <v>0</v>
      </c>
      <c r="X297" s="50">
        <v>0.00158</v>
      </c>
      <c r="Y297" s="50">
        <v>0</v>
      </c>
      <c r="Z297" s="50">
        <v>0</v>
      </c>
      <c r="AA297" s="73">
        <v>297</v>
      </c>
      <c r="AB297" s="73"/>
      <c r="AC297" s="74"/>
      <c r="AD297" s="81" t="s">
        <v>1587</v>
      </c>
      <c r="AE297" s="81"/>
      <c r="AF297" s="81"/>
      <c r="AG297" s="81"/>
      <c r="AH297" s="81"/>
      <c r="AI297" s="81" t="s">
        <v>2313</v>
      </c>
      <c r="AJ297" s="85">
        <v>39564.81804398148</v>
      </c>
      <c r="AK297" s="83" t="str">
        <f>HYPERLINK("https://yt3.ggpht.com/8Z6XD4eOgathM6b3qeIrOhOoXP_88-sl1ta7VdykkT7FwwlVndY_aYp6tLvchBrOje4bE_C41Q=s88-c-k-c0x00ffffff-no-rj")</f>
        <v>https://yt3.ggpht.com/8Z6XD4eOgathM6b3qeIrOhOoXP_88-sl1ta7VdykkT7FwwlVndY_aYp6tLvchBrOje4bE_C41Q=s88-c-k-c0x00ffffff-no-rj</v>
      </c>
      <c r="AL297" s="81">
        <v>106693</v>
      </c>
      <c r="AM297" s="81">
        <v>0</v>
      </c>
      <c r="AN297" s="81">
        <v>1290</v>
      </c>
      <c r="AO297" s="81" t="b">
        <v>0</v>
      </c>
      <c r="AP297" s="81">
        <v>21</v>
      </c>
      <c r="AQ297" s="81"/>
      <c r="AR297" s="81"/>
      <c r="AS297" s="81" t="s">
        <v>2571</v>
      </c>
      <c r="AT297" s="83" t="str">
        <f>HYPERLINK("https://www.youtube.com/channel/UCS0sR5VZi4XH6lTASBzAEVA")</f>
        <v>https://www.youtube.com/channel/UCS0sR5VZi4XH6lTASBzAEVA</v>
      </c>
      <c r="AU297" s="81">
        <v>2</v>
      </c>
      <c r="AV297" s="49">
        <v>1</v>
      </c>
      <c r="AW297" s="50">
        <v>2.7777777777777777</v>
      </c>
      <c r="AX297" s="49">
        <v>3</v>
      </c>
      <c r="AY297" s="50">
        <v>8.333333333333334</v>
      </c>
      <c r="AZ297" s="49">
        <v>0</v>
      </c>
      <c r="BA297" s="50">
        <v>0</v>
      </c>
      <c r="BB297" s="49">
        <v>10</v>
      </c>
      <c r="BC297" s="50">
        <v>27.77777777777778</v>
      </c>
      <c r="BD297" s="49">
        <v>36</v>
      </c>
      <c r="BE297" s="49"/>
      <c r="BF297" s="49"/>
      <c r="BG297" s="49"/>
      <c r="BH297" s="49"/>
      <c r="BI297" s="49"/>
      <c r="BJ297" s="49"/>
      <c r="BK297" s="115" t="s">
        <v>2834</v>
      </c>
      <c r="BL297" s="115" t="s">
        <v>2834</v>
      </c>
      <c r="BM297" s="115" t="s">
        <v>3292</v>
      </c>
      <c r="BN297" s="115" t="s">
        <v>3292</v>
      </c>
      <c r="BO297" s="2"/>
      <c r="BP297" s="3"/>
      <c r="BQ297" s="3"/>
      <c r="BR297" s="3"/>
      <c r="BS297" s="3"/>
    </row>
    <row r="298" spans="1:71" ht="15">
      <c r="A298" s="66" t="s">
        <v>515</v>
      </c>
      <c r="B298" s="67"/>
      <c r="C298" s="67"/>
      <c r="D298" s="68">
        <v>150</v>
      </c>
      <c r="E298" s="70"/>
      <c r="F298" s="102" t="str">
        <f>HYPERLINK("https://yt3.ggpht.com/6SICEznJ-6VJKrYtKiItjPaT388Ovcceov7os9oGok-TZ3fsj4BWp00I-Wa_Ux59M2JDTZjX=s88-c-k-c0x00ffffff-no-rj")</f>
        <v>https://yt3.ggpht.com/6SICEznJ-6VJKrYtKiItjPaT388Ovcceov7os9oGok-TZ3fsj4BWp00I-Wa_Ux59M2JDTZjX=s88-c-k-c0x00ffffff-no-rj</v>
      </c>
      <c r="G298" s="67"/>
      <c r="H298" s="71" t="s">
        <v>1588</v>
      </c>
      <c r="I298" s="72"/>
      <c r="J298" s="72" t="s">
        <v>159</v>
      </c>
      <c r="K298" s="71" t="s">
        <v>1588</v>
      </c>
      <c r="L298" s="75">
        <v>1</v>
      </c>
      <c r="M298" s="76">
        <v>6097.78515625</v>
      </c>
      <c r="N298" s="76">
        <v>1794.6978759765625</v>
      </c>
      <c r="O298" s="77"/>
      <c r="P298" s="78"/>
      <c r="Q298" s="78"/>
      <c r="R298" s="88"/>
      <c r="S298" s="49">
        <v>0</v>
      </c>
      <c r="T298" s="49">
        <v>1</v>
      </c>
      <c r="U298" s="50">
        <v>0</v>
      </c>
      <c r="V298" s="50">
        <v>0.135911</v>
      </c>
      <c r="W298" s="50">
        <v>0</v>
      </c>
      <c r="X298" s="50">
        <v>0.00158</v>
      </c>
      <c r="Y298" s="50">
        <v>0</v>
      </c>
      <c r="Z298" s="50">
        <v>0</v>
      </c>
      <c r="AA298" s="73">
        <v>298</v>
      </c>
      <c r="AB298" s="73"/>
      <c r="AC298" s="74"/>
      <c r="AD298" s="81" t="s">
        <v>1588</v>
      </c>
      <c r="AE298" s="81" t="s">
        <v>1974</v>
      </c>
      <c r="AF298" s="81"/>
      <c r="AG298" s="81"/>
      <c r="AH298" s="81"/>
      <c r="AI298" s="81" t="s">
        <v>2314</v>
      </c>
      <c r="AJ298" s="85">
        <v>41461.187476851854</v>
      </c>
      <c r="AK298" s="83" t="str">
        <f>HYPERLINK("https://yt3.ggpht.com/6SICEznJ-6VJKrYtKiItjPaT388Ovcceov7os9oGok-TZ3fsj4BWp00I-Wa_Ux59M2JDTZjX=s88-c-k-c0x00ffffff-no-rj")</f>
        <v>https://yt3.ggpht.com/6SICEznJ-6VJKrYtKiItjPaT388Ovcceov7os9oGok-TZ3fsj4BWp00I-Wa_Ux59M2JDTZjX=s88-c-k-c0x00ffffff-no-rj</v>
      </c>
      <c r="AL298" s="81">
        <v>11010</v>
      </c>
      <c r="AM298" s="81">
        <v>0</v>
      </c>
      <c r="AN298" s="81">
        <v>204</v>
      </c>
      <c r="AO298" s="81" t="b">
        <v>0</v>
      </c>
      <c r="AP298" s="81">
        <v>13</v>
      </c>
      <c r="AQ298" s="81"/>
      <c r="AR298" s="81"/>
      <c r="AS298" s="81" t="s">
        <v>2571</v>
      </c>
      <c r="AT298" s="83" t="str">
        <f>HYPERLINK("https://www.youtube.com/channel/UCCuzh05wf-gk9iAFFSe7n-A")</f>
        <v>https://www.youtube.com/channel/UCCuzh05wf-gk9iAFFSe7n-A</v>
      </c>
      <c r="AU298" s="81">
        <v>2</v>
      </c>
      <c r="AV298" s="49">
        <v>2</v>
      </c>
      <c r="AW298" s="50">
        <v>13.333333333333334</v>
      </c>
      <c r="AX298" s="49">
        <v>0</v>
      </c>
      <c r="AY298" s="50">
        <v>0</v>
      </c>
      <c r="AZ298" s="49">
        <v>0</v>
      </c>
      <c r="BA298" s="50">
        <v>0</v>
      </c>
      <c r="BB298" s="49">
        <v>8</v>
      </c>
      <c r="BC298" s="50">
        <v>53.333333333333336</v>
      </c>
      <c r="BD298" s="49">
        <v>15</v>
      </c>
      <c r="BE298" s="49"/>
      <c r="BF298" s="49"/>
      <c r="BG298" s="49"/>
      <c r="BH298" s="49"/>
      <c r="BI298" s="49"/>
      <c r="BJ298" s="49"/>
      <c r="BK298" s="115" t="s">
        <v>2835</v>
      </c>
      <c r="BL298" s="115" t="s">
        <v>2835</v>
      </c>
      <c r="BM298" s="115" t="s">
        <v>3293</v>
      </c>
      <c r="BN298" s="115" t="s">
        <v>3293</v>
      </c>
      <c r="BO298" s="2"/>
      <c r="BP298" s="3"/>
      <c r="BQ298" s="3"/>
      <c r="BR298" s="3"/>
      <c r="BS298" s="3"/>
    </row>
    <row r="299" spans="1:71" ht="15">
      <c r="A299" s="66" t="s">
        <v>516</v>
      </c>
      <c r="B299" s="67"/>
      <c r="C299" s="67"/>
      <c r="D299" s="68">
        <v>150</v>
      </c>
      <c r="E299" s="70"/>
      <c r="F299" s="102" t="str">
        <f>HYPERLINK("https://yt3.ggpht.com/ytc/AOPolaTl_sc2eKHetZ0hBqGpHXidhLex6QC1rQpV5g=s88-c-k-c0x00ffffff-no-rj")</f>
        <v>https://yt3.ggpht.com/ytc/AOPolaTl_sc2eKHetZ0hBqGpHXidhLex6QC1rQpV5g=s88-c-k-c0x00ffffff-no-rj</v>
      </c>
      <c r="G299" s="67"/>
      <c r="H299" s="71" t="s">
        <v>1589</v>
      </c>
      <c r="I299" s="72"/>
      <c r="J299" s="72" t="s">
        <v>159</v>
      </c>
      <c r="K299" s="71" t="s">
        <v>1589</v>
      </c>
      <c r="L299" s="75">
        <v>1</v>
      </c>
      <c r="M299" s="76">
        <v>4817.42431640625</v>
      </c>
      <c r="N299" s="76">
        <v>3840.696044921875</v>
      </c>
      <c r="O299" s="77"/>
      <c r="P299" s="78"/>
      <c r="Q299" s="78"/>
      <c r="R299" s="88"/>
      <c r="S299" s="49">
        <v>0</v>
      </c>
      <c r="T299" s="49">
        <v>1</v>
      </c>
      <c r="U299" s="50">
        <v>0</v>
      </c>
      <c r="V299" s="50">
        <v>0.135911</v>
      </c>
      <c r="W299" s="50">
        <v>0</v>
      </c>
      <c r="X299" s="50">
        <v>0.00158</v>
      </c>
      <c r="Y299" s="50">
        <v>0</v>
      </c>
      <c r="Z299" s="50">
        <v>0</v>
      </c>
      <c r="AA299" s="73">
        <v>299</v>
      </c>
      <c r="AB299" s="73"/>
      <c r="AC299" s="74"/>
      <c r="AD299" s="81" t="s">
        <v>1589</v>
      </c>
      <c r="AE299" s="81"/>
      <c r="AF299" s="81"/>
      <c r="AG299" s="81"/>
      <c r="AH299" s="81"/>
      <c r="AI299" s="81" t="s">
        <v>2315</v>
      </c>
      <c r="AJ299" s="85">
        <v>44027.86435185185</v>
      </c>
      <c r="AK299" s="83" t="str">
        <f>HYPERLINK("https://yt3.ggpht.com/ytc/AOPolaTl_sc2eKHetZ0hBqGpHXidhLex6QC1rQpV5g=s88-c-k-c0x00ffffff-no-rj")</f>
        <v>https://yt3.ggpht.com/ytc/AOPolaTl_sc2eKHetZ0hBqGpHXidhLex6QC1rQpV5g=s88-c-k-c0x00ffffff-no-rj</v>
      </c>
      <c r="AL299" s="81">
        <v>0</v>
      </c>
      <c r="AM299" s="81">
        <v>0</v>
      </c>
      <c r="AN299" s="81">
        <v>0</v>
      </c>
      <c r="AO299" s="81" t="b">
        <v>0</v>
      </c>
      <c r="AP299" s="81">
        <v>0</v>
      </c>
      <c r="AQ299" s="81"/>
      <c r="AR299" s="81"/>
      <c r="AS299" s="81" t="s">
        <v>2571</v>
      </c>
      <c r="AT299" s="83" t="str">
        <f>HYPERLINK("https://www.youtube.com/channel/UCHVYjdjDomgr-b-IKIwgMOQ")</f>
        <v>https://www.youtube.com/channel/UCHVYjdjDomgr-b-IKIwgMOQ</v>
      </c>
      <c r="AU299" s="81">
        <v>2</v>
      </c>
      <c r="AV299" s="49">
        <v>1</v>
      </c>
      <c r="AW299" s="50">
        <v>4.3478260869565215</v>
      </c>
      <c r="AX299" s="49">
        <v>1</v>
      </c>
      <c r="AY299" s="50">
        <v>4.3478260869565215</v>
      </c>
      <c r="AZ299" s="49">
        <v>0</v>
      </c>
      <c r="BA299" s="50">
        <v>0</v>
      </c>
      <c r="BB299" s="49">
        <v>12</v>
      </c>
      <c r="BC299" s="50">
        <v>52.17391304347826</v>
      </c>
      <c r="BD299" s="49">
        <v>23</v>
      </c>
      <c r="BE299" s="49"/>
      <c r="BF299" s="49"/>
      <c r="BG299" s="49"/>
      <c r="BH299" s="49"/>
      <c r="BI299" s="49"/>
      <c r="BJ299" s="49"/>
      <c r="BK299" s="115" t="s">
        <v>2836</v>
      </c>
      <c r="BL299" s="115" t="s">
        <v>2836</v>
      </c>
      <c r="BM299" s="115" t="s">
        <v>3294</v>
      </c>
      <c r="BN299" s="115" t="s">
        <v>3294</v>
      </c>
      <c r="BO299" s="2"/>
      <c r="BP299" s="3"/>
      <c r="BQ299" s="3"/>
      <c r="BR299" s="3"/>
      <c r="BS299" s="3"/>
    </row>
    <row r="300" spans="1:71" ht="15">
      <c r="A300" s="66" t="s">
        <v>517</v>
      </c>
      <c r="B300" s="67"/>
      <c r="C300" s="67"/>
      <c r="D300" s="68">
        <v>150</v>
      </c>
      <c r="E300" s="70"/>
      <c r="F300" s="102" t="str">
        <f>HYPERLINK("https://yt3.ggpht.com/ytc/AOPolaQViBj7TvUc8Sb9PVgIzaRP12nwMlz7ZSREQM_-Kw=s88-c-k-c0x00ffffff-no-rj")</f>
        <v>https://yt3.ggpht.com/ytc/AOPolaQViBj7TvUc8Sb9PVgIzaRP12nwMlz7ZSREQM_-Kw=s88-c-k-c0x00ffffff-no-rj</v>
      </c>
      <c r="G300" s="67"/>
      <c r="H300" s="71" t="s">
        <v>1590</v>
      </c>
      <c r="I300" s="72"/>
      <c r="J300" s="72" t="s">
        <v>159</v>
      </c>
      <c r="K300" s="71" t="s">
        <v>1590</v>
      </c>
      <c r="L300" s="75">
        <v>1</v>
      </c>
      <c r="M300" s="76">
        <v>5284.744140625</v>
      </c>
      <c r="N300" s="76">
        <v>1844.7188720703125</v>
      </c>
      <c r="O300" s="77"/>
      <c r="P300" s="78"/>
      <c r="Q300" s="78"/>
      <c r="R300" s="88"/>
      <c r="S300" s="49">
        <v>0</v>
      </c>
      <c r="T300" s="49">
        <v>1</v>
      </c>
      <c r="U300" s="50">
        <v>0</v>
      </c>
      <c r="V300" s="50">
        <v>0.135911</v>
      </c>
      <c r="W300" s="50">
        <v>0</v>
      </c>
      <c r="X300" s="50">
        <v>0.00158</v>
      </c>
      <c r="Y300" s="50">
        <v>0</v>
      </c>
      <c r="Z300" s="50">
        <v>0</v>
      </c>
      <c r="AA300" s="73">
        <v>300</v>
      </c>
      <c r="AB300" s="73"/>
      <c r="AC300" s="74"/>
      <c r="AD300" s="81" t="s">
        <v>1590</v>
      </c>
      <c r="AE300" s="81"/>
      <c r="AF300" s="81"/>
      <c r="AG300" s="81"/>
      <c r="AH300" s="81"/>
      <c r="AI300" s="81" t="s">
        <v>2316</v>
      </c>
      <c r="AJ300" s="85">
        <v>41658.354409722226</v>
      </c>
      <c r="AK300" s="83" t="str">
        <f>HYPERLINK("https://yt3.ggpht.com/ytc/AOPolaQViBj7TvUc8Sb9PVgIzaRP12nwMlz7ZSREQM_-Kw=s88-c-k-c0x00ffffff-no-rj")</f>
        <v>https://yt3.ggpht.com/ytc/AOPolaQViBj7TvUc8Sb9PVgIzaRP12nwMlz7ZSREQM_-Kw=s88-c-k-c0x00ffffff-no-rj</v>
      </c>
      <c r="AL300" s="81">
        <v>0</v>
      </c>
      <c r="AM300" s="81">
        <v>0</v>
      </c>
      <c r="AN300" s="81">
        <v>2</v>
      </c>
      <c r="AO300" s="81" t="b">
        <v>0</v>
      </c>
      <c r="AP300" s="81">
        <v>0</v>
      </c>
      <c r="AQ300" s="81"/>
      <c r="AR300" s="81"/>
      <c r="AS300" s="81" t="s">
        <v>2571</v>
      </c>
      <c r="AT300" s="83" t="str">
        <f>HYPERLINK("https://www.youtube.com/channel/UCZOEY-B9NCIiCzv2-3UoLcQ")</f>
        <v>https://www.youtube.com/channel/UCZOEY-B9NCIiCzv2-3UoLcQ</v>
      </c>
      <c r="AU300" s="81">
        <v>2</v>
      </c>
      <c r="AV300" s="49">
        <v>0</v>
      </c>
      <c r="AW300" s="50">
        <v>0</v>
      </c>
      <c r="AX300" s="49">
        <v>0</v>
      </c>
      <c r="AY300" s="50">
        <v>0</v>
      </c>
      <c r="AZ300" s="49">
        <v>0</v>
      </c>
      <c r="BA300" s="50">
        <v>0</v>
      </c>
      <c r="BB300" s="49">
        <v>0</v>
      </c>
      <c r="BC300" s="50">
        <v>0</v>
      </c>
      <c r="BD300" s="49">
        <v>6</v>
      </c>
      <c r="BE300" s="49"/>
      <c r="BF300" s="49"/>
      <c r="BG300" s="49"/>
      <c r="BH300" s="49"/>
      <c r="BI300" s="49"/>
      <c r="BJ300" s="49"/>
      <c r="BK300" s="115" t="s">
        <v>4477</v>
      </c>
      <c r="BL300" s="115" t="s">
        <v>4477</v>
      </c>
      <c r="BM300" s="115" t="s">
        <v>4477</v>
      </c>
      <c r="BN300" s="115" t="s">
        <v>4477</v>
      </c>
      <c r="BO300" s="2"/>
      <c r="BP300" s="3"/>
      <c r="BQ300" s="3"/>
      <c r="BR300" s="3"/>
      <c r="BS300" s="3"/>
    </row>
    <row r="301" spans="1:71" ht="15">
      <c r="A301" s="66" t="s">
        <v>518</v>
      </c>
      <c r="B301" s="67"/>
      <c r="C301" s="67"/>
      <c r="D301" s="68">
        <v>150</v>
      </c>
      <c r="E301" s="70"/>
      <c r="F301" s="102" t="str">
        <f>HYPERLINK("https://yt3.ggpht.com/ytc/AOPolaR5VcfGzx_xPFAxf4TFbHZHz26uKjWPxsylVTvyyw=s88-c-k-c0x00ffffff-no-rj")</f>
        <v>https://yt3.ggpht.com/ytc/AOPolaR5VcfGzx_xPFAxf4TFbHZHz26uKjWPxsylVTvyyw=s88-c-k-c0x00ffffff-no-rj</v>
      </c>
      <c r="G301" s="67"/>
      <c r="H301" s="71" t="s">
        <v>1591</v>
      </c>
      <c r="I301" s="72"/>
      <c r="J301" s="72" t="s">
        <v>159</v>
      </c>
      <c r="K301" s="71" t="s">
        <v>1591</v>
      </c>
      <c r="L301" s="75">
        <v>1</v>
      </c>
      <c r="M301" s="76">
        <v>155.84652709960938</v>
      </c>
      <c r="N301" s="76">
        <v>2628.586181640625</v>
      </c>
      <c r="O301" s="77"/>
      <c r="P301" s="78"/>
      <c r="Q301" s="78"/>
      <c r="R301" s="88"/>
      <c r="S301" s="49">
        <v>0</v>
      </c>
      <c r="T301" s="49">
        <v>1</v>
      </c>
      <c r="U301" s="50">
        <v>0</v>
      </c>
      <c r="V301" s="50">
        <v>0.135911</v>
      </c>
      <c r="W301" s="50">
        <v>0</v>
      </c>
      <c r="X301" s="50">
        <v>0.00158</v>
      </c>
      <c r="Y301" s="50">
        <v>0</v>
      </c>
      <c r="Z301" s="50">
        <v>0</v>
      </c>
      <c r="AA301" s="73">
        <v>301</v>
      </c>
      <c r="AB301" s="73"/>
      <c r="AC301" s="74"/>
      <c r="AD301" s="81" t="s">
        <v>1591</v>
      </c>
      <c r="AE301" s="81"/>
      <c r="AF301" s="81"/>
      <c r="AG301" s="81"/>
      <c r="AH301" s="81"/>
      <c r="AI301" s="81" t="s">
        <v>2317</v>
      </c>
      <c r="AJ301" s="85">
        <v>40946.03766203704</v>
      </c>
      <c r="AK301" s="83" t="str">
        <f>HYPERLINK("https://yt3.ggpht.com/ytc/AOPolaR5VcfGzx_xPFAxf4TFbHZHz26uKjWPxsylVTvyyw=s88-c-k-c0x00ffffff-no-rj")</f>
        <v>https://yt3.ggpht.com/ytc/AOPolaR5VcfGzx_xPFAxf4TFbHZHz26uKjWPxsylVTvyyw=s88-c-k-c0x00ffffff-no-rj</v>
      </c>
      <c r="AL301" s="81">
        <v>0</v>
      </c>
      <c r="AM301" s="81">
        <v>0</v>
      </c>
      <c r="AN301" s="81">
        <v>1</v>
      </c>
      <c r="AO301" s="81" t="b">
        <v>0</v>
      </c>
      <c r="AP301" s="81">
        <v>0</v>
      </c>
      <c r="AQ301" s="81"/>
      <c r="AR301" s="81"/>
      <c r="AS301" s="81" t="s">
        <v>2571</v>
      </c>
      <c r="AT301" s="83" t="str">
        <f>HYPERLINK("https://www.youtube.com/channel/UCsHFIY1wJaSdx7y-yS-fQQg")</f>
        <v>https://www.youtube.com/channel/UCsHFIY1wJaSdx7y-yS-fQQg</v>
      </c>
      <c r="AU301" s="81">
        <v>2</v>
      </c>
      <c r="AV301" s="49">
        <v>2</v>
      </c>
      <c r="AW301" s="50">
        <v>16.666666666666668</v>
      </c>
      <c r="AX301" s="49">
        <v>0</v>
      </c>
      <c r="AY301" s="50">
        <v>0</v>
      </c>
      <c r="AZ301" s="49">
        <v>0</v>
      </c>
      <c r="BA301" s="50">
        <v>0</v>
      </c>
      <c r="BB301" s="49">
        <v>5</v>
      </c>
      <c r="BC301" s="50">
        <v>41.666666666666664</v>
      </c>
      <c r="BD301" s="49">
        <v>12</v>
      </c>
      <c r="BE301" s="49"/>
      <c r="BF301" s="49"/>
      <c r="BG301" s="49"/>
      <c r="BH301" s="49"/>
      <c r="BI301" s="49"/>
      <c r="BJ301" s="49"/>
      <c r="BK301" s="115" t="s">
        <v>2837</v>
      </c>
      <c r="BL301" s="115" t="s">
        <v>2837</v>
      </c>
      <c r="BM301" s="115" t="s">
        <v>3295</v>
      </c>
      <c r="BN301" s="115" t="s">
        <v>3295</v>
      </c>
      <c r="BO301" s="2"/>
      <c r="BP301" s="3"/>
      <c r="BQ301" s="3"/>
      <c r="BR301" s="3"/>
      <c r="BS301" s="3"/>
    </row>
    <row r="302" spans="1:71" ht="15">
      <c r="A302" s="66" t="s">
        <v>519</v>
      </c>
      <c r="B302" s="67"/>
      <c r="C302" s="67"/>
      <c r="D302" s="68">
        <v>150</v>
      </c>
      <c r="E302" s="70"/>
      <c r="F302" s="102" t="str">
        <f>HYPERLINK("https://yt3.ggpht.com/k9VrXjUo_JDBbrFvjl9B6A3hIK7Ry84bRvo8z9_CfMnWAuffe9xl75tT-IdRluO2UMbw38R_bLc=s88-c-k-c0x00ffffff-no-rj")</f>
        <v>https://yt3.ggpht.com/k9VrXjUo_JDBbrFvjl9B6A3hIK7Ry84bRvo8z9_CfMnWAuffe9xl75tT-IdRluO2UMbw38R_bLc=s88-c-k-c0x00ffffff-no-rj</v>
      </c>
      <c r="G302" s="67"/>
      <c r="H302" s="71" t="s">
        <v>1592</v>
      </c>
      <c r="I302" s="72"/>
      <c r="J302" s="72" t="s">
        <v>159</v>
      </c>
      <c r="K302" s="71" t="s">
        <v>1592</v>
      </c>
      <c r="L302" s="75">
        <v>1</v>
      </c>
      <c r="M302" s="76">
        <v>2687.12841796875</v>
      </c>
      <c r="N302" s="76">
        <v>3997.364013671875</v>
      </c>
      <c r="O302" s="77"/>
      <c r="P302" s="78"/>
      <c r="Q302" s="78"/>
      <c r="R302" s="88"/>
      <c r="S302" s="49">
        <v>0</v>
      </c>
      <c r="T302" s="49">
        <v>1</v>
      </c>
      <c r="U302" s="50">
        <v>0</v>
      </c>
      <c r="V302" s="50">
        <v>0.135911</v>
      </c>
      <c r="W302" s="50">
        <v>0</v>
      </c>
      <c r="X302" s="50">
        <v>0.00158</v>
      </c>
      <c r="Y302" s="50">
        <v>0</v>
      </c>
      <c r="Z302" s="50">
        <v>0</v>
      </c>
      <c r="AA302" s="73">
        <v>302</v>
      </c>
      <c r="AB302" s="73"/>
      <c r="AC302" s="74"/>
      <c r="AD302" s="81" t="s">
        <v>1592</v>
      </c>
      <c r="AE302" s="81"/>
      <c r="AF302" s="81"/>
      <c r="AG302" s="81"/>
      <c r="AH302" s="81"/>
      <c r="AI302" s="81" t="s">
        <v>2318</v>
      </c>
      <c r="AJ302" s="85">
        <v>40787.87443287037</v>
      </c>
      <c r="AK302" s="83" t="str">
        <f>HYPERLINK("https://yt3.ggpht.com/k9VrXjUo_JDBbrFvjl9B6A3hIK7Ry84bRvo8z9_CfMnWAuffe9xl75tT-IdRluO2UMbw38R_bLc=s88-c-k-c0x00ffffff-no-rj")</f>
        <v>https://yt3.ggpht.com/k9VrXjUo_JDBbrFvjl9B6A3hIK7Ry84bRvo8z9_CfMnWAuffe9xl75tT-IdRluO2UMbw38R_bLc=s88-c-k-c0x00ffffff-no-rj</v>
      </c>
      <c r="AL302" s="81">
        <v>0</v>
      </c>
      <c r="AM302" s="81">
        <v>0</v>
      </c>
      <c r="AN302" s="81">
        <v>9</v>
      </c>
      <c r="AO302" s="81" t="b">
        <v>0</v>
      </c>
      <c r="AP302" s="81">
        <v>0</v>
      </c>
      <c r="AQ302" s="81"/>
      <c r="AR302" s="81"/>
      <c r="AS302" s="81" t="s">
        <v>2571</v>
      </c>
      <c r="AT302" s="83" t="str">
        <f>HYPERLINK("https://www.youtube.com/channel/UC2MXgtSiyIQqSB8OpqVEfkQ")</f>
        <v>https://www.youtube.com/channel/UC2MXgtSiyIQqSB8OpqVEfkQ</v>
      </c>
      <c r="AU302" s="81">
        <v>2</v>
      </c>
      <c r="AV302" s="49">
        <v>0</v>
      </c>
      <c r="AW302" s="50">
        <v>0</v>
      </c>
      <c r="AX302" s="49">
        <v>0</v>
      </c>
      <c r="AY302" s="50">
        <v>0</v>
      </c>
      <c r="AZ302" s="49">
        <v>0</v>
      </c>
      <c r="BA302" s="50">
        <v>0</v>
      </c>
      <c r="BB302" s="49">
        <v>2</v>
      </c>
      <c r="BC302" s="50">
        <v>18.181818181818183</v>
      </c>
      <c r="BD302" s="49">
        <v>11</v>
      </c>
      <c r="BE302" s="49"/>
      <c r="BF302" s="49"/>
      <c r="BG302" s="49"/>
      <c r="BH302" s="49"/>
      <c r="BI302" s="49"/>
      <c r="BJ302" s="49"/>
      <c r="BK302" s="115" t="s">
        <v>2838</v>
      </c>
      <c r="BL302" s="115" t="s">
        <v>2838</v>
      </c>
      <c r="BM302" s="115" t="s">
        <v>3296</v>
      </c>
      <c r="BN302" s="115" t="s">
        <v>3296</v>
      </c>
      <c r="BO302" s="2"/>
      <c r="BP302" s="3"/>
      <c r="BQ302" s="3"/>
      <c r="BR302" s="3"/>
      <c r="BS302" s="3"/>
    </row>
    <row r="303" spans="1:71" ht="15">
      <c r="A303" s="66" t="s">
        <v>520</v>
      </c>
      <c r="B303" s="67"/>
      <c r="C303" s="67"/>
      <c r="D303" s="68">
        <v>150</v>
      </c>
      <c r="E303" s="70"/>
      <c r="F303" s="102" t="str">
        <f>HYPERLINK("https://yt3.ggpht.com/Vb8tsiooRktEGMM2gMw0zRrpZ9LXJz9z2qDyPDZVh0wKN3nac7MmdkfL69dM4Uvg3gpjEUHPpg=s88-c-k-c0x00ffffff-no-rj")</f>
        <v>https://yt3.ggpht.com/Vb8tsiooRktEGMM2gMw0zRrpZ9LXJz9z2qDyPDZVh0wKN3nac7MmdkfL69dM4Uvg3gpjEUHPpg=s88-c-k-c0x00ffffff-no-rj</v>
      </c>
      <c r="G303" s="67"/>
      <c r="H303" s="71" t="s">
        <v>1593</v>
      </c>
      <c r="I303" s="72"/>
      <c r="J303" s="72" t="s">
        <v>159</v>
      </c>
      <c r="K303" s="71" t="s">
        <v>1593</v>
      </c>
      <c r="L303" s="75">
        <v>1</v>
      </c>
      <c r="M303" s="76">
        <v>1455.0294189453125</v>
      </c>
      <c r="N303" s="76">
        <v>3881.212646484375</v>
      </c>
      <c r="O303" s="77"/>
      <c r="P303" s="78"/>
      <c r="Q303" s="78"/>
      <c r="R303" s="88"/>
      <c r="S303" s="49">
        <v>0</v>
      </c>
      <c r="T303" s="49">
        <v>1</v>
      </c>
      <c r="U303" s="50">
        <v>0</v>
      </c>
      <c r="V303" s="50">
        <v>0.135911</v>
      </c>
      <c r="W303" s="50">
        <v>0</v>
      </c>
      <c r="X303" s="50">
        <v>0.00158</v>
      </c>
      <c r="Y303" s="50">
        <v>0</v>
      </c>
      <c r="Z303" s="50">
        <v>0</v>
      </c>
      <c r="AA303" s="73">
        <v>303</v>
      </c>
      <c r="AB303" s="73"/>
      <c r="AC303" s="74"/>
      <c r="AD303" s="81" t="s">
        <v>1593</v>
      </c>
      <c r="AE303" s="81" t="s">
        <v>1975</v>
      </c>
      <c r="AF303" s="81"/>
      <c r="AG303" s="81"/>
      <c r="AH303" s="81"/>
      <c r="AI303" s="81" t="s">
        <v>2319</v>
      </c>
      <c r="AJ303" s="85">
        <v>44516.13940972222</v>
      </c>
      <c r="AK303" s="83" t="str">
        <f>HYPERLINK("https://yt3.ggpht.com/Vb8tsiooRktEGMM2gMw0zRrpZ9LXJz9z2qDyPDZVh0wKN3nac7MmdkfL69dM4Uvg3gpjEUHPpg=s88-c-k-c0x00ffffff-no-rj")</f>
        <v>https://yt3.ggpht.com/Vb8tsiooRktEGMM2gMw0zRrpZ9LXJz9z2qDyPDZVh0wKN3nac7MmdkfL69dM4Uvg3gpjEUHPpg=s88-c-k-c0x00ffffff-no-rj</v>
      </c>
      <c r="AL303" s="81">
        <v>0</v>
      </c>
      <c r="AM303" s="81">
        <v>0</v>
      </c>
      <c r="AN303" s="81">
        <v>1</v>
      </c>
      <c r="AO303" s="81" t="b">
        <v>0</v>
      </c>
      <c r="AP303" s="81">
        <v>0</v>
      </c>
      <c r="AQ303" s="81"/>
      <c r="AR303" s="81"/>
      <c r="AS303" s="81" t="s">
        <v>2571</v>
      </c>
      <c r="AT303" s="83" t="str">
        <f>HYPERLINK("https://www.youtube.com/channel/UCRYpWX1y1pgRq1EFqKz-HDA")</f>
        <v>https://www.youtube.com/channel/UCRYpWX1y1pgRq1EFqKz-HDA</v>
      </c>
      <c r="AU303" s="81">
        <v>2</v>
      </c>
      <c r="AV303" s="49">
        <v>1</v>
      </c>
      <c r="AW303" s="50">
        <v>33.333333333333336</v>
      </c>
      <c r="AX303" s="49">
        <v>0</v>
      </c>
      <c r="AY303" s="50">
        <v>0</v>
      </c>
      <c r="AZ303" s="49">
        <v>0</v>
      </c>
      <c r="BA303" s="50">
        <v>0</v>
      </c>
      <c r="BB303" s="49">
        <v>0</v>
      </c>
      <c r="BC303" s="50">
        <v>0</v>
      </c>
      <c r="BD303" s="49">
        <v>3</v>
      </c>
      <c r="BE303" s="49"/>
      <c r="BF303" s="49"/>
      <c r="BG303" s="49"/>
      <c r="BH303" s="49"/>
      <c r="BI303" s="49"/>
      <c r="BJ303" s="49"/>
      <c r="BK303" s="115" t="s">
        <v>2839</v>
      </c>
      <c r="BL303" s="115" t="s">
        <v>2839</v>
      </c>
      <c r="BM303" s="115" t="s">
        <v>4477</v>
      </c>
      <c r="BN303" s="115" t="s">
        <v>4477</v>
      </c>
      <c r="BO303" s="2"/>
      <c r="BP303" s="3"/>
      <c r="BQ303" s="3"/>
      <c r="BR303" s="3"/>
      <c r="BS303" s="3"/>
    </row>
    <row r="304" spans="1:71" ht="15">
      <c r="A304" s="66" t="s">
        <v>521</v>
      </c>
      <c r="B304" s="67"/>
      <c r="C304" s="67"/>
      <c r="D304" s="68">
        <v>150</v>
      </c>
      <c r="E304" s="70"/>
      <c r="F304" s="102" t="str">
        <f>HYPERLINK("https://yt3.ggpht.com/CkugXGMUMv-4m0Wc9LDG06xYPwzXYufV4Pr7JLfe3PZzZ6L1ug0IwGQNPEyIWOQkvO5aXboF=s88-c-k-c0x00ffffff-no-rj")</f>
        <v>https://yt3.ggpht.com/CkugXGMUMv-4m0Wc9LDG06xYPwzXYufV4Pr7JLfe3PZzZ6L1ug0IwGQNPEyIWOQkvO5aXboF=s88-c-k-c0x00ffffff-no-rj</v>
      </c>
      <c r="G304" s="67"/>
      <c r="H304" s="71" t="s">
        <v>1594</v>
      </c>
      <c r="I304" s="72"/>
      <c r="J304" s="72" t="s">
        <v>159</v>
      </c>
      <c r="K304" s="71" t="s">
        <v>1594</v>
      </c>
      <c r="L304" s="75">
        <v>1</v>
      </c>
      <c r="M304" s="76">
        <v>3171.00537109375</v>
      </c>
      <c r="N304" s="76">
        <v>447.6717834472656</v>
      </c>
      <c r="O304" s="77"/>
      <c r="P304" s="78"/>
      <c r="Q304" s="78"/>
      <c r="R304" s="88"/>
      <c r="S304" s="49">
        <v>0</v>
      </c>
      <c r="T304" s="49">
        <v>1</v>
      </c>
      <c r="U304" s="50">
        <v>0</v>
      </c>
      <c r="V304" s="50">
        <v>0.135911</v>
      </c>
      <c r="W304" s="50">
        <v>0</v>
      </c>
      <c r="X304" s="50">
        <v>0.00158</v>
      </c>
      <c r="Y304" s="50">
        <v>0</v>
      </c>
      <c r="Z304" s="50">
        <v>0</v>
      </c>
      <c r="AA304" s="73">
        <v>304</v>
      </c>
      <c r="AB304" s="73"/>
      <c r="AC304" s="74"/>
      <c r="AD304" s="81" t="s">
        <v>1594</v>
      </c>
      <c r="AE304" s="81"/>
      <c r="AF304" s="81"/>
      <c r="AG304" s="81"/>
      <c r="AH304" s="81"/>
      <c r="AI304" s="81" t="s">
        <v>2320</v>
      </c>
      <c r="AJ304" s="85">
        <v>44647.63924768518</v>
      </c>
      <c r="AK304" s="83" t="str">
        <f>HYPERLINK("https://yt3.ggpht.com/CkugXGMUMv-4m0Wc9LDG06xYPwzXYufV4Pr7JLfe3PZzZ6L1ug0IwGQNPEyIWOQkvO5aXboF=s88-c-k-c0x00ffffff-no-rj")</f>
        <v>https://yt3.ggpht.com/CkugXGMUMv-4m0Wc9LDG06xYPwzXYufV4Pr7JLfe3PZzZ6L1ug0IwGQNPEyIWOQkvO5aXboF=s88-c-k-c0x00ffffff-no-rj</v>
      </c>
      <c r="AL304" s="81">
        <v>0</v>
      </c>
      <c r="AM304" s="81">
        <v>0</v>
      </c>
      <c r="AN304" s="81">
        <v>3</v>
      </c>
      <c r="AO304" s="81" t="b">
        <v>0</v>
      </c>
      <c r="AP304" s="81">
        <v>0</v>
      </c>
      <c r="AQ304" s="81"/>
      <c r="AR304" s="81"/>
      <c r="AS304" s="81" t="s">
        <v>2571</v>
      </c>
      <c r="AT304" s="83" t="str">
        <f>HYPERLINK("https://www.youtube.com/channel/UCwe--ARnPExOnY_Vp2L_7wQ")</f>
        <v>https://www.youtube.com/channel/UCwe--ARnPExOnY_Vp2L_7wQ</v>
      </c>
      <c r="AU304" s="81">
        <v>2</v>
      </c>
      <c r="AV304" s="49">
        <v>1</v>
      </c>
      <c r="AW304" s="50">
        <v>3.5714285714285716</v>
      </c>
      <c r="AX304" s="49">
        <v>0</v>
      </c>
      <c r="AY304" s="50">
        <v>0</v>
      </c>
      <c r="AZ304" s="49">
        <v>0</v>
      </c>
      <c r="BA304" s="50">
        <v>0</v>
      </c>
      <c r="BB304" s="49">
        <v>10</v>
      </c>
      <c r="BC304" s="50">
        <v>35.714285714285715</v>
      </c>
      <c r="BD304" s="49">
        <v>28</v>
      </c>
      <c r="BE304" s="49"/>
      <c r="BF304" s="49"/>
      <c r="BG304" s="49"/>
      <c r="BH304" s="49"/>
      <c r="BI304" s="49"/>
      <c r="BJ304" s="49"/>
      <c r="BK304" s="115" t="s">
        <v>2840</v>
      </c>
      <c r="BL304" s="115" t="s">
        <v>2840</v>
      </c>
      <c r="BM304" s="115" t="s">
        <v>3297</v>
      </c>
      <c r="BN304" s="115" t="s">
        <v>3297</v>
      </c>
      <c r="BO304" s="2"/>
      <c r="BP304" s="3"/>
      <c r="BQ304" s="3"/>
      <c r="BR304" s="3"/>
      <c r="BS304" s="3"/>
    </row>
    <row r="305" spans="1:71" ht="15">
      <c r="A305" s="66" t="s">
        <v>522</v>
      </c>
      <c r="B305" s="67"/>
      <c r="C305" s="67"/>
      <c r="D305" s="68">
        <v>150</v>
      </c>
      <c r="E305" s="70"/>
      <c r="F305" s="102" t="str">
        <f>HYPERLINK("https://yt3.ggpht.com/ytc/AOPolaS7Vay8GiBtR_3HS44TTmfm575Bwhc1ciUpv11j5IfRV_Naa38bKGA5rHaHPR6y=s88-c-k-c0x00ffffff-no-rj")</f>
        <v>https://yt3.ggpht.com/ytc/AOPolaS7Vay8GiBtR_3HS44TTmfm575Bwhc1ciUpv11j5IfRV_Naa38bKGA5rHaHPR6y=s88-c-k-c0x00ffffff-no-rj</v>
      </c>
      <c r="G305" s="67"/>
      <c r="H305" s="71" t="s">
        <v>1595</v>
      </c>
      <c r="I305" s="72"/>
      <c r="J305" s="72" t="s">
        <v>159</v>
      </c>
      <c r="K305" s="71" t="s">
        <v>1595</v>
      </c>
      <c r="L305" s="75">
        <v>1</v>
      </c>
      <c r="M305" s="76">
        <v>2669.470458984375</v>
      </c>
      <c r="N305" s="76">
        <v>4205.10009765625</v>
      </c>
      <c r="O305" s="77"/>
      <c r="P305" s="78"/>
      <c r="Q305" s="78"/>
      <c r="R305" s="88"/>
      <c r="S305" s="49">
        <v>0</v>
      </c>
      <c r="T305" s="49">
        <v>1</v>
      </c>
      <c r="U305" s="50">
        <v>0</v>
      </c>
      <c r="V305" s="50">
        <v>0.135911</v>
      </c>
      <c r="W305" s="50">
        <v>0</v>
      </c>
      <c r="X305" s="50">
        <v>0.00158</v>
      </c>
      <c r="Y305" s="50">
        <v>0</v>
      </c>
      <c r="Z305" s="50">
        <v>0</v>
      </c>
      <c r="AA305" s="73">
        <v>305</v>
      </c>
      <c r="AB305" s="73"/>
      <c r="AC305" s="74"/>
      <c r="AD305" s="81" t="s">
        <v>1595</v>
      </c>
      <c r="AE305" s="81"/>
      <c r="AF305" s="81"/>
      <c r="AG305" s="81"/>
      <c r="AH305" s="81"/>
      <c r="AI305" s="81" t="s">
        <v>2321</v>
      </c>
      <c r="AJ305" s="85">
        <v>44501.725173611114</v>
      </c>
      <c r="AK305" s="83" t="str">
        <f>HYPERLINK("https://yt3.ggpht.com/ytc/AOPolaS7Vay8GiBtR_3HS44TTmfm575Bwhc1ciUpv11j5IfRV_Naa38bKGA5rHaHPR6y=s88-c-k-c0x00ffffff-no-rj")</f>
        <v>https://yt3.ggpht.com/ytc/AOPolaS7Vay8GiBtR_3HS44TTmfm575Bwhc1ciUpv11j5IfRV_Naa38bKGA5rHaHPR6y=s88-c-k-c0x00ffffff-no-rj</v>
      </c>
      <c r="AL305" s="81">
        <v>1769</v>
      </c>
      <c r="AM305" s="81">
        <v>0</v>
      </c>
      <c r="AN305" s="81">
        <v>6</v>
      </c>
      <c r="AO305" s="81" t="b">
        <v>0</v>
      </c>
      <c r="AP305" s="81">
        <v>2</v>
      </c>
      <c r="AQ305" s="81"/>
      <c r="AR305" s="81"/>
      <c r="AS305" s="81" t="s">
        <v>2571</v>
      </c>
      <c r="AT305" s="83" t="str">
        <f>HYPERLINK("https://www.youtube.com/channel/UC2XCZCn1_IKgmCS0pBoRiqQ")</f>
        <v>https://www.youtube.com/channel/UC2XCZCn1_IKgmCS0pBoRiqQ</v>
      </c>
      <c r="AU305" s="81">
        <v>2</v>
      </c>
      <c r="AV305" s="49">
        <v>3</v>
      </c>
      <c r="AW305" s="50">
        <v>7.142857142857143</v>
      </c>
      <c r="AX305" s="49">
        <v>2</v>
      </c>
      <c r="AY305" s="50">
        <v>4.761904761904762</v>
      </c>
      <c r="AZ305" s="49">
        <v>0</v>
      </c>
      <c r="BA305" s="50">
        <v>0</v>
      </c>
      <c r="BB305" s="49">
        <v>15</v>
      </c>
      <c r="BC305" s="50">
        <v>35.714285714285715</v>
      </c>
      <c r="BD305" s="49">
        <v>42</v>
      </c>
      <c r="BE305" s="49"/>
      <c r="BF305" s="49"/>
      <c r="BG305" s="49"/>
      <c r="BH305" s="49"/>
      <c r="BI305" s="49"/>
      <c r="BJ305" s="49"/>
      <c r="BK305" s="115" t="s">
        <v>2841</v>
      </c>
      <c r="BL305" s="115" t="s">
        <v>2841</v>
      </c>
      <c r="BM305" s="115" t="s">
        <v>3298</v>
      </c>
      <c r="BN305" s="115" t="s">
        <v>3298</v>
      </c>
      <c r="BO305" s="2"/>
      <c r="BP305" s="3"/>
      <c r="BQ305" s="3"/>
      <c r="BR305" s="3"/>
      <c r="BS305" s="3"/>
    </row>
    <row r="306" spans="1:71" ht="15">
      <c r="A306" s="66" t="s">
        <v>523</v>
      </c>
      <c r="B306" s="67"/>
      <c r="C306" s="67"/>
      <c r="D306" s="68">
        <v>150</v>
      </c>
      <c r="E306" s="70"/>
      <c r="F306" s="102" t="str">
        <f>HYPERLINK("https://yt3.ggpht.com/ytc/AOPolaT87ZuXQMUPu6SSmnPqay991MXIKb-BzQKcRB7bTw=s88-c-k-c0x00ffffff-no-rj")</f>
        <v>https://yt3.ggpht.com/ytc/AOPolaT87ZuXQMUPu6SSmnPqay991MXIKb-BzQKcRB7bTw=s88-c-k-c0x00ffffff-no-rj</v>
      </c>
      <c r="G306" s="67"/>
      <c r="H306" s="71" t="s">
        <v>1596</v>
      </c>
      <c r="I306" s="72"/>
      <c r="J306" s="72" t="s">
        <v>159</v>
      </c>
      <c r="K306" s="71" t="s">
        <v>1596</v>
      </c>
      <c r="L306" s="75">
        <v>1</v>
      </c>
      <c r="M306" s="76">
        <v>1697.0078125</v>
      </c>
      <c r="N306" s="76">
        <v>474.1746826171875</v>
      </c>
      <c r="O306" s="77"/>
      <c r="P306" s="78"/>
      <c r="Q306" s="78"/>
      <c r="R306" s="88"/>
      <c r="S306" s="49">
        <v>0</v>
      </c>
      <c r="T306" s="49">
        <v>1</v>
      </c>
      <c r="U306" s="50">
        <v>0</v>
      </c>
      <c r="V306" s="50">
        <v>0.135911</v>
      </c>
      <c r="W306" s="50">
        <v>0</v>
      </c>
      <c r="X306" s="50">
        <v>0.00158</v>
      </c>
      <c r="Y306" s="50">
        <v>0</v>
      </c>
      <c r="Z306" s="50">
        <v>0</v>
      </c>
      <c r="AA306" s="73">
        <v>306</v>
      </c>
      <c r="AB306" s="73"/>
      <c r="AC306" s="74"/>
      <c r="AD306" s="81" t="s">
        <v>1596</v>
      </c>
      <c r="AE306" s="81"/>
      <c r="AF306" s="81"/>
      <c r="AG306" s="81"/>
      <c r="AH306" s="81"/>
      <c r="AI306" s="81" t="s">
        <v>2322</v>
      </c>
      <c r="AJ306" s="85">
        <v>41769.352175925924</v>
      </c>
      <c r="AK306" s="83" t="str">
        <f>HYPERLINK("https://yt3.ggpht.com/ytc/AOPolaT87ZuXQMUPu6SSmnPqay991MXIKb-BzQKcRB7bTw=s88-c-k-c0x00ffffff-no-rj")</f>
        <v>https://yt3.ggpht.com/ytc/AOPolaT87ZuXQMUPu6SSmnPqay991MXIKb-BzQKcRB7bTw=s88-c-k-c0x00ffffff-no-rj</v>
      </c>
      <c r="AL306" s="81">
        <v>0</v>
      </c>
      <c r="AM306" s="81">
        <v>0</v>
      </c>
      <c r="AN306" s="81">
        <v>5</v>
      </c>
      <c r="AO306" s="81" t="b">
        <v>0</v>
      </c>
      <c r="AP306" s="81">
        <v>0</v>
      </c>
      <c r="AQ306" s="81"/>
      <c r="AR306" s="81"/>
      <c r="AS306" s="81" t="s">
        <v>2571</v>
      </c>
      <c r="AT306" s="83" t="str">
        <f>HYPERLINK("https://www.youtube.com/channel/UCPlu0BIOe0bLj6FHhmNTfmg")</f>
        <v>https://www.youtube.com/channel/UCPlu0BIOe0bLj6FHhmNTfmg</v>
      </c>
      <c r="AU306" s="81">
        <v>2</v>
      </c>
      <c r="AV306" s="49">
        <v>3</v>
      </c>
      <c r="AW306" s="50">
        <v>20</v>
      </c>
      <c r="AX306" s="49">
        <v>1</v>
      </c>
      <c r="AY306" s="50">
        <v>6.666666666666667</v>
      </c>
      <c r="AZ306" s="49">
        <v>0</v>
      </c>
      <c r="BA306" s="50">
        <v>0</v>
      </c>
      <c r="BB306" s="49">
        <v>3</v>
      </c>
      <c r="BC306" s="50">
        <v>20</v>
      </c>
      <c r="BD306" s="49">
        <v>15</v>
      </c>
      <c r="BE306" s="49"/>
      <c r="BF306" s="49"/>
      <c r="BG306" s="49"/>
      <c r="BH306" s="49"/>
      <c r="BI306" s="49"/>
      <c r="BJ306" s="49"/>
      <c r="BK306" s="115" t="s">
        <v>2842</v>
      </c>
      <c r="BL306" s="115" t="s">
        <v>2842</v>
      </c>
      <c r="BM306" s="115" t="s">
        <v>3299</v>
      </c>
      <c r="BN306" s="115" t="s">
        <v>3299</v>
      </c>
      <c r="BO306" s="2"/>
      <c r="BP306" s="3"/>
      <c r="BQ306" s="3"/>
      <c r="BR306" s="3"/>
      <c r="BS306" s="3"/>
    </row>
    <row r="307" spans="1:71" ht="15">
      <c r="A307" s="66" t="s">
        <v>524</v>
      </c>
      <c r="B307" s="67"/>
      <c r="C307" s="67"/>
      <c r="D307" s="68">
        <v>150</v>
      </c>
      <c r="E307" s="70"/>
      <c r="F307" s="102" t="str">
        <f>HYPERLINK("https://yt3.ggpht.com/ytc/AOPolaTj2fnkCTydwtG5Rd3OJGAW1pKBWX1PvKyypdQJ=s88-c-k-c0x00ffffff-no-rj")</f>
        <v>https://yt3.ggpht.com/ytc/AOPolaTj2fnkCTydwtG5Rd3OJGAW1pKBWX1PvKyypdQJ=s88-c-k-c0x00ffffff-no-rj</v>
      </c>
      <c r="G307" s="67"/>
      <c r="H307" s="71" t="s">
        <v>1597</v>
      </c>
      <c r="I307" s="72"/>
      <c r="J307" s="72" t="s">
        <v>159</v>
      </c>
      <c r="K307" s="71" t="s">
        <v>1597</v>
      </c>
      <c r="L307" s="75">
        <v>1</v>
      </c>
      <c r="M307" s="76">
        <v>789.5060424804688</v>
      </c>
      <c r="N307" s="76">
        <v>2023.9776611328125</v>
      </c>
      <c r="O307" s="77"/>
      <c r="P307" s="78"/>
      <c r="Q307" s="78"/>
      <c r="R307" s="88"/>
      <c r="S307" s="49">
        <v>0</v>
      </c>
      <c r="T307" s="49">
        <v>1</v>
      </c>
      <c r="U307" s="50">
        <v>0</v>
      </c>
      <c r="V307" s="50">
        <v>0.135911</v>
      </c>
      <c r="W307" s="50">
        <v>0</v>
      </c>
      <c r="X307" s="50">
        <v>0.00158</v>
      </c>
      <c r="Y307" s="50">
        <v>0</v>
      </c>
      <c r="Z307" s="50">
        <v>0</v>
      </c>
      <c r="AA307" s="73">
        <v>307</v>
      </c>
      <c r="AB307" s="73"/>
      <c r="AC307" s="74"/>
      <c r="AD307" s="81" t="s">
        <v>1597</v>
      </c>
      <c r="AE307" s="81"/>
      <c r="AF307" s="81"/>
      <c r="AG307" s="81"/>
      <c r="AH307" s="81"/>
      <c r="AI307" s="81" t="s">
        <v>2323</v>
      </c>
      <c r="AJ307" s="85">
        <v>41641.29903935185</v>
      </c>
      <c r="AK307" s="83" t="str">
        <f>HYPERLINK("https://yt3.ggpht.com/ytc/AOPolaTj2fnkCTydwtG5Rd3OJGAW1pKBWX1PvKyypdQJ=s88-c-k-c0x00ffffff-no-rj")</f>
        <v>https://yt3.ggpht.com/ytc/AOPolaTj2fnkCTydwtG5Rd3OJGAW1pKBWX1PvKyypdQJ=s88-c-k-c0x00ffffff-no-rj</v>
      </c>
      <c r="AL307" s="81">
        <v>0</v>
      </c>
      <c r="AM307" s="81">
        <v>0</v>
      </c>
      <c r="AN307" s="81">
        <v>25</v>
      </c>
      <c r="AO307" s="81" t="b">
        <v>0</v>
      </c>
      <c r="AP307" s="81">
        <v>0</v>
      </c>
      <c r="AQ307" s="81"/>
      <c r="AR307" s="81"/>
      <c r="AS307" s="81" t="s">
        <v>2571</v>
      </c>
      <c r="AT307" s="83" t="str">
        <f>HYPERLINK("https://www.youtube.com/channel/UCIXfPkm15RnXl0xsXHUCwUA")</f>
        <v>https://www.youtube.com/channel/UCIXfPkm15RnXl0xsXHUCwUA</v>
      </c>
      <c r="AU307" s="81">
        <v>2</v>
      </c>
      <c r="AV307" s="49">
        <v>1</v>
      </c>
      <c r="AW307" s="50">
        <v>5.2631578947368425</v>
      </c>
      <c r="AX307" s="49">
        <v>1</v>
      </c>
      <c r="AY307" s="50">
        <v>5.2631578947368425</v>
      </c>
      <c r="AZ307" s="49">
        <v>0</v>
      </c>
      <c r="BA307" s="50">
        <v>0</v>
      </c>
      <c r="BB307" s="49">
        <v>6</v>
      </c>
      <c r="BC307" s="50">
        <v>31.57894736842105</v>
      </c>
      <c r="BD307" s="49">
        <v>19</v>
      </c>
      <c r="BE307" s="49"/>
      <c r="BF307" s="49"/>
      <c r="BG307" s="49"/>
      <c r="BH307" s="49"/>
      <c r="BI307" s="49"/>
      <c r="BJ307" s="49"/>
      <c r="BK307" s="115" t="s">
        <v>2843</v>
      </c>
      <c r="BL307" s="115" t="s">
        <v>2843</v>
      </c>
      <c r="BM307" s="115" t="s">
        <v>3300</v>
      </c>
      <c r="BN307" s="115" t="s">
        <v>3300</v>
      </c>
      <c r="BO307" s="2"/>
      <c r="BP307" s="3"/>
      <c r="BQ307" s="3"/>
      <c r="BR307" s="3"/>
      <c r="BS307" s="3"/>
    </row>
    <row r="308" spans="1:71" ht="15">
      <c r="A308" s="66" t="s">
        <v>525</v>
      </c>
      <c r="B308" s="67"/>
      <c r="C308" s="67"/>
      <c r="D308" s="68">
        <v>150</v>
      </c>
      <c r="E308" s="70"/>
      <c r="F308" s="102" t="str">
        <f>HYPERLINK("https://yt3.ggpht.com/ABTUKhwVrv4I7tv3FvPSg22XjujheClCTgeJh5Yagm17Ax61sAmZdjVgTuIlR3K1D2-cm7rHZw=s88-c-k-c0x00ffffff-no-rj")</f>
        <v>https://yt3.ggpht.com/ABTUKhwVrv4I7tv3FvPSg22XjujheClCTgeJh5Yagm17Ax61sAmZdjVgTuIlR3K1D2-cm7rHZw=s88-c-k-c0x00ffffff-no-rj</v>
      </c>
      <c r="G308" s="67"/>
      <c r="H308" s="71" t="s">
        <v>1598</v>
      </c>
      <c r="I308" s="72"/>
      <c r="J308" s="72" t="s">
        <v>159</v>
      </c>
      <c r="K308" s="71" t="s">
        <v>1598</v>
      </c>
      <c r="L308" s="75">
        <v>1</v>
      </c>
      <c r="M308" s="76">
        <v>1475.91064453125</v>
      </c>
      <c r="N308" s="76">
        <v>846.4115600585938</v>
      </c>
      <c r="O308" s="77"/>
      <c r="P308" s="78"/>
      <c r="Q308" s="78"/>
      <c r="R308" s="88"/>
      <c r="S308" s="49">
        <v>0</v>
      </c>
      <c r="T308" s="49">
        <v>1</v>
      </c>
      <c r="U308" s="50">
        <v>0</v>
      </c>
      <c r="V308" s="50">
        <v>0.135911</v>
      </c>
      <c r="W308" s="50">
        <v>0</v>
      </c>
      <c r="X308" s="50">
        <v>0.00158</v>
      </c>
      <c r="Y308" s="50">
        <v>0</v>
      </c>
      <c r="Z308" s="50">
        <v>0</v>
      </c>
      <c r="AA308" s="73">
        <v>308</v>
      </c>
      <c r="AB308" s="73"/>
      <c r="AC308" s="74"/>
      <c r="AD308" s="81" t="s">
        <v>1598</v>
      </c>
      <c r="AE308" s="81"/>
      <c r="AF308" s="81"/>
      <c r="AG308" s="81"/>
      <c r="AH308" s="81"/>
      <c r="AI308" s="81" t="s">
        <v>2324</v>
      </c>
      <c r="AJ308" s="85">
        <v>43551.95582175926</v>
      </c>
      <c r="AK308" s="83" t="str">
        <f>HYPERLINK("https://yt3.ggpht.com/ABTUKhwVrv4I7tv3FvPSg22XjujheClCTgeJh5Yagm17Ax61sAmZdjVgTuIlR3K1D2-cm7rHZw=s88-c-k-c0x00ffffff-no-rj")</f>
        <v>https://yt3.ggpht.com/ABTUKhwVrv4I7tv3FvPSg22XjujheClCTgeJh5Yagm17Ax61sAmZdjVgTuIlR3K1D2-cm7rHZw=s88-c-k-c0x00ffffff-no-rj</v>
      </c>
      <c r="AL308" s="81">
        <v>0</v>
      </c>
      <c r="AM308" s="81">
        <v>0</v>
      </c>
      <c r="AN308" s="81">
        <v>1</v>
      </c>
      <c r="AO308" s="81" t="b">
        <v>0</v>
      </c>
      <c r="AP308" s="81">
        <v>0</v>
      </c>
      <c r="AQ308" s="81"/>
      <c r="AR308" s="81"/>
      <c r="AS308" s="81" t="s">
        <v>2571</v>
      </c>
      <c r="AT308" s="83" t="str">
        <f>HYPERLINK("https://www.youtube.com/channel/UC0x0VgqRbjvhrXwv9Rok8Ug")</f>
        <v>https://www.youtube.com/channel/UC0x0VgqRbjvhrXwv9Rok8Ug</v>
      </c>
      <c r="AU308" s="81">
        <v>2</v>
      </c>
      <c r="AV308" s="49">
        <v>1</v>
      </c>
      <c r="AW308" s="50">
        <v>8.333333333333334</v>
      </c>
      <c r="AX308" s="49">
        <v>0</v>
      </c>
      <c r="AY308" s="50">
        <v>0</v>
      </c>
      <c r="AZ308" s="49">
        <v>0</v>
      </c>
      <c r="BA308" s="50">
        <v>0</v>
      </c>
      <c r="BB308" s="49">
        <v>3</v>
      </c>
      <c r="BC308" s="50">
        <v>25</v>
      </c>
      <c r="BD308" s="49">
        <v>12</v>
      </c>
      <c r="BE308" s="49"/>
      <c r="BF308" s="49"/>
      <c r="BG308" s="49"/>
      <c r="BH308" s="49"/>
      <c r="BI308" s="49"/>
      <c r="BJ308" s="49"/>
      <c r="BK308" s="115" t="s">
        <v>2844</v>
      </c>
      <c r="BL308" s="115" t="s">
        <v>2844</v>
      </c>
      <c r="BM308" s="115" t="s">
        <v>3301</v>
      </c>
      <c r="BN308" s="115" t="s">
        <v>3301</v>
      </c>
      <c r="BO308" s="2"/>
      <c r="BP308" s="3"/>
      <c r="BQ308" s="3"/>
      <c r="BR308" s="3"/>
      <c r="BS308" s="3"/>
    </row>
    <row r="309" spans="1:71" ht="15">
      <c r="A309" s="66" t="s">
        <v>526</v>
      </c>
      <c r="B309" s="67"/>
      <c r="C309" s="67"/>
      <c r="D309" s="68">
        <v>150</v>
      </c>
      <c r="E309" s="70"/>
      <c r="F309" s="102" t="str">
        <f>HYPERLINK("https://yt3.ggpht.com/ytc/AOPolaTT3tT48tVEZL5cITKmMDTi1RtelJgpr0-yzqLLXw=s88-c-k-c0x00ffffff-no-rj")</f>
        <v>https://yt3.ggpht.com/ytc/AOPolaTT3tT48tVEZL5cITKmMDTi1RtelJgpr0-yzqLLXw=s88-c-k-c0x00ffffff-no-rj</v>
      </c>
      <c r="G309" s="67"/>
      <c r="H309" s="71" t="s">
        <v>1599</v>
      </c>
      <c r="I309" s="72"/>
      <c r="J309" s="72" t="s">
        <v>159</v>
      </c>
      <c r="K309" s="71" t="s">
        <v>1599</v>
      </c>
      <c r="L309" s="75">
        <v>1</v>
      </c>
      <c r="M309" s="76">
        <v>3381.447998046875</v>
      </c>
      <c r="N309" s="76">
        <v>3509.989501953125</v>
      </c>
      <c r="O309" s="77"/>
      <c r="P309" s="78"/>
      <c r="Q309" s="78"/>
      <c r="R309" s="88"/>
      <c r="S309" s="49">
        <v>0</v>
      </c>
      <c r="T309" s="49">
        <v>1</v>
      </c>
      <c r="U309" s="50">
        <v>0</v>
      </c>
      <c r="V309" s="50">
        <v>0.135911</v>
      </c>
      <c r="W309" s="50">
        <v>0</v>
      </c>
      <c r="X309" s="50">
        <v>0.00158</v>
      </c>
      <c r="Y309" s="50">
        <v>0</v>
      </c>
      <c r="Z309" s="50">
        <v>0</v>
      </c>
      <c r="AA309" s="73">
        <v>309</v>
      </c>
      <c r="AB309" s="73"/>
      <c r="AC309" s="74"/>
      <c r="AD309" s="81" t="s">
        <v>1599</v>
      </c>
      <c r="AE309" s="81" t="s">
        <v>1976</v>
      </c>
      <c r="AF309" s="81"/>
      <c r="AG309" s="81"/>
      <c r="AH309" s="81"/>
      <c r="AI309" s="81" t="s">
        <v>2325</v>
      </c>
      <c r="AJ309" s="85">
        <v>41183.334085648145</v>
      </c>
      <c r="AK309" s="83" t="str">
        <f>HYPERLINK("https://yt3.ggpht.com/ytc/AOPolaTT3tT48tVEZL5cITKmMDTi1RtelJgpr0-yzqLLXw=s88-c-k-c0x00ffffff-no-rj")</f>
        <v>https://yt3.ggpht.com/ytc/AOPolaTT3tT48tVEZL5cITKmMDTi1RtelJgpr0-yzqLLXw=s88-c-k-c0x00ffffff-no-rj</v>
      </c>
      <c r="AL309" s="81">
        <v>333419</v>
      </c>
      <c r="AM309" s="81">
        <v>0</v>
      </c>
      <c r="AN309" s="81">
        <v>36700</v>
      </c>
      <c r="AO309" s="81" t="b">
        <v>0</v>
      </c>
      <c r="AP309" s="81">
        <v>97</v>
      </c>
      <c r="AQ309" s="81"/>
      <c r="AR309" s="81"/>
      <c r="AS309" s="81" t="s">
        <v>2571</v>
      </c>
      <c r="AT309" s="83" t="str">
        <f>HYPERLINK("https://www.youtube.com/channel/UC3An_2PVJi6_m53_Vy9CXQg")</f>
        <v>https://www.youtube.com/channel/UC3An_2PVJi6_m53_Vy9CXQg</v>
      </c>
      <c r="AU309" s="81">
        <v>2</v>
      </c>
      <c r="AV309" s="49">
        <v>4</v>
      </c>
      <c r="AW309" s="50">
        <v>11.764705882352942</v>
      </c>
      <c r="AX309" s="49">
        <v>0</v>
      </c>
      <c r="AY309" s="50">
        <v>0</v>
      </c>
      <c r="AZ309" s="49">
        <v>0</v>
      </c>
      <c r="BA309" s="50">
        <v>0</v>
      </c>
      <c r="BB309" s="49">
        <v>8</v>
      </c>
      <c r="BC309" s="50">
        <v>23.529411764705884</v>
      </c>
      <c r="BD309" s="49">
        <v>34</v>
      </c>
      <c r="BE309" s="49"/>
      <c r="BF309" s="49"/>
      <c r="BG309" s="49"/>
      <c r="BH309" s="49"/>
      <c r="BI309" s="49"/>
      <c r="BJ309" s="49"/>
      <c r="BK309" s="115" t="s">
        <v>2845</v>
      </c>
      <c r="BL309" s="115" t="s">
        <v>2845</v>
      </c>
      <c r="BM309" s="115" t="s">
        <v>3302</v>
      </c>
      <c r="BN309" s="115" t="s">
        <v>3302</v>
      </c>
      <c r="BO309" s="2"/>
      <c r="BP309" s="3"/>
      <c r="BQ309" s="3"/>
      <c r="BR309" s="3"/>
      <c r="BS309" s="3"/>
    </row>
    <row r="310" spans="1:71" ht="15">
      <c r="A310" s="66" t="s">
        <v>527</v>
      </c>
      <c r="B310" s="67"/>
      <c r="C310" s="67"/>
      <c r="D310" s="68">
        <v>150</v>
      </c>
      <c r="E310" s="70"/>
      <c r="F310" s="102" t="str">
        <f>HYPERLINK("https://yt3.ggpht.com/ytc/AOPolaQCuNb7xLp1aUwm9SXAKzDLi6zXm_vxJ1ogtLnn=s88-c-k-c0x00ffffff-no-rj")</f>
        <v>https://yt3.ggpht.com/ytc/AOPolaQCuNb7xLp1aUwm9SXAKzDLi6zXm_vxJ1ogtLnn=s88-c-k-c0x00ffffff-no-rj</v>
      </c>
      <c r="G310" s="67"/>
      <c r="H310" s="71" t="s">
        <v>1600</v>
      </c>
      <c r="I310" s="72"/>
      <c r="J310" s="72" t="s">
        <v>159</v>
      </c>
      <c r="K310" s="71" t="s">
        <v>1600</v>
      </c>
      <c r="L310" s="75">
        <v>1</v>
      </c>
      <c r="M310" s="76">
        <v>129.688720703125</v>
      </c>
      <c r="N310" s="76">
        <v>2284.019287109375</v>
      </c>
      <c r="O310" s="77"/>
      <c r="P310" s="78"/>
      <c r="Q310" s="78"/>
      <c r="R310" s="88"/>
      <c r="S310" s="49">
        <v>0</v>
      </c>
      <c r="T310" s="49">
        <v>1</v>
      </c>
      <c r="U310" s="50">
        <v>0</v>
      </c>
      <c r="V310" s="50">
        <v>0.135911</v>
      </c>
      <c r="W310" s="50">
        <v>0</v>
      </c>
      <c r="X310" s="50">
        <v>0.00158</v>
      </c>
      <c r="Y310" s="50">
        <v>0</v>
      </c>
      <c r="Z310" s="50">
        <v>0</v>
      </c>
      <c r="AA310" s="73">
        <v>310</v>
      </c>
      <c r="AB310" s="73"/>
      <c r="AC310" s="74"/>
      <c r="AD310" s="81" t="s">
        <v>1600</v>
      </c>
      <c r="AE310" s="83" t="str">
        <f>HYPERLINK("https://www.digistore24.com/redir/312455/Mwaura/")</f>
        <v>https://www.digistore24.com/redir/312455/Mwaura/</v>
      </c>
      <c r="AF310" s="81"/>
      <c r="AG310" s="81"/>
      <c r="AH310" s="81"/>
      <c r="AI310" s="81" t="s">
        <v>2326</v>
      </c>
      <c r="AJ310" s="85">
        <v>40835.52670138889</v>
      </c>
      <c r="AK310" s="83" t="str">
        <f>HYPERLINK("https://yt3.ggpht.com/ytc/AOPolaQCuNb7xLp1aUwm9SXAKzDLi6zXm_vxJ1ogtLnn=s88-c-k-c0x00ffffff-no-rj")</f>
        <v>https://yt3.ggpht.com/ytc/AOPolaQCuNb7xLp1aUwm9SXAKzDLi6zXm_vxJ1ogtLnn=s88-c-k-c0x00ffffff-no-rj</v>
      </c>
      <c r="AL310" s="81">
        <v>748</v>
      </c>
      <c r="AM310" s="81">
        <v>0</v>
      </c>
      <c r="AN310" s="81">
        <v>69</v>
      </c>
      <c r="AO310" s="81" t="b">
        <v>0</v>
      </c>
      <c r="AP310" s="81">
        <v>9</v>
      </c>
      <c r="AQ310" s="81"/>
      <c r="AR310" s="81"/>
      <c r="AS310" s="81" t="s">
        <v>2571</v>
      </c>
      <c r="AT310" s="83" t="str">
        <f>HYPERLINK("https://www.youtube.com/channel/UC1RjMuYdlHLhY5W1g-VxiIw")</f>
        <v>https://www.youtube.com/channel/UC1RjMuYdlHLhY5W1g-VxiIw</v>
      </c>
      <c r="AU310" s="81">
        <v>2</v>
      </c>
      <c r="AV310" s="49">
        <v>1</v>
      </c>
      <c r="AW310" s="50">
        <v>7.142857142857143</v>
      </c>
      <c r="AX310" s="49">
        <v>0</v>
      </c>
      <c r="AY310" s="50">
        <v>0</v>
      </c>
      <c r="AZ310" s="49">
        <v>0</v>
      </c>
      <c r="BA310" s="50">
        <v>0</v>
      </c>
      <c r="BB310" s="49">
        <v>6</v>
      </c>
      <c r="BC310" s="50">
        <v>42.857142857142854</v>
      </c>
      <c r="BD310" s="49">
        <v>14</v>
      </c>
      <c r="BE310" s="49"/>
      <c r="BF310" s="49"/>
      <c r="BG310" s="49"/>
      <c r="BH310" s="49"/>
      <c r="BI310" s="49"/>
      <c r="BJ310" s="49"/>
      <c r="BK310" s="115" t="s">
        <v>2846</v>
      </c>
      <c r="BL310" s="115" t="s">
        <v>2846</v>
      </c>
      <c r="BM310" s="115" t="s">
        <v>3303</v>
      </c>
      <c r="BN310" s="115" t="s">
        <v>3303</v>
      </c>
      <c r="BO310" s="2"/>
      <c r="BP310" s="3"/>
      <c r="BQ310" s="3"/>
      <c r="BR310" s="3"/>
      <c r="BS310" s="3"/>
    </row>
    <row r="311" spans="1:71" ht="15">
      <c r="A311" s="66" t="s">
        <v>528</v>
      </c>
      <c r="B311" s="67"/>
      <c r="C311" s="67"/>
      <c r="D311" s="68">
        <v>150</v>
      </c>
      <c r="E311" s="70"/>
      <c r="F311" s="102" t="str">
        <f>HYPERLINK("https://yt3.ggpht.com/Zg3dtDr1GEhA4nOtZBR0mAIJ7jL2y8PAU2jc2MLigKOqxaqFcVSAhrlTlCC55P1hlJVuki13Xw=s88-c-k-c0x00ffffff-no-rj")</f>
        <v>https://yt3.ggpht.com/Zg3dtDr1GEhA4nOtZBR0mAIJ7jL2y8PAU2jc2MLigKOqxaqFcVSAhrlTlCC55P1hlJVuki13Xw=s88-c-k-c0x00ffffff-no-rj</v>
      </c>
      <c r="G311" s="67"/>
      <c r="H311" s="71" t="s">
        <v>1601</v>
      </c>
      <c r="I311" s="72"/>
      <c r="J311" s="72" t="s">
        <v>159</v>
      </c>
      <c r="K311" s="71" t="s">
        <v>1601</v>
      </c>
      <c r="L311" s="75">
        <v>1</v>
      </c>
      <c r="M311" s="76">
        <v>3216.035888671875</v>
      </c>
      <c r="N311" s="76">
        <v>2641.42236328125</v>
      </c>
      <c r="O311" s="77"/>
      <c r="P311" s="78"/>
      <c r="Q311" s="78"/>
      <c r="R311" s="88"/>
      <c r="S311" s="49">
        <v>0</v>
      </c>
      <c r="T311" s="49">
        <v>1</v>
      </c>
      <c r="U311" s="50">
        <v>0</v>
      </c>
      <c r="V311" s="50">
        <v>0.135911</v>
      </c>
      <c r="W311" s="50">
        <v>0</v>
      </c>
      <c r="X311" s="50">
        <v>0.00158</v>
      </c>
      <c r="Y311" s="50">
        <v>0</v>
      </c>
      <c r="Z311" s="50">
        <v>0</v>
      </c>
      <c r="AA311" s="73">
        <v>311</v>
      </c>
      <c r="AB311" s="73"/>
      <c r="AC311" s="74"/>
      <c r="AD311" s="81" t="s">
        <v>1601</v>
      </c>
      <c r="AE311" s="81"/>
      <c r="AF311" s="81"/>
      <c r="AG311" s="81"/>
      <c r="AH311" s="81"/>
      <c r="AI311" s="81" t="s">
        <v>2327</v>
      </c>
      <c r="AJ311" s="85">
        <v>44683.07570601852</v>
      </c>
      <c r="AK311" s="83" t="str">
        <f>HYPERLINK("https://yt3.ggpht.com/Zg3dtDr1GEhA4nOtZBR0mAIJ7jL2y8PAU2jc2MLigKOqxaqFcVSAhrlTlCC55P1hlJVuki13Xw=s88-c-k-c0x00ffffff-no-rj")</f>
        <v>https://yt3.ggpht.com/Zg3dtDr1GEhA4nOtZBR0mAIJ7jL2y8PAU2jc2MLigKOqxaqFcVSAhrlTlCC55P1hlJVuki13Xw=s88-c-k-c0x00ffffff-no-rj</v>
      </c>
      <c r="AL311" s="81">
        <v>0</v>
      </c>
      <c r="AM311" s="81">
        <v>0</v>
      </c>
      <c r="AN311" s="81">
        <v>2</v>
      </c>
      <c r="AO311" s="81" t="b">
        <v>0</v>
      </c>
      <c r="AP311" s="81">
        <v>0</v>
      </c>
      <c r="AQ311" s="81"/>
      <c r="AR311" s="81"/>
      <c r="AS311" s="81" t="s">
        <v>2571</v>
      </c>
      <c r="AT311" s="83" t="str">
        <f>HYPERLINK("https://www.youtube.com/channel/UChBdqGo4sPZ6AFTlwKNcZtQ")</f>
        <v>https://www.youtube.com/channel/UChBdqGo4sPZ6AFTlwKNcZtQ</v>
      </c>
      <c r="AU311" s="81">
        <v>2</v>
      </c>
      <c r="AV311" s="49">
        <v>2</v>
      </c>
      <c r="AW311" s="50">
        <v>4.081632653061225</v>
      </c>
      <c r="AX311" s="49">
        <v>1</v>
      </c>
      <c r="AY311" s="50">
        <v>2.0408163265306123</v>
      </c>
      <c r="AZ311" s="49">
        <v>0</v>
      </c>
      <c r="BA311" s="50">
        <v>0</v>
      </c>
      <c r="BB311" s="49">
        <v>13</v>
      </c>
      <c r="BC311" s="50">
        <v>26.53061224489796</v>
      </c>
      <c r="BD311" s="49">
        <v>49</v>
      </c>
      <c r="BE311" s="49"/>
      <c r="BF311" s="49"/>
      <c r="BG311" s="49"/>
      <c r="BH311" s="49"/>
      <c r="BI311" s="49"/>
      <c r="BJ311" s="49"/>
      <c r="BK311" s="115" t="s">
        <v>2847</v>
      </c>
      <c r="BL311" s="115" t="s">
        <v>2847</v>
      </c>
      <c r="BM311" s="115" t="s">
        <v>3304</v>
      </c>
      <c r="BN311" s="115" t="s">
        <v>3304</v>
      </c>
      <c r="BO311" s="2"/>
      <c r="BP311" s="3"/>
      <c r="BQ311" s="3"/>
      <c r="BR311" s="3"/>
      <c r="BS311" s="3"/>
    </row>
    <row r="312" spans="1:71" ht="15">
      <c r="A312" s="66" t="s">
        <v>529</v>
      </c>
      <c r="B312" s="67"/>
      <c r="C312" s="67"/>
      <c r="D312" s="68">
        <v>150</v>
      </c>
      <c r="E312" s="70"/>
      <c r="F312" s="102" t="str">
        <f>HYPERLINK("https://yt3.ggpht.com/ytc/AOPolaS7Tpqv99IX1ba7yZfIasOVSpcIhlzxdhVYiA=s88-c-k-c0x00ffffff-no-rj")</f>
        <v>https://yt3.ggpht.com/ytc/AOPolaS7Tpqv99IX1ba7yZfIasOVSpcIhlzxdhVYiA=s88-c-k-c0x00ffffff-no-rj</v>
      </c>
      <c r="G312" s="67"/>
      <c r="H312" s="71" t="s">
        <v>1602</v>
      </c>
      <c r="I312" s="72"/>
      <c r="J312" s="72" t="s">
        <v>159</v>
      </c>
      <c r="K312" s="71" t="s">
        <v>1602</v>
      </c>
      <c r="L312" s="75">
        <v>1</v>
      </c>
      <c r="M312" s="76">
        <v>370.5074462890625</v>
      </c>
      <c r="N312" s="76">
        <v>1990.29248046875</v>
      </c>
      <c r="O312" s="77"/>
      <c r="P312" s="78"/>
      <c r="Q312" s="78"/>
      <c r="R312" s="88"/>
      <c r="S312" s="49">
        <v>0</v>
      </c>
      <c r="T312" s="49">
        <v>1</v>
      </c>
      <c r="U312" s="50">
        <v>0</v>
      </c>
      <c r="V312" s="50">
        <v>0.135911</v>
      </c>
      <c r="W312" s="50">
        <v>0</v>
      </c>
      <c r="X312" s="50">
        <v>0.00158</v>
      </c>
      <c r="Y312" s="50">
        <v>0</v>
      </c>
      <c r="Z312" s="50">
        <v>0</v>
      </c>
      <c r="AA312" s="73">
        <v>312</v>
      </c>
      <c r="AB312" s="73"/>
      <c r="AC312" s="74"/>
      <c r="AD312" s="81" t="s">
        <v>1602</v>
      </c>
      <c r="AE312" s="81"/>
      <c r="AF312" s="81"/>
      <c r="AG312" s="81"/>
      <c r="AH312" s="81"/>
      <c r="AI312" s="81" t="s">
        <v>2328</v>
      </c>
      <c r="AJ312" s="85">
        <v>42455.22451388889</v>
      </c>
      <c r="AK312" s="83" t="str">
        <f>HYPERLINK("https://yt3.ggpht.com/ytc/AOPolaS7Tpqv99IX1ba7yZfIasOVSpcIhlzxdhVYiA=s88-c-k-c0x00ffffff-no-rj")</f>
        <v>https://yt3.ggpht.com/ytc/AOPolaS7Tpqv99IX1ba7yZfIasOVSpcIhlzxdhVYiA=s88-c-k-c0x00ffffff-no-rj</v>
      </c>
      <c r="AL312" s="81">
        <v>15679</v>
      </c>
      <c r="AM312" s="81">
        <v>0</v>
      </c>
      <c r="AN312" s="81">
        <v>31</v>
      </c>
      <c r="AO312" s="81" t="b">
        <v>0</v>
      </c>
      <c r="AP312" s="81">
        <v>5</v>
      </c>
      <c r="AQ312" s="81"/>
      <c r="AR312" s="81"/>
      <c r="AS312" s="81" t="s">
        <v>2571</v>
      </c>
      <c r="AT312" s="83" t="str">
        <f>HYPERLINK("https://www.youtube.com/channel/UCDdn22Yp255BtuMhXUI4Z8g")</f>
        <v>https://www.youtube.com/channel/UCDdn22Yp255BtuMhXUI4Z8g</v>
      </c>
      <c r="AU312" s="81">
        <v>2</v>
      </c>
      <c r="AV312" s="49">
        <v>0</v>
      </c>
      <c r="AW312" s="50">
        <v>0</v>
      </c>
      <c r="AX312" s="49">
        <v>1</v>
      </c>
      <c r="AY312" s="50">
        <v>20</v>
      </c>
      <c r="AZ312" s="49">
        <v>0</v>
      </c>
      <c r="BA312" s="50">
        <v>0</v>
      </c>
      <c r="BB312" s="49">
        <v>3</v>
      </c>
      <c r="BC312" s="50">
        <v>60</v>
      </c>
      <c r="BD312" s="49">
        <v>5</v>
      </c>
      <c r="BE312" s="49"/>
      <c r="BF312" s="49"/>
      <c r="BG312" s="49"/>
      <c r="BH312" s="49"/>
      <c r="BI312" s="49"/>
      <c r="BJ312" s="49"/>
      <c r="BK312" s="115" t="s">
        <v>2848</v>
      </c>
      <c r="BL312" s="115" t="s">
        <v>2848</v>
      </c>
      <c r="BM312" s="115" t="s">
        <v>3305</v>
      </c>
      <c r="BN312" s="115" t="s">
        <v>3305</v>
      </c>
      <c r="BO312" s="2"/>
      <c r="BP312" s="3"/>
      <c r="BQ312" s="3"/>
      <c r="BR312" s="3"/>
      <c r="BS312" s="3"/>
    </row>
    <row r="313" spans="1:71" ht="15">
      <c r="A313" s="66" t="s">
        <v>530</v>
      </c>
      <c r="B313" s="67"/>
      <c r="C313" s="67"/>
      <c r="D313" s="68">
        <v>150</v>
      </c>
      <c r="E313" s="70"/>
      <c r="F313" s="102" t="str">
        <f>HYPERLINK("https://yt3.ggpht.com/ytc/AOPolaRMGms1EklN9iDxNvSjTUxCn9tjQFvl2-GndA=s88-c-k-c0x00ffffff-no-rj")</f>
        <v>https://yt3.ggpht.com/ytc/AOPolaRMGms1EklN9iDxNvSjTUxCn9tjQFvl2-GndA=s88-c-k-c0x00ffffff-no-rj</v>
      </c>
      <c r="G313" s="67"/>
      <c r="H313" s="71" t="s">
        <v>1603</v>
      </c>
      <c r="I313" s="72"/>
      <c r="J313" s="72" t="s">
        <v>159</v>
      </c>
      <c r="K313" s="71" t="s">
        <v>1603</v>
      </c>
      <c r="L313" s="75">
        <v>1</v>
      </c>
      <c r="M313" s="76">
        <v>3063.65576171875</v>
      </c>
      <c r="N313" s="76">
        <v>1129.395263671875</v>
      </c>
      <c r="O313" s="77"/>
      <c r="P313" s="78"/>
      <c r="Q313" s="78"/>
      <c r="R313" s="88"/>
      <c r="S313" s="49">
        <v>0</v>
      </c>
      <c r="T313" s="49">
        <v>1</v>
      </c>
      <c r="U313" s="50">
        <v>0</v>
      </c>
      <c r="V313" s="50">
        <v>0.135911</v>
      </c>
      <c r="W313" s="50">
        <v>0</v>
      </c>
      <c r="X313" s="50">
        <v>0.00158</v>
      </c>
      <c r="Y313" s="50">
        <v>0</v>
      </c>
      <c r="Z313" s="50">
        <v>0</v>
      </c>
      <c r="AA313" s="73">
        <v>313</v>
      </c>
      <c r="AB313" s="73"/>
      <c r="AC313" s="74"/>
      <c r="AD313" s="81" t="s">
        <v>1603</v>
      </c>
      <c r="AE313" s="81"/>
      <c r="AF313" s="81"/>
      <c r="AG313" s="81"/>
      <c r="AH313" s="81"/>
      <c r="AI313" s="81" t="s">
        <v>2329</v>
      </c>
      <c r="AJ313" s="85">
        <v>42613.83511574074</v>
      </c>
      <c r="AK313" s="83" t="str">
        <f>HYPERLINK("https://yt3.ggpht.com/ytc/AOPolaRMGms1EklN9iDxNvSjTUxCn9tjQFvl2-GndA=s88-c-k-c0x00ffffff-no-rj")</f>
        <v>https://yt3.ggpht.com/ytc/AOPolaRMGms1EklN9iDxNvSjTUxCn9tjQFvl2-GndA=s88-c-k-c0x00ffffff-no-rj</v>
      </c>
      <c r="AL313" s="81">
        <v>134</v>
      </c>
      <c r="AM313" s="81">
        <v>0</v>
      </c>
      <c r="AN313" s="81">
        <v>1</v>
      </c>
      <c r="AO313" s="81" t="b">
        <v>0</v>
      </c>
      <c r="AP313" s="81">
        <v>25</v>
      </c>
      <c r="AQ313" s="81"/>
      <c r="AR313" s="81"/>
      <c r="AS313" s="81" t="s">
        <v>2571</v>
      </c>
      <c r="AT313" s="83" t="str">
        <f>HYPERLINK("https://www.youtube.com/channel/UCn5WjdukLtDvVWFuGt60utA")</f>
        <v>https://www.youtube.com/channel/UCn5WjdukLtDvVWFuGt60utA</v>
      </c>
      <c r="AU313" s="81">
        <v>2</v>
      </c>
      <c r="AV313" s="49">
        <v>0</v>
      </c>
      <c r="AW313" s="50">
        <v>0</v>
      </c>
      <c r="AX313" s="49">
        <v>1</v>
      </c>
      <c r="AY313" s="50">
        <v>3.8461538461538463</v>
      </c>
      <c r="AZ313" s="49">
        <v>0</v>
      </c>
      <c r="BA313" s="50">
        <v>0</v>
      </c>
      <c r="BB313" s="49">
        <v>7</v>
      </c>
      <c r="BC313" s="50">
        <v>26.923076923076923</v>
      </c>
      <c r="BD313" s="49">
        <v>26</v>
      </c>
      <c r="BE313" s="49"/>
      <c r="BF313" s="49"/>
      <c r="BG313" s="49"/>
      <c r="BH313" s="49"/>
      <c r="BI313" s="49"/>
      <c r="BJ313" s="49"/>
      <c r="BK313" s="115" t="s">
        <v>2849</v>
      </c>
      <c r="BL313" s="115" t="s">
        <v>2849</v>
      </c>
      <c r="BM313" s="115" t="s">
        <v>3306</v>
      </c>
      <c r="BN313" s="115" t="s">
        <v>3306</v>
      </c>
      <c r="BO313" s="2"/>
      <c r="BP313" s="3"/>
      <c r="BQ313" s="3"/>
      <c r="BR313" s="3"/>
      <c r="BS313" s="3"/>
    </row>
    <row r="314" spans="1:71" ht="15">
      <c r="A314" s="66" t="s">
        <v>531</v>
      </c>
      <c r="B314" s="67"/>
      <c r="C314" s="67"/>
      <c r="D314" s="68">
        <v>150</v>
      </c>
      <c r="E314" s="70"/>
      <c r="F314" s="102" t="str">
        <f>HYPERLINK("https://yt3.ggpht.com/ytc/AOPolaTsuTiTHQAdCO7fTcTrTrf4XIHrt8yFCy3WuwfNWg=s88-c-k-c0x00ffffff-no-rj")</f>
        <v>https://yt3.ggpht.com/ytc/AOPolaTsuTiTHQAdCO7fTcTrTrf4XIHrt8yFCy3WuwfNWg=s88-c-k-c0x00ffffff-no-rj</v>
      </c>
      <c r="G314" s="67"/>
      <c r="H314" s="71" t="s">
        <v>1604</v>
      </c>
      <c r="I314" s="72"/>
      <c r="J314" s="72" t="s">
        <v>159</v>
      </c>
      <c r="K314" s="71" t="s">
        <v>1604</v>
      </c>
      <c r="L314" s="75">
        <v>1</v>
      </c>
      <c r="M314" s="76">
        <v>1794.48388671875</v>
      </c>
      <c r="N314" s="76">
        <v>3914.203857421875</v>
      </c>
      <c r="O314" s="77"/>
      <c r="P314" s="78"/>
      <c r="Q314" s="78"/>
      <c r="R314" s="88"/>
      <c r="S314" s="49">
        <v>0</v>
      </c>
      <c r="T314" s="49">
        <v>1</v>
      </c>
      <c r="U314" s="50">
        <v>0</v>
      </c>
      <c r="V314" s="50">
        <v>0.135911</v>
      </c>
      <c r="W314" s="50">
        <v>0</v>
      </c>
      <c r="X314" s="50">
        <v>0.00158</v>
      </c>
      <c r="Y314" s="50">
        <v>0</v>
      </c>
      <c r="Z314" s="50">
        <v>0</v>
      </c>
      <c r="AA314" s="73">
        <v>314</v>
      </c>
      <c r="AB314" s="73"/>
      <c r="AC314" s="74"/>
      <c r="AD314" s="81" t="s">
        <v>1604</v>
      </c>
      <c r="AE314" s="81"/>
      <c r="AF314" s="81"/>
      <c r="AG314" s="81"/>
      <c r="AH314" s="81"/>
      <c r="AI314" s="81" t="s">
        <v>2330</v>
      </c>
      <c r="AJ314" s="85">
        <v>42243.30506944445</v>
      </c>
      <c r="AK314" s="83" t="str">
        <f>HYPERLINK("https://yt3.ggpht.com/ytc/AOPolaTsuTiTHQAdCO7fTcTrTrf4XIHrt8yFCy3WuwfNWg=s88-c-k-c0x00ffffff-no-rj")</f>
        <v>https://yt3.ggpht.com/ytc/AOPolaTsuTiTHQAdCO7fTcTrTrf4XIHrt8yFCy3WuwfNWg=s88-c-k-c0x00ffffff-no-rj</v>
      </c>
      <c r="AL314" s="81">
        <v>0</v>
      </c>
      <c r="AM314" s="81">
        <v>0</v>
      </c>
      <c r="AN314" s="81">
        <v>52</v>
      </c>
      <c r="AO314" s="81" t="b">
        <v>0</v>
      </c>
      <c r="AP314" s="81">
        <v>0</v>
      </c>
      <c r="AQ314" s="81"/>
      <c r="AR314" s="81"/>
      <c r="AS314" s="81" t="s">
        <v>2571</v>
      </c>
      <c r="AT314" s="83" t="str">
        <f>HYPERLINK("https://www.youtube.com/channel/UCeny1kXHNej3GZK8_7Kph6g")</f>
        <v>https://www.youtube.com/channel/UCeny1kXHNej3GZK8_7Kph6g</v>
      </c>
      <c r="AU314" s="81">
        <v>2</v>
      </c>
      <c r="AV314" s="49">
        <v>1</v>
      </c>
      <c r="AW314" s="50">
        <v>2.272727272727273</v>
      </c>
      <c r="AX314" s="49">
        <v>5</v>
      </c>
      <c r="AY314" s="50">
        <v>11.363636363636363</v>
      </c>
      <c r="AZ314" s="49">
        <v>0</v>
      </c>
      <c r="BA314" s="50">
        <v>0</v>
      </c>
      <c r="BB314" s="49">
        <v>17</v>
      </c>
      <c r="BC314" s="50">
        <v>38.63636363636363</v>
      </c>
      <c r="BD314" s="49">
        <v>44</v>
      </c>
      <c r="BE314" s="49"/>
      <c r="BF314" s="49"/>
      <c r="BG314" s="49"/>
      <c r="BH314" s="49"/>
      <c r="BI314" s="49"/>
      <c r="BJ314" s="49"/>
      <c r="BK314" s="115" t="s">
        <v>2850</v>
      </c>
      <c r="BL314" s="115" t="s">
        <v>2850</v>
      </c>
      <c r="BM314" s="115" t="s">
        <v>3307</v>
      </c>
      <c r="BN314" s="115" t="s">
        <v>3307</v>
      </c>
      <c r="BO314" s="2"/>
      <c r="BP314" s="3"/>
      <c r="BQ314" s="3"/>
      <c r="BR314" s="3"/>
      <c r="BS314" s="3"/>
    </row>
    <row r="315" spans="1:71" ht="15">
      <c r="A315" s="66" t="s">
        <v>532</v>
      </c>
      <c r="B315" s="67"/>
      <c r="C315" s="67"/>
      <c r="D315" s="68">
        <v>150</v>
      </c>
      <c r="E315" s="70"/>
      <c r="F315" s="102" t="str">
        <f>HYPERLINK("https://yt3.ggpht.com/LkWjNgCM5ugjScvUqqWvAxBxlkdERSTovGt37kTpbgcEBNmaNO0QPvD8bqN0QkQO8MSvLFvidQ0=s88-c-k-c0x00ffffff-no-rj")</f>
        <v>https://yt3.ggpht.com/LkWjNgCM5ugjScvUqqWvAxBxlkdERSTovGt37kTpbgcEBNmaNO0QPvD8bqN0QkQO8MSvLFvidQ0=s88-c-k-c0x00ffffff-no-rj</v>
      </c>
      <c r="G315" s="67"/>
      <c r="H315" s="71" t="s">
        <v>1605</v>
      </c>
      <c r="I315" s="72"/>
      <c r="J315" s="72" t="s">
        <v>159</v>
      </c>
      <c r="K315" s="71" t="s">
        <v>1605</v>
      </c>
      <c r="L315" s="75">
        <v>1</v>
      </c>
      <c r="M315" s="76">
        <v>2125.796875</v>
      </c>
      <c r="N315" s="76">
        <v>3801.139404296875</v>
      </c>
      <c r="O315" s="77"/>
      <c r="P315" s="78"/>
      <c r="Q315" s="78"/>
      <c r="R315" s="88"/>
      <c r="S315" s="49">
        <v>0</v>
      </c>
      <c r="T315" s="49">
        <v>1</v>
      </c>
      <c r="U315" s="50">
        <v>0</v>
      </c>
      <c r="V315" s="50">
        <v>0.135911</v>
      </c>
      <c r="W315" s="50">
        <v>0</v>
      </c>
      <c r="X315" s="50">
        <v>0.00158</v>
      </c>
      <c r="Y315" s="50">
        <v>0</v>
      </c>
      <c r="Z315" s="50">
        <v>0</v>
      </c>
      <c r="AA315" s="73">
        <v>315</v>
      </c>
      <c r="AB315" s="73"/>
      <c r="AC315" s="74"/>
      <c r="AD315" s="81" t="s">
        <v>1605</v>
      </c>
      <c r="AE315" s="81" t="s">
        <v>1977</v>
      </c>
      <c r="AF315" s="81"/>
      <c r="AG315" s="81"/>
      <c r="AH315" s="81"/>
      <c r="AI315" s="81" t="s">
        <v>2331</v>
      </c>
      <c r="AJ315" s="85">
        <v>42015.334016203706</v>
      </c>
      <c r="AK315" s="83" t="str">
        <f>HYPERLINK("https://yt3.ggpht.com/LkWjNgCM5ugjScvUqqWvAxBxlkdERSTovGt37kTpbgcEBNmaNO0QPvD8bqN0QkQO8MSvLFvidQ0=s88-c-k-c0x00ffffff-no-rj")</f>
        <v>https://yt3.ggpht.com/LkWjNgCM5ugjScvUqqWvAxBxlkdERSTovGt37kTpbgcEBNmaNO0QPvD8bqN0QkQO8MSvLFvidQ0=s88-c-k-c0x00ffffff-no-rj</v>
      </c>
      <c r="AL315" s="81">
        <v>0</v>
      </c>
      <c r="AM315" s="81">
        <v>0</v>
      </c>
      <c r="AN315" s="81">
        <v>29</v>
      </c>
      <c r="AO315" s="81" t="b">
        <v>0</v>
      </c>
      <c r="AP315" s="81">
        <v>0</v>
      </c>
      <c r="AQ315" s="81"/>
      <c r="AR315" s="81"/>
      <c r="AS315" s="81" t="s">
        <v>2571</v>
      </c>
      <c r="AT315" s="83" t="str">
        <f>HYPERLINK("https://www.youtube.com/channel/UCY_f8CubB1vYpCO0uinoshg")</f>
        <v>https://www.youtube.com/channel/UCY_f8CubB1vYpCO0uinoshg</v>
      </c>
      <c r="AU315" s="81">
        <v>2</v>
      </c>
      <c r="AV315" s="49">
        <v>1</v>
      </c>
      <c r="AW315" s="50">
        <v>12.5</v>
      </c>
      <c r="AX315" s="49">
        <v>0</v>
      </c>
      <c r="AY315" s="50">
        <v>0</v>
      </c>
      <c r="AZ315" s="49">
        <v>0</v>
      </c>
      <c r="BA315" s="50">
        <v>0</v>
      </c>
      <c r="BB315" s="49">
        <v>1</v>
      </c>
      <c r="BC315" s="50">
        <v>12.5</v>
      </c>
      <c r="BD315" s="49">
        <v>8</v>
      </c>
      <c r="BE315" s="49"/>
      <c r="BF315" s="49"/>
      <c r="BG315" s="49"/>
      <c r="BH315" s="49"/>
      <c r="BI315" s="49"/>
      <c r="BJ315" s="49"/>
      <c r="BK315" s="115" t="s">
        <v>2851</v>
      </c>
      <c r="BL315" s="115" t="s">
        <v>2851</v>
      </c>
      <c r="BM315" s="115" t="s">
        <v>3308</v>
      </c>
      <c r="BN315" s="115" t="s">
        <v>3308</v>
      </c>
      <c r="BO315" s="2"/>
      <c r="BP315" s="3"/>
      <c r="BQ315" s="3"/>
      <c r="BR315" s="3"/>
      <c r="BS315" s="3"/>
    </row>
    <row r="316" spans="1:71" ht="15">
      <c r="A316" s="66" t="s">
        <v>533</v>
      </c>
      <c r="B316" s="67"/>
      <c r="C316" s="67"/>
      <c r="D316" s="68">
        <v>150</v>
      </c>
      <c r="E316" s="70"/>
      <c r="F316" s="102" t="str">
        <f>HYPERLINK("https://yt3.ggpht.com/ytc/AOPolaTtYER4bvzQeao5rcMJWCqcWeXiCyisR-xhJnMI=s88-c-k-c0x00ffffff-no-rj")</f>
        <v>https://yt3.ggpht.com/ytc/AOPolaTtYER4bvzQeao5rcMJWCqcWeXiCyisR-xhJnMI=s88-c-k-c0x00ffffff-no-rj</v>
      </c>
      <c r="G316" s="67"/>
      <c r="H316" s="71" t="s">
        <v>1606</v>
      </c>
      <c r="I316" s="72"/>
      <c r="J316" s="72" t="s">
        <v>159</v>
      </c>
      <c r="K316" s="71" t="s">
        <v>1606</v>
      </c>
      <c r="L316" s="75">
        <v>1</v>
      </c>
      <c r="M316" s="76">
        <v>2342.950439453125</v>
      </c>
      <c r="N316" s="76">
        <v>1942.093505859375</v>
      </c>
      <c r="O316" s="77"/>
      <c r="P316" s="78"/>
      <c r="Q316" s="78"/>
      <c r="R316" s="88"/>
      <c r="S316" s="49">
        <v>0</v>
      </c>
      <c r="T316" s="49">
        <v>1</v>
      </c>
      <c r="U316" s="50">
        <v>0</v>
      </c>
      <c r="V316" s="50">
        <v>0.135911</v>
      </c>
      <c r="W316" s="50">
        <v>0</v>
      </c>
      <c r="X316" s="50">
        <v>0.00158</v>
      </c>
      <c r="Y316" s="50">
        <v>0</v>
      </c>
      <c r="Z316" s="50">
        <v>0</v>
      </c>
      <c r="AA316" s="73">
        <v>316</v>
      </c>
      <c r="AB316" s="73"/>
      <c r="AC316" s="74"/>
      <c r="AD316" s="81" t="s">
        <v>1606</v>
      </c>
      <c r="AE316" s="81"/>
      <c r="AF316" s="81"/>
      <c r="AG316" s="81"/>
      <c r="AH316" s="81"/>
      <c r="AI316" s="81" t="s">
        <v>2332</v>
      </c>
      <c r="AJ316" s="85">
        <v>41441.87603009259</v>
      </c>
      <c r="AK316" s="83" t="str">
        <f>HYPERLINK("https://yt3.ggpht.com/ytc/AOPolaTtYER4bvzQeao5rcMJWCqcWeXiCyisR-xhJnMI=s88-c-k-c0x00ffffff-no-rj")</f>
        <v>https://yt3.ggpht.com/ytc/AOPolaTtYER4bvzQeao5rcMJWCqcWeXiCyisR-xhJnMI=s88-c-k-c0x00ffffff-no-rj</v>
      </c>
      <c r="AL316" s="81">
        <v>0</v>
      </c>
      <c r="AM316" s="81">
        <v>0</v>
      </c>
      <c r="AN316" s="81">
        <v>4</v>
      </c>
      <c r="AO316" s="81" t="b">
        <v>0</v>
      </c>
      <c r="AP316" s="81">
        <v>0</v>
      </c>
      <c r="AQ316" s="81"/>
      <c r="AR316" s="81"/>
      <c r="AS316" s="81" t="s">
        <v>2571</v>
      </c>
      <c r="AT316" s="83" t="str">
        <f>HYPERLINK("https://www.youtube.com/channel/UChTneikb8bEyKX42QLXaC6w")</f>
        <v>https://www.youtube.com/channel/UChTneikb8bEyKX42QLXaC6w</v>
      </c>
      <c r="AU316" s="81">
        <v>2</v>
      </c>
      <c r="AV316" s="49">
        <v>10</v>
      </c>
      <c r="AW316" s="50">
        <v>7.936507936507937</v>
      </c>
      <c r="AX316" s="49">
        <v>5</v>
      </c>
      <c r="AY316" s="50">
        <v>3.9682539682539684</v>
      </c>
      <c r="AZ316" s="49">
        <v>0</v>
      </c>
      <c r="BA316" s="50">
        <v>0</v>
      </c>
      <c r="BB316" s="49">
        <v>32</v>
      </c>
      <c r="BC316" s="50">
        <v>25.396825396825395</v>
      </c>
      <c r="BD316" s="49">
        <v>126</v>
      </c>
      <c r="BE316" s="49"/>
      <c r="BF316" s="49"/>
      <c r="BG316" s="49"/>
      <c r="BH316" s="49"/>
      <c r="BI316" s="49"/>
      <c r="BJ316" s="49"/>
      <c r="BK316" s="115" t="s">
        <v>2852</v>
      </c>
      <c r="BL316" s="115" t="s">
        <v>2852</v>
      </c>
      <c r="BM316" s="115" t="s">
        <v>3309</v>
      </c>
      <c r="BN316" s="115" t="s">
        <v>3309</v>
      </c>
      <c r="BO316" s="2"/>
      <c r="BP316" s="3"/>
      <c r="BQ316" s="3"/>
      <c r="BR316" s="3"/>
      <c r="BS316" s="3"/>
    </row>
    <row r="317" spans="1:71" ht="15">
      <c r="A317" s="66" t="s">
        <v>534</v>
      </c>
      <c r="B317" s="67"/>
      <c r="C317" s="67"/>
      <c r="D317" s="68">
        <v>150</v>
      </c>
      <c r="E317" s="70"/>
      <c r="F317" s="102" t="str">
        <f>HYPERLINK("https://yt3.ggpht.com/ytc/AOPolaQVlFPmdWvrwZVxYUbJQCPa3FCPH7gKOaWNsBecug=s88-c-k-c0x00ffffff-no-rj")</f>
        <v>https://yt3.ggpht.com/ytc/AOPolaQVlFPmdWvrwZVxYUbJQCPa3FCPH7gKOaWNsBecug=s88-c-k-c0x00ffffff-no-rj</v>
      </c>
      <c r="G317" s="67"/>
      <c r="H317" s="71" t="s">
        <v>1607</v>
      </c>
      <c r="I317" s="72"/>
      <c r="J317" s="72" t="s">
        <v>159</v>
      </c>
      <c r="K317" s="71" t="s">
        <v>1607</v>
      </c>
      <c r="L317" s="75">
        <v>1</v>
      </c>
      <c r="M317" s="76">
        <v>2134.78173828125</v>
      </c>
      <c r="N317" s="76">
        <v>3186.32763671875</v>
      </c>
      <c r="O317" s="77"/>
      <c r="P317" s="78"/>
      <c r="Q317" s="78"/>
      <c r="R317" s="88"/>
      <c r="S317" s="49">
        <v>0</v>
      </c>
      <c r="T317" s="49">
        <v>1</v>
      </c>
      <c r="U317" s="50">
        <v>0</v>
      </c>
      <c r="V317" s="50">
        <v>0.135911</v>
      </c>
      <c r="W317" s="50">
        <v>0</v>
      </c>
      <c r="X317" s="50">
        <v>0.00158</v>
      </c>
      <c r="Y317" s="50">
        <v>0</v>
      </c>
      <c r="Z317" s="50">
        <v>0</v>
      </c>
      <c r="AA317" s="73">
        <v>317</v>
      </c>
      <c r="AB317" s="73"/>
      <c r="AC317" s="74"/>
      <c r="AD317" s="81" t="s">
        <v>1607</v>
      </c>
      <c r="AE317" s="81"/>
      <c r="AF317" s="81"/>
      <c r="AG317" s="81"/>
      <c r="AH317" s="81"/>
      <c r="AI317" s="81" t="s">
        <v>2333</v>
      </c>
      <c r="AJ317" s="85">
        <v>41064.87516203704</v>
      </c>
      <c r="AK317" s="83" t="str">
        <f>HYPERLINK("https://yt3.ggpht.com/ytc/AOPolaQVlFPmdWvrwZVxYUbJQCPa3FCPH7gKOaWNsBecug=s88-c-k-c0x00ffffff-no-rj")</f>
        <v>https://yt3.ggpht.com/ytc/AOPolaQVlFPmdWvrwZVxYUbJQCPa3FCPH7gKOaWNsBecug=s88-c-k-c0x00ffffff-no-rj</v>
      </c>
      <c r="AL317" s="81">
        <v>0</v>
      </c>
      <c r="AM317" s="81">
        <v>0</v>
      </c>
      <c r="AN317" s="81">
        <v>8</v>
      </c>
      <c r="AO317" s="81" t="b">
        <v>0</v>
      </c>
      <c r="AP317" s="81">
        <v>0</v>
      </c>
      <c r="AQ317" s="81"/>
      <c r="AR317" s="81"/>
      <c r="AS317" s="81" t="s">
        <v>2571</v>
      </c>
      <c r="AT317" s="83" t="str">
        <f>HYPERLINK("https://www.youtube.com/channel/UCDDw7eSJd7dzdCN553OKRNg")</f>
        <v>https://www.youtube.com/channel/UCDDw7eSJd7dzdCN553OKRNg</v>
      </c>
      <c r="AU317" s="81">
        <v>2</v>
      </c>
      <c r="AV317" s="49">
        <v>0</v>
      </c>
      <c r="AW317" s="50">
        <v>0</v>
      </c>
      <c r="AX317" s="49">
        <v>0</v>
      </c>
      <c r="AY317" s="50">
        <v>0</v>
      </c>
      <c r="AZ317" s="49">
        <v>0</v>
      </c>
      <c r="BA317" s="50">
        <v>0</v>
      </c>
      <c r="BB317" s="49">
        <v>3</v>
      </c>
      <c r="BC317" s="50">
        <v>42.857142857142854</v>
      </c>
      <c r="BD317" s="49">
        <v>7</v>
      </c>
      <c r="BE317" s="49"/>
      <c r="BF317" s="49"/>
      <c r="BG317" s="49"/>
      <c r="BH317" s="49"/>
      <c r="BI317" s="49"/>
      <c r="BJ317" s="49"/>
      <c r="BK317" s="115" t="s">
        <v>2853</v>
      </c>
      <c r="BL317" s="115" t="s">
        <v>2853</v>
      </c>
      <c r="BM317" s="115" t="s">
        <v>3310</v>
      </c>
      <c r="BN317" s="115" t="s">
        <v>3310</v>
      </c>
      <c r="BO317" s="2"/>
      <c r="BP317" s="3"/>
      <c r="BQ317" s="3"/>
      <c r="BR317" s="3"/>
      <c r="BS317" s="3"/>
    </row>
    <row r="318" spans="1:71" ht="15">
      <c r="A318" s="66" t="s">
        <v>535</v>
      </c>
      <c r="B318" s="67"/>
      <c r="C318" s="67"/>
      <c r="D318" s="68">
        <v>150</v>
      </c>
      <c r="E318" s="70"/>
      <c r="F318" s="102" t="str">
        <f>HYPERLINK("https://yt3.ggpht.com/ytc/AOPolaTiY51kO8bhWdF617ElkzMWWDfnXhdsvui8MVHP=s88-c-k-c0x00ffffff-no-rj")</f>
        <v>https://yt3.ggpht.com/ytc/AOPolaTiY51kO8bhWdF617ElkzMWWDfnXhdsvui8MVHP=s88-c-k-c0x00ffffff-no-rj</v>
      </c>
      <c r="G318" s="67"/>
      <c r="H318" s="71" t="s">
        <v>1608</v>
      </c>
      <c r="I318" s="72"/>
      <c r="J318" s="72" t="s">
        <v>159</v>
      </c>
      <c r="K318" s="71" t="s">
        <v>1608</v>
      </c>
      <c r="L318" s="75">
        <v>1</v>
      </c>
      <c r="M318" s="76">
        <v>1073.3709716796875</v>
      </c>
      <c r="N318" s="76">
        <v>2544.60205078125</v>
      </c>
      <c r="O318" s="77"/>
      <c r="P318" s="78"/>
      <c r="Q318" s="78"/>
      <c r="R318" s="88"/>
      <c r="S318" s="49">
        <v>0</v>
      </c>
      <c r="T318" s="49">
        <v>1</v>
      </c>
      <c r="U318" s="50">
        <v>0</v>
      </c>
      <c r="V318" s="50">
        <v>0.135911</v>
      </c>
      <c r="W318" s="50">
        <v>0</v>
      </c>
      <c r="X318" s="50">
        <v>0.00158</v>
      </c>
      <c r="Y318" s="50">
        <v>0</v>
      </c>
      <c r="Z318" s="50">
        <v>0</v>
      </c>
      <c r="AA318" s="73">
        <v>318</v>
      </c>
      <c r="AB318" s="73"/>
      <c r="AC318" s="74"/>
      <c r="AD318" s="81" t="s">
        <v>1608</v>
      </c>
      <c r="AE318" s="81" t="s">
        <v>1978</v>
      </c>
      <c r="AF318" s="81"/>
      <c r="AG318" s="81"/>
      <c r="AH318" s="81"/>
      <c r="AI318" s="81" t="s">
        <v>2334</v>
      </c>
      <c r="AJ318" s="85">
        <v>43668.96540509259</v>
      </c>
      <c r="AK318" s="83" t="str">
        <f>HYPERLINK("https://yt3.ggpht.com/ytc/AOPolaTiY51kO8bhWdF617ElkzMWWDfnXhdsvui8MVHP=s88-c-k-c0x00ffffff-no-rj")</f>
        <v>https://yt3.ggpht.com/ytc/AOPolaTiY51kO8bhWdF617ElkzMWWDfnXhdsvui8MVHP=s88-c-k-c0x00ffffff-no-rj</v>
      </c>
      <c r="AL318" s="81">
        <v>50419</v>
      </c>
      <c r="AM318" s="81">
        <v>0</v>
      </c>
      <c r="AN318" s="81">
        <v>1910</v>
      </c>
      <c r="AO318" s="81" t="b">
        <v>0</v>
      </c>
      <c r="AP318" s="81">
        <v>21</v>
      </c>
      <c r="AQ318" s="81"/>
      <c r="AR318" s="81"/>
      <c r="AS318" s="81" t="s">
        <v>2571</v>
      </c>
      <c r="AT318" s="83" t="str">
        <f>HYPERLINK("https://www.youtube.com/channel/UCxpMnjRpAeeBDm7U_Xnz5oQ")</f>
        <v>https://www.youtube.com/channel/UCxpMnjRpAeeBDm7U_Xnz5oQ</v>
      </c>
      <c r="AU318" s="81">
        <v>2</v>
      </c>
      <c r="AV318" s="49">
        <v>3</v>
      </c>
      <c r="AW318" s="50">
        <v>21.428571428571427</v>
      </c>
      <c r="AX318" s="49">
        <v>0</v>
      </c>
      <c r="AY318" s="50">
        <v>0</v>
      </c>
      <c r="AZ318" s="49">
        <v>0</v>
      </c>
      <c r="BA318" s="50">
        <v>0</v>
      </c>
      <c r="BB318" s="49">
        <v>3</v>
      </c>
      <c r="BC318" s="50">
        <v>21.428571428571427</v>
      </c>
      <c r="BD318" s="49">
        <v>14</v>
      </c>
      <c r="BE318" s="49"/>
      <c r="BF318" s="49"/>
      <c r="BG318" s="49"/>
      <c r="BH318" s="49"/>
      <c r="BI318" s="49"/>
      <c r="BJ318" s="49"/>
      <c r="BK318" s="115" t="s">
        <v>2854</v>
      </c>
      <c r="BL318" s="115" t="s">
        <v>2854</v>
      </c>
      <c r="BM318" s="115" t="s">
        <v>3311</v>
      </c>
      <c r="BN318" s="115" t="s">
        <v>3311</v>
      </c>
      <c r="BO318" s="2"/>
      <c r="BP318" s="3"/>
      <c r="BQ318" s="3"/>
      <c r="BR318" s="3"/>
      <c r="BS318" s="3"/>
    </row>
    <row r="319" spans="1:71" ht="15">
      <c r="A319" s="66" t="s">
        <v>536</v>
      </c>
      <c r="B319" s="67"/>
      <c r="C319" s="67"/>
      <c r="D319" s="68">
        <v>150</v>
      </c>
      <c r="E319" s="70"/>
      <c r="F319" s="102" t="str">
        <f>HYPERLINK("https://yt3.ggpht.com/ytc/AOPolaRJelBS-dBzXeH47_MQzrs9KvWJLPitenCiNyNz8EUDAJWZAkl_lH-7J6SytoxR=s88-c-k-c0x00ffffff-no-rj")</f>
        <v>https://yt3.ggpht.com/ytc/AOPolaRJelBS-dBzXeH47_MQzrs9KvWJLPitenCiNyNz8EUDAJWZAkl_lH-7J6SytoxR=s88-c-k-c0x00ffffff-no-rj</v>
      </c>
      <c r="G319" s="67"/>
      <c r="H319" s="71" t="s">
        <v>1609</v>
      </c>
      <c r="I319" s="72"/>
      <c r="J319" s="72" t="s">
        <v>159</v>
      </c>
      <c r="K319" s="71" t="s">
        <v>1609</v>
      </c>
      <c r="L319" s="75">
        <v>1</v>
      </c>
      <c r="M319" s="76">
        <v>2005.3277587890625</v>
      </c>
      <c r="N319" s="76">
        <v>1183.0780029296875</v>
      </c>
      <c r="O319" s="77"/>
      <c r="P319" s="78"/>
      <c r="Q319" s="78"/>
      <c r="R319" s="88"/>
      <c r="S319" s="49">
        <v>0</v>
      </c>
      <c r="T319" s="49">
        <v>1</v>
      </c>
      <c r="U319" s="50">
        <v>0</v>
      </c>
      <c r="V319" s="50">
        <v>0.135911</v>
      </c>
      <c r="W319" s="50">
        <v>0</v>
      </c>
      <c r="X319" s="50">
        <v>0.00158</v>
      </c>
      <c r="Y319" s="50">
        <v>0</v>
      </c>
      <c r="Z319" s="50">
        <v>0</v>
      </c>
      <c r="AA319" s="73">
        <v>319</v>
      </c>
      <c r="AB319" s="73"/>
      <c r="AC319" s="74"/>
      <c r="AD319" s="81" t="s">
        <v>1609</v>
      </c>
      <c r="AE319" s="81"/>
      <c r="AF319" s="81"/>
      <c r="AG319" s="81"/>
      <c r="AH319" s="81"/>
      <c r="AI319" s="81" t="s">
        <v>2335</v>
      </c>
      <c r="AJ319" s="85">
        <v>44769.021203703705</v>
      </c>
      <c r="AK319" s="83" t="str">
        <f>HYPERLINK("https://yt3.ggpht.com/ytc/AOPolaRJelBS-dBzXeH47_MQzrs9KvWJLPitenCiNyNz8EUDAJWZAkl_lH-7J6SytoxR=s88-c-k-c0x00ffffff-no-rj")</f>
        <v>https://yt3.ggpht.com/ytc/AOPolaRJelBS-dBzXeH47_MQzrs9KvWJLPitenCiNyNz8EUDAJWZAkl_lH-7J6SytoxR=s88-c-k-c0x00ffffff-no-rj</v>
      </c>
      <c r="AL319" s="81">
        <v>0</v>
      </c>
      <c r="AM319" s="81">
        <v>0</v>
      </c>
      <c r="AN319" s="81">
        <v>1</v>
      </c>
      <c r="AO319" s="81" t="b">
        <v>0</v>
      </c>
      <c r="AP319" s="81">
        <v>0</v>
      </c>
      <c r="AQ319" s="81"/>
      <c r="AR319" s="81"/>
      <c r="AS319" s="81" t="s">
        <v>2571</v>
      </c>
      <c r="AT319" s="83" t="str">
        <f>HYPERLINK("https://www.youtube.com/channel/UCj-WYwt4bJi553Z7gxmVkdg")</f>
        <v>https://www.youtube.com/channel/UCj-WYwt4bJi553Z7gxmVkdg</v>
      </c>
      <c r="AU319" s="81">
        <v>2</v>
      </c>
      <c r="AV319" s="49">
        <v>0</v>
      </c>
      <c r="AW319" s="50">
        <v>0</v>
      </c>
      <c r="AX319" s="49">
        <v>2</v>
      </c>
      <c r="AY319" s="50">
        <v>15.384615384615385</v>
      </c>
      <c r="AZ319" s="49">
        <v>0</v>
      </c>
      <c r="BA319" s="50">
        <v>0</v>
      </c>
      <c r="BB319" s="49">
        <v>6</v>
      </c>
      <c r="BC319" s="50">
        <v>46.15384615384615</v>
      </c>
      <c r="BD319" s="49">
        <v>13</v>
      </c>
      <c r="BE319" s="49"/>
      <c r="BF319" s="49"/>
      <c r="BG319" s="49"/>
      <c r="BH319" s="49"/>
      <c r="BI319" s="49"/>
      <c r="BJ319" s="49"/>
      <c r="BK319" s="115" t="s">
        <v>2855</v>
      </c>
      <c r="BL319" s="115" t="s">
        <v>2855</v>
      </c>
      <c r="BM319" s="115" t="s">
        <v>3312</v>
      </c>
      <c r="BN319" s="115" t="s">
        <v>3312</v>
      </c>
      <c r="BO319" s="2"/>
      <c r="BP319" s="3"/>
      <c r="BQ319" s="3"/>
      <c r="BR319" s="3"/>
      <c r="BS319" s="3"/>
    </row>
    <row r="320" spans="1:71" ht="15">
      <c r="A320" s="66" t="s">
        <v>537</v>
      </c>
      <c r="B320" s="67"/>
      <c r="C320" s="67"/>
      <c r="D320" s="68">
        <v>150</v>
      </c>
      <c r="E320" s="70"/>
      <c r="F320" s="102" t="str">
        <f>HYPERLINK("https://yt3.ggpht.com/ytc/AOPolaRrjpffj8GRu3DyLvf6KFaXOJQxniCzxfYAOg=s88-c-k-c0x00ffffff-no-rj")</f>
        <v>https://yt3.ggpht.com/ytc/AOPolaRrjpffj8GRu3DyLvf6KFaXOJQxniCzxfYAOg=s88-c-k-c0x00ffffff-no-rj</v>
      </c>
      <c r="G320" s="67"/>
      <c r="H320" s="71" t="s">
        <v>1610</v>
      </c>
      <c r="I320" s="72"/>
      <c r="J320" s="72" t="s">
        <v>159</v>
      </c>
      <c r="K320" s="71" t="s">
        <v>1610</v>
      </c>
      <c r="L320" s="75">
        <v>1</v>
      </c>
      <c r="M320" s="76">
        <v>4858.744140625</v>
      </c>
      <c r="N320" s="76">
        <v>3684.980224609375</v>
      </c>
      <c r="O320" s="77"/>
      <c r="P320" s="78"/>
      <c r="Q320" s="78"/>
      <c r="R320" s="88"/>
      <c r="S320" s="49">
        <v>0</v>
      </c>
      <c r="T320" s="49">
        <v>1</v>
      </c>
      <c r="U320" s="50">
        <v>0</v>
      </c>
      <c r="V320" s="50">
        <v>0.135911</v>
      </c>
      <c r="W320" s="50">
        <v>0</v>
      </c>
      <c r="X320" s="50">
        <v>0.00158</v>
      </c>
      <c r="Y320" s="50">
        <v>0</v>
      </c>
      <c r="Z320" s="50">
        <v>0</v>
      </c>
      <c r="AA320" s="73">
        <v>320</v>
      </c>
      <c r="AB320" s="73"/>
      <c r="AC320" s="74"/>
      <c r="AD320" s="81" t="s">
        <v>1610</v>
      </c>
      <c r="AE320" s="81"/>
      <c r="AF320" s="81"/>
      <c r="AG320" s="81"/>
      <c r="AH320" s="81"/>
      <c r="AI320" s="81" t="s">
        <v>2336</v>
      </c>
      <c r="AJ320" s="85">
        <v>39307.987905092596</v>
      </c>
      <c r="AK320" s="83" t="str">
        <f>HYPERLINK("https://yt3.ggpht.com/ytc/AOPolaRrjpffj8GRu3DyLvf6KFaXOJQxniCzxfYAOg=s88-c-k-c0x00ffffff-no-rj")</f>
        <v>https://yt3.ggpht.com/ytc/AOPolaRrjpffj8GRu3DyLvf6KFaXOJQxniCzxfYAOg=s88-c-k-c0x00ffffff-no-rj</v>
      </c>
      <c r="AL320" s="81">
        <v>30313</v>
      </c>
      <c r="AM320" s="81">
        <v>0</v>
      </c>
      <c r="AN320" s="81">
        <v>129</v>
      </c>
      <c r="AO320" s="81" t="b">
        <v>0</v>
      </c>
      <c r="AP320" s="81">
        <v>51</v>
      </c>
      <c r="AQ320" s="81"/>
      <c r="AR320" s="81"/>
      <c r="AS320" s="81" t="s">
        <v>2571</v>
      </c>
      <c r="AT320" s="83" t="str">
        <f>HYPERLINK("https://www.youtube.com/channel/UC6lD2NFMaWFc0hNmkkrWCbw")</f>
        <v>https://www.youtube.com/channel/UC6lD2NFMaWFc0hNmkkrWCbw</v>
      </c>
      <c r="AU320" s="81">
        <v>2</v>
      </c>
      <c r="AV320" s="49">
        <v>2</v>
      </c>
      <c r="AW320" s="50">
        <v>2.247191011235955</v>
      </c>
      <c r="AX320" s="49">
        <v>11</v>
      </c>
      <c r="AY320" s="50">
        <v>12.359550561797754</v>
      </c>
      <c r="AZ320" s="49">
        <v>0</v>
      </c>
      <c r="BA320" s="50">
        <v>0</v>
      </c>
      <c r="BB320" s="49">
        <v>27</v>
      </c>
      <c r="BC320" s="50">
        <v>30.337078651685392</v>
      </c>
      <c r="BD320" s="49">
        <v>89</v>
      </c>
      <c r="BE320" s="49"/>
      <c r="BF320" s="49"/>
      <c r="BG320" s="49"/>
      <c r="BH320" s="49"/>
      <c r="BI320" s="49"/>
      <c r="BJ320" s="49"/>
      <c r="BK320" s="115" t="s">
        <v>2856</v>
      </c>
      <c r="BL320" s="115" t="s">
        <v>2856</v>
      </c>
      <c r="BM320" s="115" t="s">
        <v>3313</v>
      </c>
      <c r="BN320" s="115" t="s">
        <v>3313</v>
      </c>
      <c r="BO320" s="2"/>
      <c r="BP320" s="3"/>
      <c r="BQ320" s="3"/>
      <c r="BR320" s="3"/>
      <c r="BS320" s="3"/>
    </row>
    <row r="321" spans="1:71" ht="15">
      <c r="A321" s="66" t="s">
        <v>538</v>
      </c>
      <c r="B321" s="67"/>
      <c r="C321" s="67"/>
      <c r="D321" s="68">
        <v>150</v>
      </c>
      <c r="E321" s="70"/>
      <c r="F321" s="102" t="str">
        <f>HYPERLINK("https://yt3.ggpht.com/ytc/AOPolaTfyKG9r0Ux852nKEikpTFpIjCx32kf3uCDRGwl=s88-c-k-c0x00ffffff-no-rj")</f>
        <v>https://yt3.ggpht.com/ytc/AOPolaTfyKG9r0Ux852nKEikpTFpIjCx32kf3uCDRGwl=s88-c-k-c0x00ffffff-no-rj</v>
      </c>
      <c r="G321" s="67"/>
      <c r="H321" s="71" t="s">
        <v>1611</v>
      </c>
      <c r="I321" s="72"/>
      <c r="J321" s="72" t="s">
        <v>159</v>
      </c>
      <c r="K321" s="71" t="s">
        <v>1611</v>
      </c>
      <c r="L321" s="75">
        <v>1</v>
      </c>
      <c r="M321" s="76">
        <v>5972.39111328125</v>
      </c>
      <c r="N321" s="76">
        <v>2838.57080078125</v>
      </c>
      <c r="O321" s="77"/>
      <c r="P321" s="78"/>
      <c r="Q321" s="78"/>
      <c r="R321" s="88"/>
      <c r="S321" s="49">
        <v>0</v>
      </c>
      <c r="T321" s="49">
        <v>1</v>
      </c>
      <c r="U321" s="50">
        <v>0</v>
      </c>
      <c r="V321" s="50">
        <v>0.135911</v>
      </c>
      <c r="W321" s="50">
        <v>0</v>
      </c>
      <c r="X321" s="50">
        <v>0.00158</v>
      </c>
      <c r="Y321" s="50">
        <v>0</v>
      </c>
      <c r="Z321" s="50">
        <v>0</v>
      </c>
      <c r="AA321" s="73">
        <v>321</v>
      </c>
      <c r="AB321" s="73"/>
      <c r="AC321" s="74"/>
      <c r="AD321" s="81" t="s">
        <v>1611</v>
      </c>
      <c r="AE321" s="81"/>
      <c r="AF321" s="81"/>
      <c r="AG321" s="81"/>
      <c r="AH321" s="81"/>
      <c r="AI321" s="81" t="s">
        <v>2337</v>
      </c>
      <c r="AJ321" s="85">
        <v>44236.026400462964</v>
      </c>
      <c r="AK321" s="83" t="str">
        <f>HYPERLINK("https://yt3.ggpht.com/ytc/AOPolaTfyKG9r0Ux852nKEikpTFpIjCx32kf3uCDRGwl=s88-c-k-c0x00ffffff-no-rj")</f>
        <v>https://yt3.ggpht.com/ytc/AOPolaTfyKG9r0Ux852nKEikpTFpIjCx32kf3uCDRGwl=s88-c-k-c0x00ffffff-no-rj</v>
      </c>
      <c r="AL321" s="81">
        <v>0</v>
      </c>
      <c r="AM321" s="81">
        <v>0</v>
      </c>
      <c r="AN321" s="81">
        <v>35</v>
      </c>
      <c r="AO321" s="81" t="b">
        <v>0</v>
      </c>
      <c r="AP321" s="81">
        <v>0</v>
      </c>
      <c r="AQ321" s="81"/>
      <c r="AR321" s="81"/>
      <c r="AS321" s="81" t="s">
        <v>2571</v>
      </c>
      <c r="AT321" s="83" t="str">
        <f>HYPERLINK("https://www.youtube.com/channel/UCP_xYiAKfXb29oobdthFl5g")</f>
        <v>https://www.youtube.com/channel/UCP_xYiAKfXb29oobdthFl5g</v>
      </c>
      <c r="AU321" s="81">
        <v>2</v>
      </c>
      <c r="AV321" s="49">
        <v>5</v>
      </c>
      <c r="AW321" s="50">
        <v>20.833333333333332</v>
      </c>
      <c r="AX321" s="49">
        <v>0</v>
      </c>
      <c r="AY321" s="50">
        <v>0</v>
      </c>
      <c r="AZ321" s="49">
        <v>0</v>
      </c>
      <c r="BA321" s="50">
        <v>0</v>
      </c>
      <c r="BB321" s="49">
        <v>12</v>
      </c>
      <c r="BC321" s="50">
        <v>50</v>
      </c>
      <c r="BD321" s="49">
        <v>24</v>
      </c>
      <c r="BE321" s="49"/>
      <c r="BF321" s="49"/>
      <c r="BG321" s="49"/>
      <c r="BH321" s="49"/>
      <c r="BI321" s="49"/>
      <c r="BJ321" s="49"/>
      <c r="BK321" s="115" t="s">
        <v>2857</v>
      </c>
      <c r="BL321" s="115" t="s">
        <v>2857</v>
      </c>
      <c r="BM321" s="115" t="s">
        <v>3314</v>
      </c>
      <c r="BN321" s="115" t="s">
        <v>3314</v>
      </c>
      <c r="BO321" s="2"/>
      <c r="BP321" s="3"/>
      <c r="BQ321" s="3"/>
      <c r="BR321" s="3"/>
      <c r="BS321" s="3"/>
    </row>
    <row r="322" spans="1:71" ht="15">
      <c r="A322" s="66" t="s">
        <v>539</v>
      </c>
      <c r="B322" s="67"/>
      <c r="C322" s="67"/>
      <c r="D322" s="68">
        <v>150</v>
      </c>
      <c r="E322" s="70"/>
      <c r="F322" s="102" t="str">
        <f>HYPERLINK("https://yt3.ggpht.com/ytc/AOPolaTKthYsuIvLfGQyAslqJI69ebfWRE5rHFHKk52lr5dTIY0l0YygwMDi5jj8K1p4qg=s88-c-k-c0x00ffffff-no-rj")</f>
        <v>https://yt3.ggpht.com/ytc/AOPolaTKthYsuIvLfGQyAslqJI69ebfWRE5rHFHKk52lr5dTIY0l0YygwMDi5jj8K1p4qg=s88-c-k-c0x00ffffff-no-rj</v>
      </c>
      <c r="G322" s="67"/>
      <c r="H322" s="71" t="s">
        <v>1612</v>
      </c>
      <c r="I322" s="72"/>
      <c r="J322" s="72" t="s">
        <v>159</v>
      </c>
      <c r="K322" s="71" t="s">
        <v>1612</v>
      </c>
      <c r="L322" s="75">
        <v>1</v>
      </c>
      <c r="M322" s="76">
        <v>3355.606201171875</v>
      </c>
      <c r="N322" s="76">
        <v>1930.14990234375</v>
      </c>
      <c r="O322" s="77"/>
      <c r="P322" s="78"/>
      <c r="Q322" s="78"/>
      <c r="R322" s="88"/>
      <c r="S322" s="49">
        <v>0</v>
      </c>
      <c r="T322" s="49">
        <v>1</v>
      </c>
      <c r="U322" s="50">
        <v>0</v>
      </c>
      <c r="V322" s="50">
        <v>0.135911</v>
      </c>
      <c r="W322" s="50">
        <v>0</v>
      </c>
      <c r="X322" s="50">
        <v>0.00158</v>
      </c>
      <c r="Y322" s="50">
        <v>0</v>
      </c>
      <c r="Z322" s="50">
        <v>0</v>
      </c>
      <c r="AA322" s="73">
        <v>322</v>
      </c>
      <c r="AB322" s="73"/>
      <c r="AC322" s="74"/>
      <c r="AD322" s="81" t="s">
        <v>1612</v>
      </c>
      <c r="AE322" s="81"/>
      <c r="AF322" s="81"/>
      <c r="AG322" s="81"/>
      <c r="AH322" s="81"/>
      <c r="AI322" s="81" t="s">
        <v>2338</v>
      </c>
      <c r="AJ322" s="85">
        <v>41279.28920138889</v>
      </c>
      <c r="AK322" s="83" t="str">
        <f>HYPERLINK("https://yt3.ggpht.com/ytc/AOPolaTKthYsuIvLfGQyAslqJI69ebfWRE5rHFHKk52lr5dTIY0l0YygwMDi5jj8K1p4qg=s88-c-k-c0x00ffffff-no-rj")</f>
        <v>https://yt3.ggpht.com/ytc/AOPolaTKthYsuIvLfGQyAslqJI69ebfWRE5rHFHKk52lr5dTIY0l0YygwMDi5jj8K1p4qg=s88-c-k-c0x00ffffff-no-rj</v>
      </c>
      <c r="AL322" s="81">
        <v>0</v>
      </c>
      <c r="AM322" s="81">
        <v>0</v>
      </c>
      <c r="AN322" s="81">
        <v>1</v>
      </c>
      <c r="AO322" s="81" t="b">
        <v>0</v>
      </c>
      <c r="AP322" s="81">
        <v>0</v>
      </c>
      <c r="AQ322" s="81"/>
      <c r="AR322" s="81"/>
      <c r="AS322" s="81" t="s">
        <v>2571</v>
      </c>
      <c r="AT322" s="83" t="str">
        <f>HYPERLINK("https://www.youtube.com/channel/UCARWkLSLOR-GQryrSWnDCrw")</f>
        <v>https://www.youtube.com/channel/UCARWkLSLOR-GQryrSWnDCrw</v>
      </c>
      <c r="AU322" s="81">
        <v>2</v>
      </c>
      <c r="AV322" s="49">
        <v>0</v>
      </c>
      <c r="AW322" s="50">
        <v>0</v>
      </c>
      <c r="AX322" s="49">
        <v>0</v>
      </c>
      <c r="AY322" s="50">
        <v>0</v>
      </c>
      <c r="AZ322" s="49">
        <v>0</v>
      </c>
      <c r="BA322" s="50">
        <v>0</v>
      </c>
      <c r="BB322" s="49">
        <v>6</v>
      </c>
      <c r="BC322" s="50">
        <v>42.857142857142854</v>
      </c>
      <c r="BD322" s="49">
        <v>14</v>
      </c>
      <c r="BE322" s="49"/>
      <c r="BF322" s="49"/>
      <c r="BG322" s="49"/>
      <c r="BH322" s="49"/>
      <c r="BI322" s="49"/>
      <c r="BJ322" s="49"/>
      <c r="BK322" s="115" t="s">
        <v>2858</v>
      </c>
      <c r="BL322" s="115" t="s">
        <v>2858</v>
      </c>
      <c r="BM322" s="115" t="s">
        <v>3315</v>
      </c>
      <c r="BN322" s="115" t="s">
        <v>3315</v>
      </c>
      <c r="BO322" s="2"/>
      <c r="BP322" s="3"/>
      <c r="BQ322" s="3"/>
      <c r="BR322" s="3"/>
      <c r="BS322" s="3"/>
    </row>
    <row r="323" spans="1:71" ht="15">
      <c r="A323" s="66" t="s">
        <v>540</v>
      </c>
      <c r="B323" s="67"/>
      <c r="C323" s="67"/>
      <c r="D323" s="68">
        <v>150</v>
      </c>
      <c r="E323" s="70"/>
      <c r="F323" s="102" t="str">
        <f>HYPERLINK("https://yt3.ggpht.com/FIfu0hcCbj1VHqqdtrF7-LBrPTUoImkd3lLVcqzL0jp28gD6SjmB4LBEAeLNJoZ09m7_TWhcrg=s88-c-k-c0x00ffffff-no-rj")</f>
        <v>https://yt3.ggpht.com/FIfu0hcCbj1VHqqdtrF7-LBrPTUoImkd3lLVcqzL0jp28gD6SjmB4LBEAeLNJoZ09m7_TWhcrg=s88-c-k-c0x00ffffff-no-rj</v>
      </c>
      <c r="G323" s="67"/>
      <c r="H323" s="71" t="s">
        <v>1613</v>
      </c>
      <c r="I323" s="72"/>
      <c r="J323" s="72" t="s">
        <v>159</v>
      </c>
      <c r="K323" s="71" t="s">
        <v>1613</v>
      </c>
      <c r="L323" s="75">
        <v>1</v>
      </c>
      <c r="M323" s="76">
        <v>5495.25244140625</v>
      </c>
      <c r="N323" s="76">
        <v>6550.6689453125</v>
      </c>
      <c r="O323" s="77"/>
      <c r="P323" s="78"/>
      <c r="Q323" s="78"/>
      <c r="R323" s="88"/>
      <c r="S323" s="49">
        <v>0</v>
      </c>
      <c r="T323" s="49">
        <v>1</v>
      </c>
      <c r="U323" s="50">
        <v>0</v>
      </c>
      <c r="V323" s="50">
        <v>0.177728</v>
      </c>
      <c r="W323" s="50">
        <v>0.049759</v>
      </c>
      <c r="X323" s="50">
        <v>0.001579</v>
      </c>
      <c r="Y323" s="50">
        <v>0</v>
      </c>
      <c r="Z323" s="50">
        <v>0</v>
      </c>
      <c r="AA323" s="73">
        <v>323</v>
      </c>
      <c r="AB323" s="73"/>
      <c r="AC323" s="74"/>
      <c r="AD323" s="81" t="s">
        <v>1613</v>
      </c>
      <c r="AE323" s="81"/>
      <c r="AF323" s="81"/>
      <c r="AG323" s="81"/>
      <c r="AH323" s="81"/>
      <c r="AI323" s="81" t="s">
        <v>2339</v>
      </c>
      <c r="AJ323" s="85">
        <v>44848.00619212963</v>
      </c>
      <c r="AK323" s="83" t="str">
        <f>HYPERLINK("https://yt3.ggpht.com/FIfu0hcCbj1VHqqdtrF7-LBrPTUoImkd3lLVcqzL0jp28gD6SjmB4LBEAeLNJoZ09m7_TWhcrg=s88-c-k-c0x00ffffff-no-rj")</f>
        <v>https://yt3.ggpht.com/FIfu0hcCbj1VHqqdtrF7-LBrPTUoImkd3lLVcqzL0jp28gD6SjmB4LBEAeLNJoZ09m7_TWhcrg=s88-c-k-c0x00ffffff-no-rj</v>
      </c>
      <c r="AL323" s="81">
        <v>0</v>
      </c>
      <c r="AM323" s="81">
        <v>0</v>
      </c>
      <c r="AN323" s="81">
        <v>0</v>
      </c>
      <c r="AO323" s="81" t="b">
        <v>0</v>
      </c>
      <c r="AP323" s="81">
        <v>0</v>
      </c>
      <c r="AQ323" s="81"/>
      <c r="AR323" s="81"/>
      <c r="AS323" s="81" t="s">
        <v>2571</v>
      </c>
      <c r="AT323" s="83" t="str">
        <f>HYPERLINK("https://www.youtube.com/channel/UCV-irmO6xulXU7e2GS2WuHQ")</f>
        <v>https://www.youtube.com/channel/UCV-irmO6xulXU7e2GS2WuHQ</v>
      </c>
      <c r="AU323" s="81">
        <v>1</v>
      </c>
      <c r="AV323" s="49">
        <v>2</v>
      </c>
      <c r="AW323" s="50">
        <v>6.896551724137931</v>
      </c>
      <c r="AX323" s="49">
        <v>0</v>
      </c>
      <c r="AY323" s="50">
        <v>0</v>
      </c>
      <c r="AZ323" s="49">
        <v>0</v>
      </c>
      <c r="BA323" s="50">
        <v>0</v>
      </c>
      <c r="BB323" s="49">
        <v>11</v>
      </c>
      <c r="BC323" s="50">
        <v>37.93103448275862</v>
      </c>
      <c r="BD323" s="49">
        <v>29</v>
      </c>
      <c r="BE323" s="49"/>
      <c r="BF323" s="49"/>
      <c r="BG323" s="49"/>
      <c r="BH323" s="49"/>
      <c r="BI323" s="49"/>
      <c r="BJ323" s="49"/>
      <c r="BK323" s="115" t="s">
        <v>2859</v>
      </c>
      <c r="BL323" s="115" t="s">
        <v>2859</v>
      </c>
      <c r="BM323" s="115" t="s">
        <v>3316</v>
      </c>
      <c r="BN323" s="115" t="s">
        <v>3316</v>
      </c>
      <c r="BO323" s="2"/>
      <c r="BP323" s="3"/>
      <c r="BQ323" s="3"/>
      <c r="BR323" s="3"/>
      <c r="BS323" s="3"/>
    </row>
    <row r="324" spans="1:71" ht="15">
      <c r="A324" s="66" t="s">
        <v>541</v>
      </c>
      <c r="B324" s="67"/>
      <c r="C324" s="67"/>
      <c r="D324" s="68">
        <v>150</v>
      </c>
      <c r="E324" s="70"/>
      <c r="F324" s="102" t="str">
        <f>HYPERLINK("https://yt3.ggpht.com/ytc/AOPolaQUCFyZp8PG5duiw48UovZfTPpXRIAteu_m3A=s88-c-k-c0x00ffffff-no-rj")</f>
        <v>https://yt3.ggpht.com/ytc/AOPolaQUCFyZp8PG5duiw48UovZfTPpXRIAteu_m3A=s88-c-k-c0x00ffffff-no-rj</v>
      </c>
      <c r="G324" s="67"/>
      <c r="H324" s="71" t="s">
        <v>1614</v>
      </c>
      <c r="I324" s="72"/>
      <c r="J324" s="72" t="s">
        <v>159</v>
      </c>
      <c r="K324" s="71" t="s">
        <v>1614</v>
      </c>
      <c r="L324" s="75">
        <v>1</v>
      </c>
      <c r="M324" s="76">
        <v>4886.8388671875</v>
      </c>
      <c r="N324" s="76">
        <v>6139.02392578125</v>
      </c>
      <c r="O324" s="77"/>
      <c r="P324" s="78"/>
      <c r="Q324" s="78"/>
      <c r="R324" s="88"/>
      <c r="S324" s="49">
        <v>0</v>
      </c>
      <c r="T324" s="49">
        <v>1</v>
      </c>
      <c r="U324" s="50">
        <v>0</v>
      </c>
      <c r="V324" s="50">
        <v>0.177728</v>
      </c>
      <c r="W324" s="50">
        <v>0.049759</v>
      </c>
      <c r="X324" s="50">
        <v>0.001579</v>
      </c>
      <c r="Y324" s="50">
        <v>0</v>
      </c>
      <c r="Z324" s="50">
        <v>0</v>
      </c>
      <c r="AA324" s="73">
        <v>324</v>
      </c>
      <c r="AB324" s="73"/>
      <c r="AC324" s="74"/>
      <c r="AD324" s="81" t="s">
        <v>1614</v>
      </c>
      <c r="AE324" s="81"/>
      <c r="AF324" s="81"/>
      <c r="AG324" s="81"/>
      <c r="AH324" s="81"/>
      <c r="AI324" s="81" t="s">
        <v>2340</v>
      </c>
      <c r="AJ324" s="85">
        <v>42653.694386574076</v>
      </c>
      <c r="AK324" s="83" t="str">
        <f>HYPERLINK("https://yt3.ggpht.com/ytc/AOPolaQUCFyZp8PG5duiw48UovZfTPpXRIAteu_m3A=s88-c-k-c0x00ffffff-no-rj")</f>
        <v>https://yt3.ggpht.com/ytc/AOPolaQUCFyZp8PG5duiw48UovZfTPpXRIAteu_m3A=s88-c-k-c0x00ffffff-no-rj</v>
      </c>
      <c r="AL324" s="81">
        <v>0</v>
      </c>
      <c r="AM324" s="81">
        <v>0</v>
      </c>
      <c r="AN324" s="81">
        <v>0</v>
      </c>
      <c r="AO324" s="81" t="b">
        <v>0</v>
      </c>
      <c r="AP324" s="81">
        <v>0</v>
      </c>
      <c r="AQ324" s="81"/>
      <c r="AR324" s="81"/>
      <c r="AS324" s="81" t="s">
        <v>2571</v>
      </c>
      <c r="AT324" s="83" t="str">
        <f>HYPERLINK("https://www.youtube.com/channel/UCQHtvGiBmW4XIe-21DWpCkw")</f>
        <v>https://www.youtube.com/channel/UCQHtvGiBmW4XIe-21DWpCkw</v>
      </c>
      <c r="AU324" s="81">
        <v>1</v>
      </c>
      <c r="AV324" s="49">
        <v>0</v>
      </c>
      <c r="AW324" s="50">
        <v>0</v>
      </c>
      <c r="AX324" s="49">
        <v>2</v>
      </c>
      <c r="AY324" s="50">
        <v>9.090909090909092</v>
      </c>
      <c r="AZ324" s="49">
        <v>0</v>
      </c>
      <c r="BA324" s="50">
        <v>0</v>
      </c>
      <c r="BB324" s="49">
        <v>3</v>
      </c>
      <c r="BC324" s="50">
        <v>13.636363636363637</v>
      </c>
      <c r="BD324" s="49">
        <v>22</v>
      </c>
      <c r="BE324" s="49"/>
      <c r="BF324" s="49"/>
      <c r="BG324" s="49"/>
      <c r="BH324" s="49"/>
      <c r="BI324" s="49"/>
      <c r="BJ324" s="49"/>
      <c r="BK324" s="115" t="s">
        <v>2860</v>
      </c>
      <c r="BL324" s="115" t="s">
        <v>2860</v>
      </c>
      <c r="BM324" s="115" t="s">
        <v>3317</v>
      </c>
      <c r="BN324" s="115" t="s">
        <v>3317</v>
      </c>
      <c r="BO324" s="2"/>
      <c r="BP324" s="3"/>
      <c r="BQ324" s="3"/>
      <c r="BR324" s="3"/>
      <c r="BS324" s="3"/>
    </row>
    <row r="325" spans="1:71" ht="15">
      <c r="A325" s="66" t="s">
        <v>542</v>
      </c>
      <c r="B325" s="67"/>
      <c r="C325" s="67"/>
      <c r="D325" s="68">
        <v>150</v>
      </c>
      <c r="E325" s="70"/>
      <c r="F325" s="102" t="str">
        <f>HYPERLINK("https://yt3.ggpht.com/ytc/AOPolaTuTiBFdnklObYVs2qp5kC_f1ir-99uW8-F1iKNHDs=s88-c-k-c0x00ffffff-no-rj")</f>
        <v>https://yt3.ggpht.com/ytc/AOPolaTuTiBFdnklObYVs2qp5kC_f1ir-99uW8-F1iKNHDs=s88-c-k-c0x00ffffff-no-rj</v>
      </c>
      <c r="G325" s="67"/>
      <c r="H325" s="71" t="s">
        <v>1615</v>
      </c>
      <c r="I325" s="72"/>
      <c r="J325" s="72" t="s">
        <v>159</v>
      </c>
      <c r="K325" s="71" t="s">
        <v>1615</v>
      </c>
      <c r="L325" s="75">
        <v>1</v>
      </c>
      <c r="M325" s="76">
        <v>1432.9864501953125</v>
      </c>
      <c r="N325" s="76">
        <v>8965.5244140625</v>
      </c>
      <c r="O325" s="77"/>
      <c r="P325" s="78"/>
      <c r="Q325" s="78"/>
      <c r="R325" s="88"/>
      <c r="S325" s="49">
        <v>0</v>
      </c>
      <c r="T325" s="49">
        <v>1</v>
      </c>
      <c r="U325" s="50">
        <v>0</v>
      </c>
      <c r="V325" s="50">
        <v>0.177728</v>
      </c>
      <c r="W325" s="50">
        <v>0.049759</v>
      </c>
      <c r="X325" s="50">
        <v>0.001579</v>
      </c>
      <c r="Y325" s="50">
        <v>0</v>
      </c>
      <c r="Z325" s="50">
        <v>0</v>
      </c>
      <c r="AA325" s="73">
        <v>325</v>
      </c>
      <c r="AB325" s="73"/>
      <c r="AC325" s="74"/>
      <c r="AD325" s="81" t="s">
        <v>1615</v>
      </c>
      <c r="AE325" s="81"/>
      <c r="AF325" s="81"/>
      <c r="AG325" s="81"/>
      <c r="AH325" s="81"/>
      <c r="AI325" s="81" t="s">
        <v>2341</v>
      </c>
      <c r="AJ325" s="85">
        <v>41167.7903125</v>
      </c>
      <c r="AK325" s="83" t="str">
        <f>HYPERLINK("https://yt3.ggpht.com/ytc/AOPolaTuTiBFdnklObYVs2qp5kC_f1ir-99uW8-F1iKNHDs=s88-c-k-c0x00ffffff-no-rj")</f>
        <v>https://yt3.ggpht.com/ytc/AOPolaTuTiBFdnklObYVs2qp5kC_f1ir-99uW8-F1iKNHDs=s88-c-k-c0x00ffffff-no-rj</v>
      </c>
      <c r="AL325" s="81">
        <v>0</v>
      </c>
      <c r="AM325" s="81">
        <v>0</v>
      </c>
      <c r="AN325" s="81">
        <v>0</v>
      </c>
      <c r="AO325" s="81" t="b">
        <v>0</v>
      </c>
      <c r="AP325" s="81">
        <v>0</v>
      </c>
      <c r="AQ325" s="81"/>
      <c r="AR325" s="81"/>
      <c r="AS325" s="81" t="s">
        <v>2571</v>
      </c>
      <c r="AT325" s="83" t="str">
        <f>HYPERLINK("https://www.youtube.com/channel/UCJOKlAVIaKm625Qa1D3apdg")</f>
        <v>https://www.youtube.com/channel/UCJOKlAVIaKm625Qa1D3apdg</v>
      </c>
      <c r="AU325" s="81">
        <v>1</v>
      </c>
      <c r="AV325" s="49">
        <v>1</v>
      </c>
      <c r="AW325" s="50">
        <v>12.5</v>
      </c>
      <c r="AX325" s="49">
        <v>0</v>
      </c>
      <c r="AY325" s="50">
        <v>0</v>
      </c>
      <c r="AZ325" s="49">
        <v>0</v>
      </c>
      <c r="BA325" s="50">
        <v>0</v>
      </c>
      <c r="BB325" s="49">
        <v>4</v>
      </c>
      <c r="BC325" s="50">
        <v>50</v>
      </c>
      <c r="BD325" s="49">
        <v>8</v>
      </c>
      <c r="BE325" s="49"/>
      <c r="BF325" s="49"/>
      <c r="BG325" s="49"/>
      <c r="BH325" s="49"/>
      <c r="BI325" s="49"/>
      <c r="BJ325" s="49"/>
      <c r="BK325" s="115" t="s">
        <v>2861</v>
      </c>
      <c r="BL325" s="115" t="s">
        <v>2861</v>
      </c>
      <c r="BM325" s="115" t="s">
        <v>3318</v>
      </c>
      <c r="BN325" s="115" t="s">
        <v>3318</v>
      </c>
      <c r="BO325" s="2"/>
      <c r="BP325" s="3"/>
      <c r="BQ325" s="3"/>
      <c r="BR325" s="3"/>
      <c r="BS325" s="3"/>
    </row>
    <row r="326" spans="1:71" ht="15">
      <c r="A326" s="66" t="s">
        <v>543</v>
      </c>
      <c r="B326" s="67"/>
      <c r="C326" s="67"/>
      <c r="D326" s="68">
        <v>150</v>
      </c>
      <c r="E326" s="70"/>
      <c r="F326" s="102" t="str">
        <f>HYPERLINK("https://yt3.ggpht.com/ytc/AOPolaSZEKVIFnzMpAZNP7JVv9J69u53YRJzhVCWbUdA2g=s88-c-k-c0x00ffffff-no-rj")</f>
        <v>https://yt3.ggpht.com/ytc/AOPolaSZEKVIFnzMpAZNP7JVv9J69u53YRJzhVCWbUdA2g=s88-c-k-c0x00ffffff-no-rj</v>
      </c>
      <c r="G326" s="67"/>
      <c r="H326" s="71" t="s">
        <v>1616</v>
      </c>
      <c r="I326" s="72"/>
      <c r="J326" s="72" t="s">
        <v>159</v>
      </c>
      <c r="K326" s="71" t="s">
        <v>1616</v>
      </c>
      <c r="L326" s="75">
        <v>1</v>
      </c>
      <c r="M326" s="76">
        <v>4461.59912109375</v>
      </c>
      <c r="N326" s="76">
        <v>7781.7373046875</v>
      </c>
      <c r="O326" s="77"/>
      <c r="P326" s="78"/>
      <c r="Q326" s="78"/>
      <c r="R326" s="88"/>
      <c r="S326" s="49">
        <v>0</v>
      </c>
      <c r="T326" s="49">
        <v>1</v>
      </c>
      <c r="U326" s="50">
        <v>0</v>
      </c>
      <c r="V326" s="50">
        <v>0.177728</v>
      </c>
      <c r="W326" s="50">
        <v>0.049759</v>
      </c>
      <c r="X326" s="50">
        <v>0.001579</v>
      </c>
      <c r="Y326" s="50">
        <v>0</v>
      </c>
      <c r="Z326" s="50">
        <v>0</v>
      </c>
      <c r="AA326" s="73">
        <v>326</v>
      </c>
      <c r="AB326" s="73"/>
      <c r="AC326" s="74"/>
      <c r="AD326" s="81" t="s">
        <v>1616</v>
      </c>
      <c r="AE326" s="81"/>
      <c r="AF326" s="81"/>
      <c r="AG326" s="81"/>
      <c r="AH326" s="81"/>
      <c r="AI326" s="81" t="s">
        <v>2342</v>
      </c>
      <c r="AJ326" s="85">
        <v>41476.1469212963</v>
      </c>
      <c r="AK326" s="83" t="str">
        <f>HYPERLINK("https://yt3.ggpht.com/ytc/AOPolaSZEKVIFnzMpAZNP7JVv9J69u53YRJzhVCWbUdA2g=s88-c-k-c0x00ffffff-no-rj")</f>
        <v>https://yt3.ggpht.com/ytc/AOPolaSZEKVIFnzMpAZNP7JVv9J69u53YRJzhVCWbUdA2g=s88-c-k-c0x00ffffff-no-rj</v>
      </c>
      <c r="AL326" s="81">
        <v>0</v>
      </c>
      <c r="AM326" s="81">
        <v>0</v>
      </c>
      <c r="AN326" s="81">
        <v>0</v>
      </c>
      <c r="AO326" s="81" t="b">
        <v>0</v>
      </c>
      <c r="AP326" s="81">
        <v>0</v>
      </c>
      <c r="AQ326" s="81"/>
      <c r="AR326" s="81"/>
      <c r="AS326" s="81" t="s">
        <v>2571</v>
      </c>
      <c r="AT326" s="83" t="str">
        <f>HYPERLINK("https://www.youtube.com/channel/UCcN_x86Rnu0epComA-hiO8w")</f>
        <v>https://www.youtube.com/channel/UCcN_x86Rnu0epComA-hiO8w</v>
      </c>
      <c r="AU326" s="81">
        <v>1</v>
      </c>
      <c r="AV326" s="49">
        <v>1</v>
      </c>
      <c r="AW326" s="50">
        <v>3.125</v>
      </c>
      <c r="AX326" s="49">
        <v>0</v>
      </c>
      <c r="AY326" s="50">
        <v>0</v>
      </c>
      <c r="AZ326" s="49">
        <v>0</v>
      </c>
      <c r="BA326" s="50">
        <v>0</v>
      </c>
      <c r="BB326" s="49">
        <v>7</v>
      </c>
      <c r="BC326" s="50">
        <v>21.875</v>
      </c>
      <c r="BD326" s="49">
        <v>32</v>
      </c>
      <c r="BE326" s="49"/>
      <c r="BF326" s="49"/>
      <c r="BG326" s="49"/>
      <c r="BH326" s="49"/>
      <c r="BI326" s="49"/>
      <c r="BJ326" s="49"/>
      <c r="BK326" s="115" t="s">
        <v>2862</v>
      </c>
      <c r="BL326" s="115" t="s">
        <v>2862</v>
      </c>
      <c r="BM326" s="115" t="s">
        <v>3319</v>
      </c>
      <c r="BN326" s="115" t="s">
        <v>3319</v>
      </c>
      <c r="BO326" s="2"/>
      <c r="BP326" s="3"/>
      <c r="BQ326" s="3"/>
      <c r="BR326" s="3"/>
      <c r="BS326" s="3"/>
    </row>
    <row r="327" spans="1:71" ht="15">
      <c r="A327" s="66" t="s">
        <v>544</v>
      </c>
      <c r="B327" s="67"/>
      <c r="C327" s="67"/>
      <c r="D327" s="68">
        <v>150</v>
      </c>
      <c r="E327" s="70"/>
      <c r="F327" s="102" t="str">
        <f>HYPERLINK("https://yt3.ggpht.com/ytc/AOPolaQpwyBOZ8HK04hgLwC2oEzIBRIN-nLux-3_8g=s88-c-k-c0x00ffffff-no-rj")</f>
        <v>https://yt3.ggpht.com/ytc/AOPolaQpwyBOZ8HK04hgLwC2oEzIBRIN-nLux-3_8g=s88-c-k-c0x00ffffff-no-rj</v>
      </c>
      <c r="G327" s="67"/>
      <c r="H327" s="71" t="s">
        <v>1617</v>
      </c>
      <c r="I327" s="72"/>
      <c r="J327" s="72" t="s">
        <v>159</v>
      </c>
      <c r="K327" s="71" t="s">
        <v>1617</v>
      </c>
      <c r="L327" s="75">
        <v>1</v>
      </c>
      <c r="M327" s="76">
        <v>2241.166259765625</v>
      </c>
      <c r="N327" s="76">
        <v>5744.603515625</v>
      </c>
      <c r="O327" s="77"/>
      <c r="P327" s="78"/>
      <c r="Q327" s="78"/>
      <c r="R327" s="88"/>
      <c r="S327" s="49">
        <v>0</v>
      </c>
      <c r="T327" s="49">
        <v>1</v>
      </c>
      <c r="U327" s="50">
        <v>0</v>
      </c>
      <c r="V327" s="50">
        <v>0.177728</v>
      </c>
      <c r="W327" s="50">
        <v>0.049759</v>
      </c>
      <c r="X327" s="50">
        <v>0.001579</v>
      </c>
      <c r="Y327" s="50">
        <v>0</v>
      </c>
      <c r="Z327" s="50">
        <v>0</v>
      </c>
      <c r="AA327" s="73">
        <v>327</v>
      </c>
      <c r="AB327" s="73"/>
      <c r="AC327" s="74"/>
      <c r="AD327" s="81" t="s">
        <v>1617</v>
      </c>
      <c r="AE327" s="81"/>
      <c r="AF327" s="81"/>
      <c r="AG327" s="81"/>
      <c r="AH327" s="81"/>
      <c r="AI327" s="81" t="s">
        <v>2343</v>
      </c>
      <c r="AJ327" s="85">
        <v>44051.938726851855</v>
      </c>
      <c r="AK327" s="83" t="str">
        <f>HYPERLINK("https://yt3.ggpht.com/ytc/AOPolaQpwyBOZ8HK04hgLwC2oEzIBRIN-nLux-3_8g=s88-c-k-c0x00ffffff-no-rj")</f>
        <v>https://yt3.ggpht.com/ytc/AOPolaQpwyBOZ8HK04hgLwC2oEzIBRIN-nLux-3_8g=s88-c-k-c0x00ffffff-no-rj</v>
      </c>
      <c r="AL327" s="81">
        <v>0</v>
      </c>
      <c r="AM327" s="81">
        <v>0</v>
      </c>
      <c r="AN327" s="81">
        <v>3</v>
      </c>
      <c r="AO327" s="81" t="b">
        <v>0</v>
      </c>
      <c r="AP327" s="81">
        <v>0</v>
      </c>
      <c r="AQ327" s="81"/>
      <c r="AR327" s="81"/>
      <c r="AS327" s="81" t="s">
        <v>2571</v>
      </c>
      <c r="AT327" s="83" t="str">
        <f>HYPERLINK("https://www.youtube.com/channel/UCCRjdC3KoZxwvOGRyuqUHNA")</f>
        <v>https://www.youtube.com/channel/UCCRjdC3KoZxwvOGRyuqUHNA</v>
      </c>
      <c r="AU327" s="81">
        <v>1</v>
      </c>
      <c r="AV327" s="49">
        <v>1</v>
      </c>
      <c r="AW327" s="50">
        <v>3.4482758620689653</v>
      </c>
      <c r="AX327" s="49">
        <v>0</v>
      </c>
      <c r="AY327" s="50">
        <v>0</v>
      </c>
      <c r="AZ327" s="49">
        <v>0</v>
      </c>
      <c r="BA327" s="50">
        <v>0</v>
      </c>
      <c r="BB327" s="49">
        <v>6</v>
      </c>
      <c r="BC327" s="50">
        <v>20.689655172413794</v>
      </c>
      <c r="BD327" s="49">
        <v>29</v>
      </c>
      <c r="BE327" s="49"/>
      <c r="BF327" s="49"/>
      <c r="BG327" s="49"/>
      <c r="BH327" s="49"/>
      <c r="BI327" s="49"/>
      <c r="BJ327" s="49"/>
      <c r="BK327" s="115" t="s">
        <v>2863</v>
      </c>
      <c r="BL327" s="115" t="s">
        <v>2863</v>
      </c>
      <c r="BM327" s="115" t="s">
        <v>3320</v>
      </c>
      <c r="BN327" s="115" t="s">
        <v>3320</v>
      </c>
      <c r="BO327" s="2"/>
      <c r="BP327" s="3"/>
      <c r="BQ327" s="3"/>
      <c r="BR327" s="3"/>
      <c r="BS327" s="3"/>
    </row>
    <row r="328" spans="1:71" ht="15">
      <c r="A328" s="66" t="s">
        <v>545</v>
      </c>
      <c r="B328" s="67"/>
      <c r="C328" s="67"/>
      <c r="D328" s="68">
        <v>150</v>
      </c>
      <c r="E328" s="70"/>
      <c r="F328" s="102" t="str">
        <f>HYPERLINK("https://yt3.ggpht.com/ytc/AOPolaRd9vbYidRoOKqZO6c2sYgmcIF4mKHJoLNtyJV6=s88-c-k-c0x00ffffff-no-rj")</f>
        <v>https://yt3.ggpht.com/ytc/AOPolaRd9vbYidRoOKqZO6c2sYgmcIF4mKHJoLNtyJV6=s88-c-k-c0x00ffffff-no-rj</v>
      </c>
      <c r="G328" s="67"/>
      <c r="H328" s="71" t="s">
        <v>1618</v>
      </c>
      <c r="I328" s="72"/>
      <c r="J328" s="72" t="s">
        <v>159</v>
      </c>
      <c r="K328" s="71" t="s">
        <v>1618</v>
      </c>
      <c r="L328" s="75">
        <v>1</v>
      </c>
      <c r="M328" s="76">
        <v>4761.56298828125</v>
      </c>
      <c r="N328" s="76">
        <v>7987.66064453125</v>
      </c>
      <c r="O328" s="77"/>
      <c r="P328" s="78"/>
      <c r="Q328" s="78"/>
      <c r="R328" s="88"/>
      <c r="S328" s="49">
        <v>0</v>
      </c>
      <c r="T328" s="49">
        <v>1</v>
      </c>
      <c r="U328" s="50">
        <v>0</v>
      </c>
      <c r="V328" s="50">
        <v>0.177728</v>
      </c>
      <c r="W328" s="50">
        <v>0.049759</v>
      </c>
      <c r="X328" s="50">
        <v>0.001579</v>
      </c>
      <c r="Y328" s="50">
        <v>0</v>
      </c>
      <c r="Z328" s="50">
        <v>0</v>
      </c>
      <c r="AA328" s="73">
        <v>328</v>
      </c>
      <c r="AB328" s="73"/>
      <c r="AC328" s="74"/>
      <c r="AD328" s="81" t="s">
        <v>1618</v>
      </c>
      <c r="AE328" s="81"/>
      <c r="AF328" s="81"/>
      <c r="AG328" s="81"/>
      <c r="AH328" s="81"/>
      <c r="AI328" s="81" t="s">
        <v>2344</v>
      </c>
      <c r="AJ328" s="85">
        <v>41020.1875462963</v>
      </c>
      <c r="AK328" s="83" t="str">
        <f>HYPERLINK("https://yt3.ggpht.com/ytc/AOPolaRd9vbYidRoOKqZO6c2sYgmcIF4mKHJoLNtyJV6=s88-c-k-c0x00ffffff-no-rj")</f>
        <v>https://yt3.ggpht.com/ytc/AOPolaRd9vbYidRoOKqZO6c2sYgmcIF4mKHJoLNtyJV6=s88-c-k-c0x00ffffff-no-rj</v>
      </c>
      <c r="AL328" s="81">
        <v>0</v>
      </c>
      <c r="AM328" s="81">
        <v>0</v>
      </c>
      <c r="AN328" s="81">
        <v>0</v>
      </c>
      <c r="AO328" s="81" t="b">
        <v>0</v>
      </c>
      <c r="AP328" s="81">
        <v>0</v>
      </c>
      <c r="AQ328" s="81"/>
      <c r="AR328" s="81"/>
      <c r="AS328" s="81" t="s">
        <v>2571</v>
      </c>
      <c r="AT328" s="83" t="str">
        <f>HYPERLINK("https://www.youtube.com/channel/UCiKBcZH5WpqkNragUeGjbsw")</f>
        <v>https://www.youtube.com/channel/UCiKBcZH5WpqkNragUeGjbsw</v>
      </c>
      <c r="AU328" s="81">
        <v>1</v>
      </c>
      <c r="AV328" s="49">
        <v>4</v>
      </c>
      <c r="AW328" s="50">
        <v>14.285714285714286</v>
      </c>
      <c r="AX328" s="49">
        <v>1</v>
      </c>
      <c r="AY328" s="50">
        <v>3.5714285714285716</v>
      </c>
      <c r="AZ328" s="49">
        <v>0</v>
      </c>
      <c r="BA328" s="50">
        <v>0</v>
      </c>
      <c r="BB328" s="49">
        <v>7</v>
      </c>
      <c r="BC328" s="50">
        <v>25</v>
      </c>
      <c r="BD328" s="49">
        <v>28</v>
      </c>
      <c r="BE328" s="49"/>
      <c r="BF328" s="49"/>
      <c r="BG328" s="49"/>
      <c r="BH328" s="49"/>
      <c r="BI328" s="49"/>
      <c r="BJ328" s="49"/>
      <c r="BK328" s="115" t="s">
        <v>2864</v>
      </c>
      <c r="BL328" s="115" t="s">
        <v>2864</v>
      </c>
      <c r="BM328" s="115" t="s">
        <v>3321</v>
      </c>
      <c r="BN328" s="115" t="s">
        <v>3321</v>
      </c>
      <c r="BO328" s="2"/>
      <c r="BP328" s="3"/>
      <c r="BQ328" s="3"/>
      <c r="BR328" s="3"/>
      <c r="BS328" s="3"/>
    </row>
    <row r="329" spans="1:71" ht="15">
      <c r="A329" s="66" t="s">
        <v>546</v>
      </c>
      <c r="B329" s="67"/>
      <c r="C329" s="67"/>
      <c r="D329" s="68">
        <v>150</v>
      </c>
      <c r="E329" s="70"/>
      <c r="F329" s="102" t="str">
        <f>HYPERLINK("https://yt3.ggpht.com/ytc/AOPolaTS4n1IIY4M4nGMwNHUFP-35JQ5N_zDyNqFbBQVx28vv9EAAmf2LmRdiR9T-cD5=s88-c-k-c0x00ffffff-no-rj")</f>
        <v>https://yt3.ggpht.com/ytc/AOPolaTS4n1IIY4M4nGMwNHUFP-35JQ5N_zDyNqFbBQVx28vv9EAAmf2LmRdiR9T-cD5=s88-c-k-c0x00ffffff-no-rj</v>
      </c>
      <c r="G329" s="67"/>
      <c r="H329" s="71" t="s">
        <v>1619</v>
      </c>
      <c r="I329" s="72"/>
      <c r="J329" s="72" t="s">
        <v>159</v>
      </c>
      <c r="K329" s="71" t="s">
        <v>1619</v>
      </c>
      <c r="L329" s="75">
        <v>1</v>
      </c>
      <c r="M329" s="76">
        <v>1116.9691162109375</v>
      </c>
      <c r="N329" s="76">
        <v>8873.65234375</v>
      </c>
      <c r="O329" s="77"/>
      <c r="P329" s="78"/>
      <c r="Q329" s="78"/>
      <c r="R329" s="88"/>
      <c r="S329" s="49">
        <v>0</v>
      </c>
      <c r="T329" s="49">
        <v>1</v>
      </c>
      <c r="U329" s="50">
        <v>0</v>
      </c>
      <c r="V329" s="50">
        <v>0.177728</v>
      </c>
      <c r="W329" s="50">
        <v>0.049759</v>
      </c>
      <c r="X329" s="50">
        <v>0.001579</v>
      </c>
      <c r="Y329" s="50">
        <v>0</v>
      </c>
      <c r="Z329" s="50">
        <v>0</v>
      </c>
      <c r="AA329" s="73">
        <v>329</v>
      </c>
      <c r="AB329" s="73"/>
      <c r="AC329" s="74"/>
      <c r="AD329" s="81" t="s">
        <v>1619</v>
      </c>
      <c r="AE329" s="81"/>
      <c r="AF329" s="81"/>
      <c r="AG329" s="81"/>
      <c r="AH329" s="81"/>
      <c r="AI329" s="81" t="s">
        <v>2345</v>
      </c>
      <c r="AJ329" s="85">
        <v>44501.83336805556</v>
      </c>
      <c r="AK329" s="83" t="str">
        <f>HYPERLINK("https://yt3.ggpht.com/ytc/AOPolaTS4n1IIY4M4nGMwNHUFP-35JQ5N_zDyNqFbBQVx28vv9EAAmf2LmRdiR9T-cD5=s88-c-k-c0x00ffffff-no-rj")</f>
        <v>https://yt3.ggpht.com/ytc/AOPolaTS4n1IIY4M4nGMwNHUFP-35JQ5N_zDyNqFbBQVx28vv9EAAmf2LmRdiR9T-cD5=s88-c-k-c0x00ffffff-no-rj</v>
      </c>
      <c r="AL329" s="81">
        <v>0</v>
      </c>
      <c r="AM329" s="81">
        <v>0</v>
      </c>
      <c r="AN329" s="81">
        <v>2</v>
      </c>
      <c r="AO329" s="81" t="b">
        <v>0</v>
      </c>
      <c r="AP329" s="81">
        <v>0</v>
      </c>
      <c r="AQ329" s="81"/>
      <c r="AR329" s="81"/>
      <c r="AS329" s="81" t="s">
        <v>2571</v>
      </c>
      <c r="AT329" s="83" t="str">
        <f>HYPERLINK("https://www.youtube.com/channel/UCiZbT9iTYwv7qXCe91DBZyg")</f>
        <v>https://www.youtube.com/channel/UCiZbT9iTYwv7qXCe91DBZyg</v>
      </c>
      <c r="AU329" s="81">
        <v>1</v>
      </c>
      <c r="AV329" s="49">
        <v>0</v>
      </c>
      <c r="AW329" s="50">
        <v>0</v>
      </c>
      <c r="AX329" s="49">
        <v>1</v>
      </c>
      <c r="AY329" s="50">
        <v>4.761904761904762</v>
      </c>
      <c r="AZ329" s="49">
        <v>0</v>
      </c>
      <c r="BA329" s="50">
        <v>0</v>
      </c>
      <c r="BB329" s="49">
        <v>6</v>
      </c>
      <c r="BC329" s="50">
        <v>28.571428571428573</v>
      </c>
      <c r="BD329" s="49">
        <v>21</v>
      </c>
      <c r="BE329" s="49"/>
      <c r="BF329" s="49"/>
      <c r="BG329" s="49"/>
      <c r="BH329" s="49"/>
      <c r="BI329" s="49"/>
      <c r="BJ329" s="49"/>
      <c r="BK329" s="115" t="s">
        <v>2865</v>
      </c>
      <c r="BL329" s="115" t="s">
        <v>2865</v>
      </c>
      <c r="BM329" s="115" t="s">
        <v>3322</v>
      </c>
      <c r="BN329" s="115" t="s">
        <v>3322</v>
      </c>
      <c r="BO329" s="2"/>
      <c r="BP329" s="3"/>
      <c r="BQ329" s="3"/>
      <c r="BR329" s="3"/>
      <c r="BS329" s="3"/>
    </row>
    <row r="330" spans="1:71" ht="15">
      <c r="A330" s="66" t="s">
        <v>547</v>
      </c>
      <c r="B330" s="67"/>
      <c r="C330" s="67"/>
      <c r="D330" s="68">
        <v>150</v>
      </c>
      <c r="E330" s="70"/>
      <c r="F330" s="102" t="str">
        <f>HYPERLINK("https://yt3.ggpht.com/ytc/AOPolaTc8uvtRSf1U7itlfUsa6eaaQSXynIBdGdjxg=s88-c-k-c0x00ffffff-no-rj")</f>
        <v>https://yt3.ggpht.com/ytc/AOPolaTc8uvtRSf1U7itlfUsa6eaaQSXynIBdGdjxg=s88-c-k-c0x00ffffff-no-rj</v>
      </c>
      <c r="G330" s="67"/>
      <c r="H330" s="71" t="s">
        <v>1620</v>
      </c>
      <c r="I330" s="72"/>
      <c r="J330" s="72" t="s">
        <v>159</v>
      </c>
      <c r="K330" s="71" t="s">
        <v>1620</v>
      </c>
      <c r="L330" s="75">
        <v>1</v>
      </c>
      <c r="M330" s="76">
        <v>2830.6708984375</v>
      </c>
      <c r="N330" s="76">
        <v>4946.77587890625</v>
      </c>
      <c r="O330" s="77"/>
      <c r="P330" s="78"/>
      <c r="Q330" s="78"/>
      <c r="R330" s="88"/>
      <c r="S330" s="49">
        <v>0</v>
      </c>
      <c r="T330" s="49">
        <v>1</v>
      </c>
      <c r="U330" s="50">
        <v>0</v>
      </c>
      <c r="V330" s="50">
        <v>0.177728</v>
      </c>
      <c r="W330" s="50">
        <v>0.049759</v>
      </c>
      <c r="X330" s="50">
        <v>0.001579</v>
      </c>
      <c r="Y330" s="50">
        <v>0</v>
      </c>
      <c r="Z330" s="50">
        <v>0</v>
      </c>
      <c r="AA330" s="73">
        <v>330</v>
      </c>
      <c r="AB330" s="73"/>
      <c r="AC330" s="74"/>
      <c r="AD330" s="81" t="s">
        <v>1620</v>
      </c>
      <c r="AE330" s="81"/>
      <c r="AF330" s="81"/>
      <c r="AG330" s="81"/>
      <c r="AH330" s="81"/>
      <c r="AI330" s="81" t="s">
        <v>2346</v>
      </c>
      <c r="AJ330" s="85">
        <v>40106.23798611111</v>
      </c>
      <c r="AK330" s="83" t="str">
        <f>HYPERLINK("https://yt3.ggpht.com/ytc/AOPolaTc8uvtRSf1U7itlfUsa6eaaQSXynIBdGdjxg=s88-c-k-c0x00ffffff-no-rj")</f>
        <v>https://yt3.ggpht.com/ytc/AOPolaTc8uvtRSf1U7itlfUsa6eaaQSXynIBdGdjxg=s88-c-k-c0x00ffffff-no-rj</v>
      </c>
      <c r="AL330" s="81">
        <v>0</v>
      </c>
      <c r="AM330" s="81">
        <v>0</v>
      </c>
      <c r="AN330" s="81">
        <v>2</v>
      </c>
      <c r="AO330" s="81" t="b">
        <v>0</v>
      </c>
      <c r="AP330" s="81">
        <v>0</v>
      </c>
      <c r="AQ330" s="81"/>
      <c r="AR330" s="81"/>
      <c r="AS330" s="81" t="s">
        <v>2571</v>
      </c>
      <c r="AT330" s="83" t="str">
        <f>HYPERLINK("https://www.youtube.com/channel/UC4hEZySpsjWnQ8w_e7MXPCQ")</f>
        <v>https://www.youtube.com/channel/UC4hEZySpsjWnQ8w_e7MXPCQ</v>
      </c>
      <c r="AU330" s="81">
        <v>1</v>
      </c>
      <c r="AV330" s="49">
        <v>0</v>
      </c>
      <c r="AW330" s="50">
        <v>0</v>
      </c>
      <c r="AX330" s="49">
        <v>0</v>
      </c>
      <c r="AY330" s="50">
        <v>0</v>
      </c>
      <c r="AZ330" s="49">
        <v>0</v>
      </c>
      <c r="BA330" s="50">
        <v>0</v>
      </c>
      <c r="BB330" s="49">
        <v>2</v>
      </c>
      <c r="BC330" s="50">
        <v>28.571428571428573</v>
      </c>
      <c r="BD330" s="49">
        <v>7</v>
      </c>
      <c r="BE330" s="49"/>
      <c r="BF330" s="49"/>
      <c r="BG330" s="49"/>
      <c r="BH330" s="49"/>
      <c r="BI330" s="49"/>
      <c r="BJ330" s="49"/>
      <c r="BK330" s="115" t="s">
        <v>2866</v>
      </c>
      <c r="BL330" s="115" t="s">
        <v>2866</v>
      </c>
      <c r="BM330" s="115" t="s">
        <v>3323</v>
      </c>
      <c r="BN330" s="115" t="s">
        <v>3323</v>
      </c>
      <c r="BO330" s="2"/>
      <c r="BP330" s="3"/>
      <c r="BQ330" s="3"/>
      <c r="BR330" s="3"/>
      <c r="BS330" s="3"/>
    </row>
    <row r="331" spans="1:71" ht="15">
      <c r="A331" s="66" t="s">
        <v>548</v>
      </c>
      <c r="B331" s="67"/>
      <c r="C331" s="67"/>
      <c r="D331" s="68">
        <v>150</v>
      </c>
      <c r="E331" s="70"/>
      <c r="F331" s="102" t="str">
        <f>HYPERLINK("https://yt3.ggpht.com/ytc/AOPolaTFkek0fgYrQMZmblTljxLS5TxkC-mW60VWMA=s88-c-k-c0x00ffffff-no-rj")</f>
        <v>https://yt3.ggpht.com/ytc/AOPolaTFkek0fgYrQMZmblTljxLS5TxkC-mW60VWMA=s88-c-k-c0x00ffffff-no-rj</v>
      </c>
      <c r="G331" s="67"/>
      <c r="H331" s="71" t="s">
        <v>1621</v>
      </c>
      <c r="I331" s="72"/>
      <c r="J331" s="72" t="s">
        <v>159</v>
      </c>
      <c r="K331" s="71" t="s">
        <v>1621</v>
      </c>
      <c r="L331" s="75">
        <v>1</v>
      </c>
      <c r="M331" s="76">
        <v>3499.3564453125</v>
      </c>
      <c r="N331" s="76">
        <v>4936.34814453125</v>
      </c>
      <c r="O331" s="77"/>
      <c r="P331" s="78"/>
      <c r="Q331" s="78"/>
      <c r="R331" s="88"/>
      <c r="S331" s="49">
        <v>0</v>
      </c>
      <c r="T331" s="49">
        <v>1</v>
      </c>
      <c r="U331" s="50">
        <v>0</v>
      </c>
      <c r="V331" s="50">
        <v>0.177728</v>
      </c>
      <c r="W331" s="50">
        <v>0.049759</v>
      </c>
      <c r="X331" s="50">
        <v>0.001579</v>
      </c>
      <c r="Y331" s="50">
        <v>0</v>
      </c>
      <c r="Z331" s="50">
        <v>0</v>
      </c>
      <c r="AA331" s="73">
        <v>331</v>
      </c>
      <c r="AB331" s="73"/>
      <c r="AC331" s="74"/>
      <c r="AD331" s="81" t="s">
        <v>1621</v>
      </c>
      <c r="AE331" s="81"/>
      <c r="AF331" s="81"/>
      <c r="AG331" s="81"/>
      <c r="AH331" s="81"/>
      <c r="AI331" s="81" t="s">
        <v>2347</v>
      </c>
      <c r="AJ331" s="85">
        <v>42053.73732638889</v>
      </c>
      <c r="AK331" s="83" t="str">
        <f>HYPERLINK("https://yt3.ggpht.com/ytc/AOPolaTFkek0fgYrQMZmblTljxLS5TxkC-mW60VWMA=s88-c-k-c0x00ffffff-no-rj")</f>
        <v>https://yt3.ggpht.com/ytc/AOPolaTFkek0fgYrQMZmblTljxLS5TxkC-mW60VWMA=s88-c-k-c0x00ffffff-no-rj</v>
      </c>
      <c r="AL331" s="81">
        <v>0</v>
      </c>
      <c r="AM331" s="81">
        <v>0</v>
      </c>
      <c r="AN331" s="81">
        <v>12</v>
      </c>
      <c r="AO331" s="81" t="b">
        <v>0</v>
      </c>
      <c r="AP331" s="81">
        <v>0</v>
      </c>
      <c r="AQ331" s="81"/>
      <c r="AR331" s="81"/>
      <c r="AS331" s="81" t="s">
        <v>2571</v>
      </c>
      <c r="AT331" s="83" t="str">
        <f>HYPERLINK("https://www.youtube.com/channel/UClPbFK_pUry7uOztIDXTzFA")</f>
        <v>https://www.youtube.com/channel/UClPbFK_pUry7uOztIDXTzFA</v>
      </c>
      <c r="AU331" s="81">
        <v>1</v>
      </c>
      <c r="AV331" s="49">
        <v>0</v>
      </c>
      <c r="AW331" s="50">
        <v>0</v>
      </c>
      <c r="AX331" s="49">
        <v>0</v>
      </c>
      <c r="AY331" s="50">
        <v>0</v>
      </c>
      <c r="AZ331" s="49">
        <v>0</v>
      </c>
      <c r="BA331" s="50">
        <v>0</v>
      </c>
      <c r="BB331" s="49">
        <v>2</v>
      </c>
      <c r="BC331" s="50">
        <v>40</v>
      </c>
      <c r="BD331" s="49">
        <v>5</v>
      </c>
      <c r="BE331" s="49"/>
      <c r="BF331" s="49"/>
      <c r="BG331" s="49"/>
      <c r="BH331" s="49"/>
      <c r="BI331" s="49"/>
      <c r="BJ331" s="49"/>
      <c r="BK331" s="115" t="s">
        <v>2867</v>
      </c>
      <c r="BL331" s="115" t="s">
        <v>2867</v>
      </c>
      <c r="BM331" s="115" t="s">
        <v>3324</v>
      </c>
      <c r="BN331" s="115" t="s">
        <v>3324</v>
      </c>
      <c r="BO331" s="2"/>
      <c r="BP331" s="3"/>
      <c r="BQ331" s="3"/>
      <c r="BR331" s="3"/>
      <c r="BS331" s="3"/>
    </row>
    <row r="332" spans="1:71" ht="15">
      <c r="A332" s="66" t="s">
        <v>549</v>
      </c>
      <c r="B332" s="67"/>
      <c r="C332" s="67"/>
      <c r="D332" s="68">
        <v>150</v>
      </c>
      <c r="E332" s="70"/>
      <c r="F332" s="102" t="str">
        <f>HYPERLINK("https://yt3.ggpht.com/ytc/AOPolaRGG8pfE0RXB_w1Vo7ubD3Hobk9hb6bKyHOYA=s88-c-k-c0x00ffffff-no-rj")</f>
        <v>https://yt3.ggpht.com/ytc/AOPolaRGG8pfE0RXB_w1Vo7ubD3Hobk9hb6bKyHOYA=s88-c-k-c0x00ffffff-no-rj</v>
      </c>
      <c r="G332" s="67"/>
      <c r="H332" s="71" t="s">
        <v>1622</v>
      </c>
      <c r="I332" s="72"/>
      <c r="J332" s="72" t="s">
        <v>159</v>
      </c>
      <c r="K332" s="71" t="s">
        <v>1622</v>
      </c>
      <c r="L332" s="75">
        <v>1</v>
      </c>
      <c r="M332" s="76">
        <v>1553.081298828125</v>
      </c>
      <c r="N332" s="76">
        <v>5172.98388671875</v>
      </c>
      <c r="O332" s="77"/>
      <c r="P332" s="78"/>
      <c r="Q332" s="78"/>
      <c r="R332" s="88"/>
      <c r="S332" s="49">
        <v>0</v>
      </c>
      <c r="T332" s="49">
        <v>1</v>
      </c>
      <c r="U332" s="50">
        <v>0</v>
      </c>
      <c r="V332" s="50">
        <v>0.177728</v>
      </c>
      <c r="W332" s="50">
        <v>0.049759</v>
      </c>
      <c r="X332" s="50">
        <v>0.001579</v>
      </c>
      <c r="Y332" s="50">
        <v>0</v>
      </c>
      <c r="Z332" s="50">
        <v>0</v>
      </c>
      <c r="AA332" s="73">
        <v>332</v>
      </c>
      <c r="AB332" s="73"/>
      <c r="AC332" s="74"/>
      <c r="AD332" s="81" t="s">
        <v>1622</v>
      </c>
      <c r="AE332" s="81"/>
      <c r="AF332" s="81"/>
      <c r="AG332" s="81"/>
      <c r="AH332" s="81"/>
      <c r="AI332" s="81" t="s">
        <v>2348</v>
      </c>
      <c r="AJ332" s="85">
        <v>42559.303506944445</v>
      </c>
      <c r="AK332" s="83" t="str">
        <f>HYPERLINK("https://yt3.ggpht.com/ytc/AOPolaRGG8pfE0RXB_w1Vo7ubD3Hobk9hb6bKyHOYA=s88-c-k-c0x00ffffff-no-rj")</f>
        <v>https://yt3.ggpht.com/ytc/AOPolaRGG8pfE0RXB_w1Vo7ubD3Hobk9hb6bKyHOYA=s88-c-k-c0x00ffffff-no-rj</v>
      </c>
      <c r="AL332" s="81">
        <v>0</v>
      </c>
      <c r="AM332" s="81">
        <v>0</v>
      </c>
      <c r="AN332" s="81">
        <v>4</v>
      </c>
      <c r="AO332" s="81" t="b">
        <v>0</v>
      </c>
      <c r="AP332" s="81">
        <v>0</v>
      </c>
      <c r="AQ332" s="81"/>
      <c r="AR332" s="81"/>
      <c r="AS332" s="81" t="s">
        <v>2571</v>
      </c>
      <c r="AT332" s="83" t="str">
        <f>HYPERLINK("https://www.youtube.com/channel/UCmPPPh4m4vMf0NrkaK5xAhg")</f>
        <v>https://www.youtube.com/channel/UCmPPPh4m4vMf0NrkaK5xAhg</v>
      </c>
      <c r="AU332" s="81">
        <v>1</v>
      </c>
      <c r="AV332" s="49">
        <v>0</v>
      </c>
      <c r="AW332" s="50">
        <v>0</v>
      </c>
      <c r="AX332" s="49">
        <v>2</v>
      </c>
      <c r="AY332" s="50">
        <v>14.285714285714286</v>
      </c>
      <c r="AZ332" s="49">
        <v>0</v>
      </c>
      <c r="BA332" s="50">
        <v>0</v>
      </c>
      <c r="BB332" s="49">
        <v>5</v>
      </c>
      <c r="BC332" s="50">
        <v>35.714285714285715</v>
      </c>
      <c r="BD332" s="49">
        <v>14</v>
      </c>
      <c r="BE332" s="49"/>
      <c r="BF332" s="49"/>
      <c r="BG332" s="49"/>
      <c r="BH332" s="49"/>
      <c r="BI332" s="49"/>
      <c r="BJ332" s="49"/>
      <c r="BK332" s="115" t="s">
        <v>2868</v>
      </c>
      <c r="BL332" s="115" t="s">
        <v>2868</v>
      </c>
      <c r="BM332" s="115" t="s">
        <v>3325</v>
      </c>
      <c r="BN332" s="115" t="s">
        <v>3325</v>
      </c>
      <c r="BO332" s="2"/>
      <c r="BP332" s="3"/>
      <c r="BQ332" s="3"/>
      <c r="BR332" s="3"/>
      <c r="BS332" s="3"/>
    </row>
    <row r="333" spans="1:71" ht="15">
      <c r="A333" s="66" t="s">
        <v>550</v>
      </c>
      <c r="B333" s="67"/>
      <c r="C333" s="67"/>
      <c r="D333" s="68">
        <v>150</v>
      </c>
      <c r="E333" s="70"/>
      <c r="F333" s="102" t="str">
        <f>HYPERLINK("https://yt3.ggpht.com/ytc/AOPolaRnda4ttPpI156Ve_J73tSpIAC6o1pJh_ynMg=s88-c-k-c0x00ffffff-no-rj")</f>
        <v>https://yt3.ggpht.com/ytc/AOPolaRnda4ttPpI156Ve_J73tSpIAC6o1pJh_ynMg=s88-c-k-c0x00ffffff-no-rj</v>
      </c>
      <c r="G333" s="67"/>
      <c r="H333" s="71" t="s">
        <v>1623</v>
      </c>
      <c r="I333" s="72"/>
      <c r="J333" s="72" t="s">
        <v>159</v>
      </c>
      <c r="K333" s="71" t="s">
        <v>1623</v>
      </c>
      <c r="L333" s="75">
        <v>1</v>
      </c>
      <c r="M333" s="76">
        <v>3868.65966796875</v>
      </c>
      <c r="N333" s="76">
        <v>6149.22705078125</v>
      </c>
      <c r="O333" s="77"/>
      <c r="P333" s="78"/>
      <c r="Q333" s="78"/>
      <c r="R333" s="88"/>
      <c r="S333" s="49">
        <v>0</v>
      </c>
      <c r="T333" s="49">
        <v>1</v>
      </c>
      <c r="U333" s="50">
        <v>0</v>
      </c>
      <c r="V333" s="50">
        <v>0.177728</v>
      </c>
      <c r="W333" s="50">
        <v>0.049759</v>
      </c>
      <c r="X333" s="50">
        <v>0.001579</v>
      </c>
      <c r="Y333" s="50">
        <v>0</v>
      </c>
      <c r="Z333" s="50">
        <v>0</v>
      </c>
      <c r="AA333" s="73">
        <v>333</v>
      </c>
      <c r="AB333" s="73"/>
      <c r="AC333" s="74"/>
      <c r="AD333" s="81" t="s">
        <v>1623</v>
      </c>
      <c r="AE333" s="81"/>
      <c r="AF333" s="81"/>
      <c r="AG333" s="81"/>
      <c r="AH333" s="81"/>
      <c r="AI333" s="81" t="s">
        <v>2349</v>
      </c>
      <c r="AJ333" s="85">
        <v>43292.24159722222</v>
      </c>
      <c r="AK333" s="83" t="str">
        <f>HYPERLINK("https://yt3.ggpht.com/ytc/AOPolaRnda4ttPpI156Ve_J73tSpIAC6o1pJh_ynMg=s88-c-k-c0x00ffffff-no-rj")</f>
        <v>https://yt3.ggpht.com/ytc/AOPolaRnda4ttPpI156Ve_J73tSpIAC6o1pJh_ynMg=s88-c-k-c0x00ffffff-no-rj</v>
      </c>
      <c r="AL333" s="81">
        <v>0</v>
      </c>
      <c r="AM333" s="81">
        <v>0</v>
      </c>
      <c r="AN333" s="81">
        <v>5</v>
      </c>
      <c r="AO333" s="81" t="b">
        <v>0</v>
      </c>
      <c r="AP333" s="81">
        <v>0</v>
      </c>
      <c r="AQ333" s="81"/>
      <c r="AR333" s="81"/>
      <c r="AS333" s="81" t="s">
        <v>2571</v>
      </c>
      <c r="AT333" s="83" t="str">
        <f>HYPERLINK("https://www.youtube.com/channel/UCKyt0UeInvKMc7fjxiaWXUw")</f>
        <v>https://www.youtube.com/channel/UCKyt0UeInvKMc7fjxiaWXUw</v>
      </c>
      <c r="AU333" s="81">
        <v>1</v>
      </c>
      <c r="AV333" s="49">
        <v>0</v>
      </c>
      <c r="AW333" s="50">
        <v>0</v>
      </c>
      <c r="AX333" s="49">
        <v>0</v>
      </c>
      <c r="AY333" s="50">
        <v>0</v>
      </c>
      <c r="AZ333" s="49">
        <v>0</v>
      </c>
      <c r="BA333" s="50">
        <v>0</v>
      </c>
      <c r="BB333" s="49">
        <v>1</v>
      </c>
      <c r="BC333" s="50">
        <v>100</v>
      </c>
      <c r="BD333" s="49">
        <v>1</v>
      </c>
      <c r="BE333" s="49"/>
      <c r="BF333" s="49"/>
      <c r="BG333" s="49"/>
      <c r="BH333" s="49"/>
      <c r="BI333" s="49"/>
      <c r="BJ333" s="49"/>
      <c r="BK333" s="115" t="s">
        <v>2869</v>
      </c>
      <c r="BL333" s="115" t="s">
        <v>2869</v>
      </c>
      <c r="BM333" s="115" t="s">
        <v>4477</v>
      </c>
      <c r="BN333" s="115" t="s">
        <v>4477</v>
      </c>
      <c r="BO333" s="2"/>
      <c r="BP333" s="3"/>
      <c r="BQ333" s="3"/>
      <c r="BR333" s="3"/>
      <c r="BS333" s="3"/>
    </row>
    <row r="334" spans="1:71" ht="15">
      <c r="A334" s="66" t="s">
        <v>551</v>
      </c>
      <c r="B334" s="67"/>
      <c r="C334" s="67"/>
      <c r="D334" s="68">
        <v>150</v>
      </c>
      <c r="E334" s="70"/>
      <c r="F334" s="102" t="str">
        <f>HYPERLINK("https://yt3.ggpht.com/ytc/AOPolaTF7cEJftxU3PtqvQyPPTsvmgJBt1c0FtIxPQ=s88-c-k-c0x00ffffff-no-rj")</f>
        <v>https://yt3.ggpht.com/ytc/AOPolaTF7cEJftxU3PtqvQyPPTsvmgJBt1c0FtIxPQ=s88-c-k-c0x00ffffff-no-rj</v>
      </c>
      <c r="G334" s="67"/>
      <c r="H334" s="71" t="s">
        <v>1624</v>
      </c>
      <c r="I334" s="72"/>
      <c r="J334" s="72" t="s">
        <v>159</v>
      </c>
      <c r="K334" s="71" t="s">
        <v>1624</v>
      </c>
      <c r="L334" s="75">
        <v>1</v>
      </c>
      <c r="M334" s="76">
        <v>693.2864990234375</v>
      </c>
      <c r="N334" s="76">
        <v>8249.5107421875</v>
      </c>
      <c r="O334" s="77"/>
      <c r="P334" s="78"/>
      <c r="Q334" s="78"/>
      <c r="R334" s="88"/>
      <c r="S334" s="49">
        <v>0</v>
      </c>
      <c r="T334" s="49">
        <v>1</v>
      </c>
      <c r="U334" s="50">
        <v>0</v>
      </c>
      <c r="V334" s="50">
        <v>0.177728</v>
      </c>
      <c r="W334" s="50">
        <v>0.049759</v>
      </c>
      <c r="X334" s="50">
        <v>0.001579</v>
      </c>
      <c r="Y334" s="50">
        <v>0</v>
      </c>
      <c r="Z334" s="50">
        <v>0</v>
      </c>
      <c r="AA334" s="73">
        <v>334</v>
      </c>
      <c r="AB334" s="73"/>
      <c r="AC334" s="74"/>
      <c r="AD334" s="81" t="s">
        <v>1624</v>
      </c>
      <c r="AE334" s="81"/>
      <c r="AF334" s="81"/>
      <c r="AG334" s="81"/>
      <c r="AH334" s="81"/>
      <c r="AI334" s="81" t="s">
        <v>2350</v>
      </c>
      <c r="AJ334" s="85">
        <v>41843.242002314815</v>
      </c>
      <c r="AK334" s="83" t="str">
        <f>HYPERLINK("https://yt3.ggpht.com/ytc/AOPolaTF7cEJftxU3PtqvQyPPTsvmgJBt1c0FtIxPQ=s88-c-k-c0x00ffffff-no-rj")</f>
        <v>https://yt3.ggpht.com/ytc/AOPolaTF7cEJftxU3PtqvQyPPTsvmgJBt1c0FtIxPQ=s88-c-k-c0x00ffffff-no-rj</v>
      </c>
      <c r="AL334" s="81">
        <v>6</v>
      </c>
      <c r="AM334" s="81">
        <v>0</v>
      </c>
      <c r="AN334" s="81">
        <v>0</v>
      </c>
      <c r="AO334" s="81" t="b">
        <v>0</v>
      </c>
      <c r="AP334" s="81">
        <v>4</v>
      </c>
      <c r="AQ334" s="81"/>
      <c r="AR334" s="81"/>
      <c r="AS334" s="81" t="s">
        <v>2571</v>
      </c>
      <c r="AT334" s="83" t="str">
        <f>HYPERLINK("https://www.youtube.com/channel/UCMPWTMZirc5o6tTUlxlUX_w")</f>
        <v>https://www.youtube.com/channel/UCMPWTMZirc5o6tTUlxlUX_w</v>
      </c>
      <c r="AU334" s="81">
        <v>1</v>
      </c>
      <c r="AV334" s="49">
        <v>0</v>
      </c>
      <c r="AW334" s="50">
        <v>0</v>
      </c>
      <c r="AX334" s="49">
        <v>0</v>
      </c>
      <c r="AY334" s="50">
        <v>0</v>
      </c>
      <c r="AZ334" s="49">
        <v>0</v>
      </c>
      <c r="BA334" s="50">
        <v>0</v>
      </c>
      <c r="BB334" s="49">
        <v>0</v>
      </c>
      <c r="BC334" s="50">
        <v>0</v>
      </c>
      <c r="BD334" s="49">
        <v>2</v>
      </c>
      <c r="BE334" s="49"/>
      <c r="BF334" s="49"/>
      <c r="BG334" s="49"/>
      <c r="BH334" s="49"/>
      <c r="BI334" s="49"/>
      <c r="BJ334" s="49"/>
      <c r="BK334" s="115" t="s">
        <v>4477</v>
      </c>
      <c r="BL334" s="115" t="s">
        <v>4477</v>
      </c>
      <c r="BM334" s="115" t="s">
        <v>4477</v>
      </c>
      <c r="BN334" s="115" t="s">
        <v>4477</v>
      </c>
      <c r="BO334" s="2"/>
      <c r="BP334" s="3"/>
      <c r="BQ334" s="3"/>
      <c r="BR334" s="3"/>
      <c r="BS334" s="3"/>
    </row>
    <row r="335" spans="1:71" ht="15">
      <c r="A335" s="66" t="s">
        <v>552</v>
      </c>
      <c r="B335" s="67"/>
      <c r="C335" s="67"/>
      <c r="D335" s="68">
        <v>150</v>
      </c>
      <c r="E335" s="70"/>
      <c r="F335" s="102" t="str">
        <f>HYPERLINK("https://yt3.ggpht.com/ytc/AOPolaTs3DC1GuItBkJr8HsZ5o7jX7Wajto0loFTy0AdjQ=s88-c-k-c0x00ffffff-no-rj")</f>
        <v>https://yt3.ggpht.com/ytc/AOPolaTs3DC1GuItBkJr8HsZ5o7jX7Wajto0loFTy0AdjQ=s88-c-k-c0x00ffffff-no-rj</v>
      </c>
      <c r="G335" s="67"/>
      <c r="H335" s="71" t="s">
        <v>1625</v>
      </c>
      <c r="I335" s="72"/>
      <c r="J335" s="72" t="s">
        <v>159</v>
      </c>
      <c r="K335" s="71" t="s">
        <v>1625</v>
      </c>
      <c r="L335" s="75">
        <v>1</v>
      </c>
      <c r="M335" s="76">
        <v>228.3744659423828</v>
      </c>
      <c r="N335" s="76">
        <v>7101.8447265625</v>
      </c>
      <c r="O335" s="77"/>
      <c r="P335" s="78"/>
      <c r="Q335" s="78"/>
      <c r="R335" s="88"/>
      <c r="S335" s="49">
        <v>0</v>
      </c>
      <c r="T335" s="49">
        <v>1</v>
      </c>
      <c r="U335" s="50">
        <v>0</v>
      </c>
      <c r="V335" s="50">
        <v>0.177728</v>
      </c>
      <c r="W335" s="50">
        <v>0.049759</v>
      </c>
      <c r="X335" s="50">
        <v>0.001579</v>
      </c>
      <c r="Y335" s="50">
        <v>0</v>
      </c>
      <c r="Z335" s="50">
        <v>0</v>
      </c>
      <c r="AA335" s="73">
        <v>335</v>
      </c>
      <c r="AB335" s="73"/>
      <c r="AC335" s="74"/>
      <c r="AD335" s="81" t="s">
        <v>1625</v>
      </c>
      <c r="AE335" s="81"/>
      <c r="AF335" s="81"/>
      <c r="AG335" s="81"/>
      <c r="AH335" s="81"/>
      <c r="AI335" s="81" t="s">
        <v>2351</v>
      </c>
      <c r="AJ335" s="85">
        <v>40828.33237268519</v>
      </c>
      <c r="AK335" s="83" t="str">
        <f>HYPERLINK("https://yt3.ggpht.com/ytc/AOPolaTs3DC1GuItBkJr8HsZ5o7jX7Wajto0loFTy0AdjQ=s88-c-k-c0x00ffffff-no-rj")</f>
        <v>https://yt3.ggpht.com/ytc/AOPolaTs3DC1GuItBkJr8HsZ5o7jX7Wajto0loFTy0AdjQ=s88-c-k-c0x00ffffff-no-rj</v>
      </c>
      <c r="AL335" s="81">
        <v>0</v>
      </c>
      <c r="AM335" s="81">
        <v>0</v>
      </c>
      <c r="AN335" s="81">
        <v>0</v>
      </c>
      <c r="AO335" s="81" t="b">
        <v>0</v>
      </c>
      <c r="AP335" s="81">
        <v>0</v>
      </c>
      <c r="AQ335" s="81"/>
      <c r="AR335" s="81"/>
      <c r="AS335" s="81" t="s">
        <v>2571</v>
      </c>
      <c r="AT335" s="83" t="str">
        <f>HYPERLINK("https://www.youtube.com/channel/UCW81PJj55yOXCVzFUNjJW8Q")</f>
        <v>https://www.youtube.com/channel/UCW81PJj55yOXCVzFUNjJW8Q</v>
      </c>
      <c r="AU335" s="81">
        <v>1</v>
      </c>
      <c r="AV335" s="49">
        <v>0</v>
      </c>
      <c r="AW335" s="50">
        <v>0</v>
      </c>
      <c r="AX335" s="49">
        <v>0</v>
      </c>
      <c r="AY335" s="50">
        <v>0</v>
      </c>
      <c r="AZ335" s="49">
        <v>0</v>
      </c>
      <c r="BA335" s="50">
        <v>0</v>
      </c>
      <c r="BB335" s="49">
        <v>6</v>
      </c>
      <c r="BC335" s="50">
        <v>60</v>
      </c>
      <c r="BD335" s="49">
        <v>10</v>
      </c>
      <c r="BE335" s="49"/>
      <c r="BF335" s="49"/>
      <c r="BG335" s="49"/>
      <c r="BH335" s="49"/>
      <c r="BI335" s="49"/>
      <c r="BJ335" s="49"/>
      <c r="BK335" s="115" t="s">
        <v>2870</v>
      </c>
      <c r="BL335" s="115" t="s">
        <v>2870</v>
      </c>
      <c r="BM335" s="115" t="s">
        <v>3326</v>
      </c>
      <c r="BN335" s="115" t="s">
        <v>3326</v>
      </c>
      <c r="BO335" s="2"/>
      <c r="BP335" s="3"/>
      <c r="BQ335" s="3"/>
      <c r="BR335" s="3"/>
      <c r="BS335" s="3"/>
    </row>
    <row r="336" spans="1:71" ht="15">
      <c r="A336" s="66" t="s">
        <v>553</v>
      </c>
      <c r="B336" s="67"/>
      <c r="C336" s="67"/>
      <c r="D336" s="68">
        <v>150</v>
      </c>
      <c r="E336" s="70"/>
      <c r="F336" s="102" t="str">
        <f>HYPERLINK("https://yt3.ggpht.com/p917v36wp4paGfA2MRTyLXKZC5I4mo1LTpX0dqAXS0dHx9ko5bxfnsib4MnrTTYQpZoYVkhzig=s88-c-k-c0x00ffffff-no-rj")</f>
        <v>https://yt3.ggpht.com/p917v36wp4paGfA2MRTyLXKZC5I4mo1LTpX0dqAXS0dHx9ko5bxfnsib4MnrTTYQpZoYVkhzig=s88-c-k-c0x00ffffff-no-rj</v>
      </c>
      <c r="G336" s="67"/>
      <c r="H336" s="71" t="s">
        <v>1626</v>
      </c>
      <c r="I336" s="72"/>
      <c r="J336" s="72" t="s">
        <v>159</v>
      </c>
      <c r="K336" s="71" t="s">
        <v>1626</v>
      </c>
      <c r="L336" s="75">
        <v>1</v>
      </c>
      <c r="M336" s="76">
        <v>3091.712890625</v>
      </c>
      <c r="N336" s="76">
        <v>5904.97607421875</v>
      </c>
      <c r="O336" s="77"/>
      <c r="P336" s="78"/>
      <c r="Q336" s="78"/>
      <c r="R336" s="88"/>
      <c r="S336" s="49">
        <v>0</v>
      </c>
      <c r="T336" s="49">
        <v>1</v>
      </c>
      <c r="U336" s="50">
        <v>0</v>
      </c>
      <c r="V336" s="50">
        <v>0.177728</v>
      </c>
      <c r="W336" s="50">
        <v>0.049759</v>
      </c>
      <c r="X336" s="50">
        <v>0.001579</v>
      </c>
      <c r="Y336" s="50">
        <v>0</v>
      </c>
      <c r="Z336" s="50">
        <v>0</v>
      </c>
      <c r="AA336" s="73">
        <v>336</v>
      </c>
      <c r="AB336" s="73"/>
      <c r="AC336" s="74"/>
      <c r="AD336" s="81" t="s">
        <v>1626</v>
      </c>
      <c r="AE336" s="81"/>
      <c r="AF336" s="81"/>
      <c r="AG336" s="81"/>
      <c r="AH336" s="81"/>
      <c r="AI336" s="81" t="s">
        <v>2352</v>
      </c>
      <c r="AJ336" s="85">
        <v>44806.83887731482</v>
      </c>
      <c r="AK336" s="83" t="str">
        <f>HYPERLINK("https://yt3.ggpht.com/p917v36wp4paGfA2MRTyLXKZC5I4mo1LTpX0dqAXS0dHx9ko5bxfnsib4MnrTTYQpZoYVkhzig=s88-c-k-c0x00ffffff-no-rj")</f>
        <v>https://yt3.ggpht.com/p917v36wp4paGfA2MRTyLXKZC5I4mo1LTpX0dqAXS0dHx9ko5bxfnsib4MnrTTYQpZoYVkhzig=s88-c-k-c0x00ffffff-no-rj</v>
      </c>
      <c r="AL336" s="81">
        <v>0</v>
      </c>
      <c r="AM336" s="81">
        <v>0</v>
      </c>
      <c r="AN336" s="81">
        <v>1</v>
      </c>
      <c r="AO336" s="81" t="b">
        <v>0</v>
      </c>
      <c r="AP336" s="81">
        <v>0</v>
      </c>
      <c r="AQ336" s="81"/>
      <c r="AR336" s="81"/>
      <c r="AS336" s="81" t="s">
        <v>2571</v>
      </c>
      <c r="AT336" s="83" t="str">
        <f>HYPERLINK("https://www.youtube.com/channel/UClYDXUzNPVKFub4eNdO1HhA")</f>
        <v>https://www.youtube.com/channel/UClYDXUzNPVKFub4eNdO1HhA</v>
      </c>
      <c r="AU336" s="81">
        <v>1</v>
      </c>
      <c r="AV336" s="49">
        <v>0</v>
      </c>
      <c r="AW336" s="50">
        <v>0</v>
      </c>
      <c r="AX336" s="49">
        <v>1</v>
      </c>
      <c r="AY336" s="50">
        <v>3.0303030303030303</v>
      </c>
      <c r="AZ336" s="49">
        <v>0</v>
      </c>
      <c r="BA336" s="50">
        <v>0</v>
      </c>
      <c r="BB336" s="49">
        <v>11</v>
      </c>
      <c r="BC336" s="50">
        <v>33.333333333333336</v>
      </c>
      <c r="BD336" s="49">
        <v>33</v>
      </c>
      <c r="BE336" s="49"/>
      <c r="BF336" s="49"/>
      <c r="BG336" s="49"/>
      <c r="BH336" s="49"/>
      <c r="BI336" s="49"/>
      <c r="BJ336" s="49"/>
      <c r="BK336" s="115" t="s">
        <v>4566</v>
      </c>
      <c r="BL336" s="115" t="s">
        <v>4566</v>
      </c>
      <c r="BM336" s="115" t="s">
        <v>4589</v>
      </c>
      <c r="BN336" s="115" t="s">
        <v>4589</v>
      </c>
      <c r="BO336" s="2"/>
      <c r="BP336" s="3"/>
      <c r="BQ336" s="3"/>
      <c r="BR336" s="3"/>
      <c r="BS336" s="3"/>
    </row>
    <row r="337" spans="1:71" ht="15">
      <c r="A337" s="66" t="s">
        <v>554</v>
      </c>
      <c r="B337" s="67"/>
      <c r="C337" s="67"/>
      <c r="D337" s="68">
        <v>150</v>
      </c>
      <c r="E337" s="70"/>
      <c r="F337" s="102" t="str">
        <f>HYPERLINK("https://yt3.ggpht.com/W1fIqLdnvM2qiraFwf2Czb_iIGqZjPrmFd0pMU3ZEJM7372o9XEWJrS4hlEQExYrdz5h-UZLii0=s88-c-k-c0x00ffffff-no-rj")</f>
        <v>https://yt3.ggpht.com/W1fIqLdnvM2qiraFwf2Czb_iIGqZjPrmFd0pMU3ZEJM7372o9XEWJrS4hlEQExYrdz5h-UZLii0=s88-c-k-c0x00ffffff-no-rj</v>
      </c>
      <c r="G337" s="67"/>
      <c r="H337" s="71" t="s">
        <v>1627</v>
      </c>
      <c r="I337" s="72"/>
      <c r="J337" s="72" t="s">
        <v>159</v>
      </c>
      <c r="K337" s="71" t="s">
        <v>1627</v>
      </c>
      <c r="L337" s="75">
        <v>1</v>
      </c>
      <c r="M337" s="76">
        <v>2950.2802734375</v>
      </c>
      <c r="N337" s="76">
        <v>9407.5791015625</v>
      </c>
      <c r="O337" s="77"/>
      <c r="P337" s="78"/>
      <c r="Q337" s="78"/>
      <c r="R337" s="88"/>
      <c r="S337" s="49">
        <v>0</v>
      </c>
      <c r="T337" s="49">
        <v>1</v>
      </c>
      <c r="U337" s="50">
        <v>0</v>
      </c>
      <c r="V337" s="50">
        <v>0.177728</v>
      </c>
      <c r="W337" s="50">
        <v>0.049759</v>
      </c>
      <c r="X337" s="50">
        <v>0.001579</v>
      </c>
      <c r="Y337" s="50">
        <v>0</v>
      </c>
      <c r="Z337" s="50">
        <v>0</v>
      </c>
      <c r="AA337" s="73">
        <v>337</v>
      </c>
      <c r="AB337" s="73"/>
      <c r="AC337" s="74"/>
      <c r="AD337" s="81" t="s">
        <v>1627</v>
      </c>
      <c r="AE337" s="81"/>
      <c r="AF337" s="81"/>
      <c r="AG337" s="81"/>
      <c r="AH337" s="81"/>
      <c r="AI337" s="81" t="s">
        <v>2353</v>
      </c>
      <c r="AJ337" s="85">
        <v>44356.9437962963</v>
      </c>
      <c r="AK337" s="83" t="str">
        <f>HYPERLINK("https://yt3.ggpht.com/W1fIqLdnvM2qiraFwf2Czb_iIGqZjPrmFd0pMU3ZEJM7372o9XEWJrS4hlEQExYrdz5h-UZLii0=s88-c-k-c0x00ffffff-no-rj")</f>
        <v>https://yt3.ggpht.com/W1fIqLdnvM2qiraFwf2Czb_iIGqZjPrmFd0pMU3ZEJM7372o9XEWJrS4hlEQExYrdz5h-UZLii0=s88-c-k-c0x00ffffff-no-rj</v>
      </c>
      <c r="AL337" s="81">
        <v>0</v>
      </c>
      <c r="AM337" s="81">
        <v>0</v>
      </c>
      <c r="AN337" s="81">
        <v>9</v>
      </c>
      <c r="AO337" s="81" t="b">
        <v>0</v>
      </c>
      <c r="AP337" s="81">
        <v>0</v>
      </c>
      <c r="AQ337" s="81"/>
      <c r="AR337" s="81"/>
      <c r="AS337" s="81" t="s">
        <v>2571</v>
      </c>
      <c r="AT337" s="83" t="str">
        <f>HYPERLINK("https://www.youtube.com/channel/UCD3uSyJlev8CTgz8QCiXbmQ")</f>
        <v>https://www.youtube.com/channel/UCD3uSyJlev8CTgz8QCiXbmQ</v>
      </c>
      <c r="AU337" s="81">
        <v>1</v>
      </c>
      <c r="AV337" s="49">
        <v>0</v>
      </c>
      <c r="AW337" s="50">
        <v>0</v>
      </c>
      <c r="AX337" s="49">
        <v>1</v>
      </c>
      <c r="AY337" s="50">
        <v>33.333333333333336</v>
      </c>
      <c r="AZ337" s="49">
        <v>0</v>
      </c>
      <c r="BA337" s="50">
        <v>0</v>
      </c>
      <c r="BB337" s="49">
        <v>0</v>
      </c>
      <c r="BC337" s="50">
        <v>0</v>
      </c>
      <c r="BD337" s="49">
        <v>3</v>
      </c>
      <c r="BE337" s="49"/>
      <c r="BF337" s="49"/>
      <c r="BG337" s="49"/>
      <c r="BH337" s="49"/>
      <c r="BI337" s="49"/>
      <c r="BJ337" s="49"/>
      <c r="BK337" s="115" t="s">
        <v>2871</v>
      </c>
      <c r="BL337" s="115" t="s">
        <v>2871</v>
      </c>
      <c r="BM337" s="115" t="s">
        <v>4477</v>
      </c>
      <c r="BN337" s="115" t="s">
        <v>4477</v>
      </c>
      <c r="BO337" s="2"/>
      <c r="BP337" s="3"/>
      <c r="BQ337" s="3"/>
      <c r="BR337" s="3"/>
      <c r="BS337" s="3"/>
    </row>
    <row r="338" spans="1:71" ht="15">
      <c r="A338" s="66" t="s">
        <v>555</v>
      </c>
      <c r="B338" s="67"/>
      <c r="C338" s="67"/>
      <c r="D338" s="68">
        <v>150</v>
      </c>
      <c r="E338" s="70"/>
      <c r="F338" s="102" t="str">
        <f>HYPERLINK("https://yt3.ggpht.com/ytc/AOPolaQU0GcJPOw_lfLWQjxJzz30lSvwT19lfBEeFg=s88-c-k-c0x00ffffff-no-rj")</f>
        <v>https://yt3.ggpht.com/ytc/AOPolaQU0GcJPOw_lfLWQjxJzz30lSvwT19lfBEeFg=s88-c-k-c0x00ffffff-no-rj</v>
      </c>
      <c r="G338" s="67"/>
      <c r="H338" s="71" t="s">
        <v>1628</v>
      </c>
      <c r="I338" s="72"/>
      <c r="J338" s="72" t="s">
        <v>159</v>
      </c>
      <c r="K338" s="71" t="s">
        <v>1628</v>
      </c>
      <c r="L338" s="75">
        <v>1</v>
      </c>
      <c r="M338" s="76">
        <v>3008.602783203125</v>
      </c>
      <c r="N338" s="76">
        <v>6036.27490234375</v>
      </c>
      <c r="O338" s="77"/>
      <c r="P338" s="78"/>
      <c r="Q338" s="78"/>
      <c r="R338" s="88"/>
      <c r="S338" s="49">
        <v>0</v>
      </c>
      <c r="T338" s="49">
        <v>1</v>
      </c>
      <c r="U338" s="50">
        <v>0</v>
      </c>
      <c r="V338" s="50">
        <v>0.177728</v>
      </c>
      <c r="W338" s="50">
        <v>0.049759</v>
      </c>
      <c r="X338" s="50">
        <v>0.001579</v>
      </c>
      <c r="Y338" s="50">
        <v>0</v>
      </c>
      <c r="Z338" s="50">
        <v>0</v>
      </c>
      <c r="AA338" s="73">
        <v>338</v>
      </c>
      <c r="AB338" s="73"/>
      <c r="AC338" s="74"/>
      <c r="AD338" s="81" t="s">
        <v>1628</v>
      </c>
      <c r="AE338" s="81"/>
      <c r="AF338" s="81"/>
      <c r="AG338" s="81"/>
      <c r="AH338" s="81"/>
      <c r="AI338" s="81" t="s">
        <v>2354</v>
      </c>
      <c r="AJ338" s="85">
        <v>43485.211909722224</v>
      </c>
      <c r="AK338" s="83" t="str">
        <f>HYPERLINK("https://yt3.ggpht.com/ytc/AOPolaQU0GcJPOw_lfLWQjxJzz30lSvwT19lfBEeFg=s88-c-k-c0x00ffffff-no-rj")</f>
        <v>https://yt3.ggpht.com/ytc/AOPolaQU0GcJPOw_lfLWQjxJzz30lSvwT19lfBEeFg=s88-c-k-c0x00ffffff-no-rj</v>
      </c>
      <c r="AL338" s="81">
        <v>0</v>
      </c>
      <c r="AM338" s="81">
        <v>0</v>
      </c>
      <c r="AN338" s="81">
        <v>2</v>
      </c>
      <c r="AO338" s="81" t="b">
        <v>0</v>
      </c>
      <c r="AP338" s="81">
        <v>0</v>
      </c>
      <c r="AQ338" s="81"/>
      <c r="AR338" s="81"/>
      <c r="AS338" s="81" t="s">
        <v>2571</v>
      </c>
      <c r="AT338" s="83" t="str">
        <f>HYPERLINK("https://www.youtube.com/channel/UCjT5bapFUBrqwzyo9Q2SoKw")</f>
        <v>https://www.youtube.com/channel/UCjT5bapFUBrqwzyo9Q2SoKw</v>
      </c>
      <c r="AU338" s="81">
        <v>1</v>
      </c>
      <c r="AV338" s="49">
        <v>1</v>
      </c>
      <c r="AW338" s="50">
        <v>2</v>
      </c>
      <c r="AX338" s="49">
        <v>3</v>
      </c>
      <c r="AY338" s="50">
        <v>6</v>
      </c>
      <c r="AZ338" s="49">
        <v>0</v>
      </c>
      <c r="BA338" s="50">
        <v>0</v>
      </c>
      <c r="BB338" s="49">
        <v>12</v>
      </c>
      <c r="BC338" s="50">
        <v>24</v>
      </c>
      <c r="BD338" s="49">
        <v>50</v>
      </c>
      <c r="BE338" s="49"/>
      <c r="BF338" s="49"/>
      <c r="BG338" s="49"/>
      <c r="BH338" s="49"/>
      <c r="BI338" s="49"/>
      <c r="BJ338" s="49"/>
      <c r="BK338" s="115" t="s">
        <v>2872</v>
      </c>
      <c r="BL338" s="115" t="s">
        <v>2872</v>
      </c>
      <c r="BM338" s="115" t="s">
        <v>3327</v>
      </c>
      <c r="BN338" s="115" t="s">
        <v>3327</v>
      </c>
      <c r="BO338" s="2"/>
      <c r="BP338" s="3"/>
      <c r="BQ338" s="3"/>
      <c r="BR338" s="3"/>
      <c r="BS338" s="3"/>
    </row>
    <row r="339" spans="1:71" ht="15">
      <c r="A339" s="66" t="s">
        <v>556</v>
      </c>
      <c r="B339" s="67"/>
      <c r="C339" s="67"/>
      <c r="D339" s="68">
        <v>150</v>
      </c>
      <c r="E339" s="70"/>
      <c r="F339" s="102" t="str">
        <f>HYPERLINK("https://yt3.ggpht.com/ytc/AOPolaRQQmLTgYglIu3Jc2-IHawW8G2hyQlG0J-XlQ=s88-c-k-c0x00ffffff-no-rj")</f>
        <v>https://yt3.ggpht.com/ytc/AOPolaRQQmLTgYglIu3Jc2-IHawW8G2hyQlG0J-XlQ=s88-c-k-c0x00ffffff-no-rj</v>
      </c>
      <c r="G339" s="67"/>
      <c r="H339" s="71" t="s">
        <v>1629</v>
      </c>
      <c r="I339" s="72"/>
      <c r="J339" s="72" t="s">
        <v>159</v>
      </c>
      <c r="K339" s="71" t="s">
        <v>1629</v>
      </c>
      <c r="L339" s="75">
        <v>1</v>
      </c>
      <c r="M339" s="76">
        <v>351.5118103027344</v>
      </c>
      <c r="N339" s="76">
        <v>6402.740234375</v>
      </c>
      <c r="O339" s="77"/>
      <c r="P339" s="78"/>
      <c r="Q339" s="78"/>
      <c r="R339" s="88"/>
      <c r="S339" s="49">
        <v>0</v>
      </c>
      <c r="T339" s="49">
        <v>1</v>
      </c>
      <c r="U339" s="50">
        <v>0</v>
      </c>
      <c r="V339" s="50">
        <v>0.177728</v>
      </c>
      <c r="W339" s="50">
        <v>0.049759</v>
      </c>
      <c r="X339" s="50">
        <v>0.001579</v>
      </c>
      <c r="Y339" s="50">
        <v>0</v>
      </c>
      <c r="Z339" s="50">
        <v>0</v>
      </c>
      <c r="AA339" s="73">
        <v>339</v>
      </c>
      <c r="AB339" s="73"/>
      <c r="AC339" s="74"/>
      <c r="AD339" s="81" t="s">
        <v>1629</v>
      </c>
      <c r="AE339" s="81"/>
      <c r="AF339" s="81"/>
      <c r="AG339" s="81"/>
      <c r="AH339" s="81"/>
      <c r="AI339" s="81" t="s">
        <v>2355</v>
      </c>
      <c r="AJ339" s="85">
        <v>42026.68849537037</v>
      </c>
      <c r="AK339" s="83" t="str">
        <f>HYPERLINK("https://yt3.ggpht.com/ytc/AOPolaRQQmLTgYglIu3Jc2-IHawW8G2hyQlG0J-XlQ=s88-c-k-c0x00ffffff-no-rj")</f>
        <v>https://yt3.ggpht.com/ytc/AOPolaRQQmLTgYglIu3Jc2-IHawW8G2hyQlG0J-XlQ=s88-c-k-c0x00ffffff-no-rj</v>
      </c>
      <c r="AL339" s="81">
        <v>0</v>
      </c>
      <c r="AM339" s="81">
        <v>0</v>
      </c>
      <c r="AN339" s="81">
        <v>3</v>
      </c>
      <c r="AO339" s="81" t="b">
        <v>0</v>
      </c>
      <c r="AP339" s="81">
        <v>0</v>
      </c>
      <c r="AQ339" s="81"/>
      <c r="AR339" s="81"/>
      <c r="AS339" s="81" t="s">
        <v>2571</v>
      </c>
      <c r="AT339" s="83" t="str">
        <f>HYPERLINK("https://www.youtube.com/channel/UCeBRQP-I5Xo7j92Lq4ItRlg")</f>
        <v>https://www.youtube.com/channel/UCeBRQP-I5Xo7j92Lq4ItRlg</v>
      </c>
      <c r="AU339" s="81">
        <v>1</v>
      </c>
      <c r="AV339" s="49">
        <v>0</v>
      </c>
      <c r="AW339" s="50">
        <v>0</v>
      </c>
      <c r="AX339" s="49">
        <v>0</v>
      </c>
      <c r="AY339" s="50">
        <v>0</v>
      </c>
      <c r="AZ339" s="49">
        <v>0</v>
      </c>
      <c r="BA339" s="50">
        <v>0</v>
      </c>
      <c r="BB339" s="49">
        <v>4</v>
      </c>
      <c r="BC339" s="50">
        <v>25</v>
      </c>
      <c r="BD339" s="49">
        <v>16</v>
      </c>
      <c r="BE339" s="49"/>
      <c r="BF339" s="49"/>
      <c r="BG339" s="49"/>
      <c r="BH339" s="49"/>
      <c r="BI339" s="49"/>
      <c r="BJ339" s="49"/>
      <c r="BK339" s="115" t="s">
        <v>2873</v>
      </c>
      <c r="BL339" s="115" t="s">
        <v>2873</v>
      </c>
      <c r="BM339" s="115" t="s">
        <v>3328</v>
      </c>
      <c r="BN339" s="115" t="s">
        <v>3328</v>
      </c>
      <c r="BO339" s="2"/>
      <c r="BP339" s="3"/>
      <c r="BQ339" s="3"/>
      <c r="BR339" s="3"/>
      <c r="BS339" s="3"/>
    </row>
    <row r="340" spans="1:71" ht="15">
      <c r="A340" s="66" t="s">
        <v>557</v>
      </c>
      <c r="B340" s="67"/>
      <c r="C340" s="67"/>
      <c r="D340" s="68">
        <v>150</v>
      </c>
      <c r="E340" s="70"/>
      <c r="F340" s="102" t="str">
        <f>HYPERLINK("https://yt3.ggpht.com/TXiCUQ1UvO_Fhh8kDFf94PhHlSRiKsQBpwl2-0S2CGUsjHFm1GobC4FU8a5kuoU-2M0qH-0MNA=s88-c-k-c0x00ffffff-no-rj")</f>
        <v>https://yt3.ggpht.com/TXiCUQ1UvO_Fhh8kDFf94PhHlSRiKsQBpwl2-0S2CGUsjHFm1GobC4FU8a5kuoU-2M0qH-0MNA=s88-c-k-c0x00ffffff-no-rj</v>
      </c>
      <c r="G340" s="67"/>
      <c r="H340" s="71" t="s">
        <v>1630</v>
      </c>
      <c r="I340" s="72"/>
      <c r="J340" s="72" t="s">
        <v>159</v>
      </c>
      <c r="K340" s="71" t="s">
        <v>1630</v>
      </c>
      <c r="L340" s="75">
        <v>1</v>
      </c>
      <c r="M340" s="76">
        <v>5152.193359375</v>
      </c>
      <c r="N340" s="76">
        <v>8985.8291015625</v>
      </c>
      <c r="O340" s="77"/>
      <c r="P340" s="78"/>
      <c r="Q340" s="78"/>
      <c r="R340" s="88"/>
      <c r="S340" s="49">
        <v>0</v>
      </c>
      <c r="T340" s="49">
        <v>1</v>
      </c>
      <c r="U340" s="50">
        <v>0</v>
      </c>
      <c r="V340" s="50">
        <v>0.177728</v>
      </c>
      <c r="W340" s="50">
        <v>0.049759</v>
      </c>
      <c r="X340" s="50">
        <v>0.001579</v>
      </c>
      <c r="Y340" s="50">
        <v>0</v>
      </c>
      <c r="Z340" s="50">
        <v>0</v>
      </c>
      <c r="AA340" s="73">
        <v>340</v>
      </c>
      <c r="AB340" s="73"/>
      <c r="AC340" s="74"/>
      <c r="AD340" s="81" t="s">
        <v>1630</v>
      </c>
      <c r="AE340" s="81" t="s">
        <v>1979</v>
      </c>
      <c r="AF340" s="81"/>
      <c r="AG340" s="81"/>
      <c r="AH340" s="81"/>
      <c r="AI340" s="81" t="s">
        <v>2356</v>
      </c>
      <c r="AJ340" s="85">
        <v>40585.60324074074</v>
      </c>
      <c r="AK340" s="83" t="str">
        <f>HYPERLINK("https://yt3.ggpht.com/TXiCUQ1UvO_Fhh8kDFf94PhHlSRiKsQBpwl2-0S2CGUsjHFm1GobC4FU8a5kuoU-2M0qH-0MNA=s88-c-k-c0x00ffffff-no-rj")</f>
        <v>https://yt3.ggpht.com/TXiCUQ1UvO_Fhh8kDFf94PhHlSRiKsQBpwl2-0S2CGUsjHFm1GobC4FU8a5kuoU-2M0qH-0MNA=s88-c-k-c0x00ffffff-no-rj</v>
      </c>
      <c r="AL340" s="81">
        <v>4267</v>
      </c>
      <c r="AM340" s="81">
        <v>0</v>
      </c>
      <c r="AN340" s="81">
        <v>108</v>
      </c>
      <c r="AO340" s="81" t="b">
        <v>0</v>
      </c>
      <c r="AP340" s="81">
        <v>8</v>
      </c>
      <c r="AQ340" s="81"/>
      <c r="AR340" s="81"/>
      <c r="AS340" s="81" t="s">
        <v>2571</v>
      </c>
      <c r="AT340" s="83" t="str">
        <f>HYPERLINK("https://www.youtube.com/channel/UCTnWh-9ays8w2Wu7OaXZ8UA")</f>
        <v>https://www.youtube.com/channel/UCTnWh-9ays8w2Wu7OaXZ8UA</v>
      </c>
      <c r="AU340" s="81">
        <v>1</v>
      </c>
      <c r="AV340" s="49">
        <v>0</v>
      </c>
      <c r="AW340" s="50">
        <v>0</v>
      </c>
      <c r="AX340" s="49">
        <v>0</v>
      </c>
      <c r="AY340" s="50">
        <v>0</v>
      </c>
      <c r="AZ340" s="49">
        <v>0</v>
      </c>
      <c r="BA340" s="50">
        <v>0</v>
      </c>
      <c r="BB340" s="49">
        <v>5</v>
      </c>
      <c r="BC340" s="50">
        <v>62.5</v>
      </c>
      <c r="BD340" s="49">
        <v>8</v>
      </c>
      <c r="BE340" s="49"/>
      <c r="BF340" s="49"/>
      <c r="BG340" s="49"/>
      <c r="BH340" s="49"/>
      <c r="BI340" s="49"/>
      <c r="BJ340" s="49"/>
      <c r="BK340" s="115" t="s">
        <v>2874</v>
      </c>
      <c r="BL340" s="115" t="s">
        <v>2874</v>
      </c>
      <c r="BM340" s="115" t="s">
        <v>3329</v>
      </c>
      <c r="BN340" s="115" t="s">
        <v>3329</v>
      </c>
      <c r="BO340" s="2"/>
      <c r="BP340" s="3"/>
      <c r="BQ340" s="3"/>
      <c r="BR340" s="3"/>
      <c r="BS340" s="3"/>
    </row>
    <row r="341" spans="1:71" ht="15">
      <c r="A341" s="66" t="s">
        <v>558</v>
      </c>
      <c r="B341" s="67"/>
      <c r="C341" s="67"/>
      <c r="D341" s="68">
        <v>150</v>
      </c>
      <c r="E341" s="70"/>
      <c r="F341" s="102" t="str">
        <f>HYPERLINK("https://yt3.ggpht.com/ytc/AOPolaQOG9OfDo13UQf4FuyRqprDBa9M3P23ljljdA=s88-c-k-c0x00ffffff-no-rj")</f>
        <v>https://yt3.ggpht.com/ytc/AOPolaQOG9OfDo13UQf4FuyRqprDBa9M3P23ljljdA=s88-c-k-c0x00ffffff-no-rj</v>
      </c>
      <c r="G341" s="67"/>
      <c r="H341" s="71" t="s">
        <v>1631</v>
      </c>
      <c r="I341" s="72"/>
      <c r="J341" s="72" t="s">
        <v>159</v>
      </c>
      <c r="K341" s="71" t="s">
        <v>1631</v>
      </c>
      <c r="L341" s="75">
        <v>1</v>
      </c>
      <c r="M341" s="76">
        <v>4276.61279296875</v>
      </c>
      <c r="N341" s="76">
        <v>9722.900390625</v>
      </c>
      <c r="O341" s="77"/>
      <c r="P341" s="78"/>
      <c r="Q341" s="78"/>
      <c r="R341" s="88"/>
      <c r="S341" s="49">
        <v>0</v>
      </c>
      <c r="T341" s="49">
        <v>1</v>
      </c>
      <c r="U341" s="50">
        <v>0</v>
      </c>
      <c r="V341" s="50">
        <v>0.177728</v>
      </c>
      <c r="W341" s="50">
        <v>0.049759</v>
      </c>
      <c r="X341" s="50">
        <v>0.001579</v>
      </c>
      <c r="Y341" s="50">
        <v>0</v>
      </c>
      <c r="Z341" s="50">
        <v>0</v>
      </c>
      <c r="AA341" s="73">
        <v>341</v>
      </c>
      <c r="AB341" s="73"/>
      <c r="AC341" s="74"/>
      <c r="AD341" s="81" t="s">
        <v>1631</v>
      </c>
      <c r="AE341" s="81"/>
      <c r="AF341" s="81"/>
      <c r="AG341" s="81"/>
      <c r="AH341" s="81"/>
      <c r="AI341" s="81" t="s">
        <v>2357</v>
      </c>
      <c r="AJ341" s="85">
        <v>40988.15663194445</v>
      </c>
      <c r="AK341" s="83" t="str">
        <f>HYPERLINK("https://yt3.ggpht.com/ytc/AOPolaQOG9OfDo13UQf4FuyRqprDBa9M3P23ljljdA=s88-c-k-c0x00ffffff-no-rj")</f>
        <v>https://yt3.ggpht.com/ytc/AOPolaQOG9OfDo13UQf4FuyRqprDBa9M3P23ljljdA=s88-c-k-c0x00ffffff-no-rj</v>
      </c>
      <c r="AL341" s="81">
        <v>0</v>
      </c>
      <c r="AM341" s="81">
        <v>0</v>
      </c>
      <c r="AN341" s="81">
        <v>0</v>
      </c>
      <c r="AO341" s="81" t="b">
        <v>0</v>
      </c>
      <c r="AP341" s="81">
        <v>0</v>
      </c>
      <c r="AQ341" s="81"/>
      <c r="AR341" s="81"/>
      <c r="AS341" s="81" t="s">
        <v>2571</v>
      </c>
      <c r="AT341" s="83" t="str">
        <f>HYPERLINK("https://www.youtube.com/channel/UCx_-HOt8ALx3s0XSRgnXh5w")</f>
        <v>https://www.youtube.com/channel/UCx_-HOt8ALx3s0XSRgnXh5w</v>
      </c>
      <c r="AU341" s="81">
        <v>1</v>
      </c>
      <c r="AV341" s="49">
        <v>0</v>
      </c>
      <c r="AW341" s="50">
        <v>0</v>
      </c>
      <c r="AX341" s="49">
        <v>0</v>
      </c>
      <c r="AY341" s="50">
        <v>0</v>
      </c>
      <c r="AZ341" s="49">
        <v>0</v>
      </c>
      <c r="BA341" s="50">
        <v>0</v>
      </c>
      <c r="BB341" s="49">
        <v>9</v>
      </c>
      <c r="BC341" s="50">
        <v>47.36842105263158</v>
      </c>
      <c r="BD341" s="49">
        <v>19</v>
      </c>
      <c r="BE341" s="49"/>
      <c r="BF341" s="49"/>
      <c r="BG341" s="49"/>
      <c r="BH341" s="49"/>
      <c r="BI341" s="49"/>
      <c r="BJ341" s="49"/>
      <c r="BK341" s="115" t="s">
        <v>2875</v>
      </c>
      <c r="BL341" s="115" t="s">
        <v>2875</v>
      </c>
      <c r="BM341" s="115" t="s">
        <v>3330</v>
      </c>
      <c r="BN341" s="115" t="s">
        <v>3330</v>
      </c>
      <c r="BO341" s="2"/>
      <c r="BP341" s="3"/>
      <c r="BQ341" s="3"/>
      <c r="BR341" s="3"/>
      <c r="BS341" s="3"/>
    </row>
    <row r="342" spans="1:71" ht="15">
      <c r="A342" s="66" t="s">
        <v>559</v>
      </c>
      <c r="B342" s="67"/>
      <c r="C342" s="67"/>
      <c r="D342" s="68">
        <v>150</v>
      </c>
      <c r="E342" s="70"/>
      <c r="F342" s="102" t="str">
        <f>HYPERLINK("https://yt3.ggpht.com/ytc/AOPolaRCfRAuU5meTfF3V8FLi6hv4tiKS77ihxp0f2tMPAuEXi3BaJKrzxnBLptcpMdQ=s88-c-k-c0x00ffffff-no-rj")</f>
        <v>https://yt3.ggpht.com/ytc/AOPolaRCfRAuU5meTfF3V8FLi6hv4tiKS77ihxp0f2tMPAuEXi3BaJKrzxnBLptcpMdQ=s88-c-k-c0x00ffffff-no-rj</v>
      </c>
      <c r="G342" s="67"/>
      <c r="H342" s="71" t="s">
        <v>1632</v>
      </c>
      <c r="I342" s="72"/>
      <c r="J342" s="72" t="s">
        <v>159</v>
      </c>
      <c r="K342" s="71" t="s">
        <v>1632</v>
      </c>
      <c r="L342" s="75">
        <v>1</v>
      </c>
      <c r="M342" s="76">
        <v>3332.380126953125</v>
      </c>
      <c r="N342" s="76">
        <v>9337.8447265625</v>
      </c>
      <c r="O342" s="77"/>
      <c r="P342" s="78"/>
      <c r="Q342" s="78"/>
      <c r="R342" s="88"/>
      <c r="S342" s="49">
        <v>0</v>
      </c>
      <c r="T342" s="49">
        <v>1</v>
      </c>
      <c r="U342" s="50">
        <v>0</v>
      </c>
      <c r="V342" s="50">
        <v>0.177728</v>
      </c>
      <c r="W342" s="50">
        <v>0.049759</v>
      </c>
      <c r="X342" s="50">
        <v>0.001579</v>
      </c>
      <c r="Y342" s="50">
        <v>0</v>
      </c>
      <c r="Z342" s="50">
        <v>0</v>
      </c>
      <c r="AA342" s="73">
        <v>342</v>
      </c>
      <c r="AB342" s="73"/>
      <c r="AC342" s="74"/>
      <c r="AD342" s="81" t="s">
        <v>1632</v>
      </c>
      <c r="AE342" s="81"/>
      <c r="AF342" s="81"/>
      <c r="AG342" s="81"/>
      <c r="AH342" s="81"/>
      <c r="AI342" s="81" t="s">
        <v>2358</v>
      </c>
      <c r="AJ342" s="85">
        <v>44840.53673611111</v>
      </c>
      <c r="AK342" s="83" t="str">
        <f>HYPERLINK("https://yt3.ggpht.com/ytc/AOPolaRCfRAuU5meTfF3V8FLi6hv4tiKS77ihxp0f2tMPAuEXi3BaJKrzxnBLptcpMdQ=s88-c-k-c0x00ffffff-no-rj")</f>
        <v>https://yt3.ggpht.com/ytc/AOPolaRCfRAuU5meTfF3V8FLi6hv4tiKS77ihxp0f2tMPAuEXi3BaJKrzxnBLptcpMdQ=s88-c-k-c0x00ffffff-no-rj</v>
      </c>
      <c r="AL342" s="81">
        <v>0</v>
      </c>
      <c r="AM342" s="81">
        <v>0</v>
      </c>
      <c r="AN342" s="81">
        <v>1</v>
      </c>
      <c r="AO342" s="81" t="b">
        <v>0</v>
      </c>
      <c r="AP342" s="81">
        <v>0</v>
      </c>
      <c r="AQ342" s="81"/>
      <c r="AR342" s="81"/>
      <c r="AS342" s="81" t="s">
        <v>2571</v>
      </c>
      <c r="AT342" s="83" t="str">
        <f>HYPERLINK("https://www.youtube.com/channel/UCA9InjazaazxiJNPisbVvZQ")</f>
        <v>https://www.youtube.com/channel/UCA9InjazaazxiJNPisbVvZQ</v>
      </c>
      <c r="AU342" s="81">
        <v>1</v>
      </c>
      <c r="AV342" s="49">
        <v>0</v>
      </c>
      <c r="AW342" s="50">
        <v>0</v>
      </c>
      <c r="AX342" s="49">
        <v>1</v>
      </c>
      <c r="AY342" s="50">
        <v>6.666666666666667</v>
      </c>
      <c r="AZ342" s="49">
        <v>0</v>
      </c>
      <c r="BA342" s="50">
        <v>0</v>
      </c>
      <c r="BB342" s="49">
        <v>5</v>
      </c>
      <c r="BC342" s="50">
        <v>33.333333333333336</v>
      </c>
      <c r="BD342" s="49">
        <v>15</v>
      </c>
      <c r="BE342" s="49"/>
      <c r="BF342" s="49"/>
      <c r="BG342" s="49"/>
      <c r="BH342" s="49"/>
      <c r="BI342" s="49"/>
      <c r="BJ342" s="49"/>
      <c r="BK342" s="115" t="s">
        <v>2876</v>
      </c>
      <c r="BL342" s="115" t="s">
        <v>2876</v>
      </c>
      <c r="BM342" s="115" t="s">
        <v>3331</v>
      </c>
      <c r="BN342" s="115" t="s">
        <v>3331</v>
      </c>
      <c r="BO342" s="2"/>
      <c r="BP342" s="3"/>
      <c r="BQ342" s="3"/>
      <c r="BR342" s="3"/>
      <c r="BS342" s="3"/>
    </row>
    <row r="343" spans="1:71" ht="15">
      <c r="A343" s="66" t="s">
        <v>560</v>
      </c>
      <c r="B343" s="67"/>
      <c r="C343" s="67"/>
      <c r="D343" s="68">
        <v>150</v>
      </c>
      <c r="E343" s="70"/>
      <c r="F343" s="102" t="str">
        <f>HYPERLINK("https://yt3.ggpht.com/ytc/AOPolaRRVwEaNt-jQNpXaIgnHgflYPR4Pcxermp6i5-2=s88-c-k-c0x00ffffff-no-rj")</f>
        <v>https://yt3.ggpht.com/ytc/AOPolaRRVwEaNt-jQNpXaIgnHgflYPR4Pcxermp6i5-2=s88-c-k-c0x00ffffff-no-rj</v>
      </c>
      <c r="G343" s="67"/>
      <c r="H343" s="71" t="s">
        <v>1633</v>
      </c>
      <c r="I343" s="72"/>
      <c r="J343" s="72" t="s">
        <v>159</v>
      </c>
      <c r="K343" s="71" t="s">
        <v>1633</v>
      </c>
      <c r="L343" s="75">
        <v>1</v>
      </c>
      <c r="M343" s="76">
        <v>4616.4716796875</v>
      </c>
      <c r="N343" s="76">
        <v>6852.4892578125</v>
      </c>
      <c r="O343" s="77"/>
      <c r="P343" s="78"/>
      <c r="Q343" s="78"/>
      <c r="R343" s="88"/>
      <c r="S343" s="49">
        <v>0</v>
      </c>
      <c r="T343" s="49">
        <v>1</v>
      </c>
      <c r="U343" s="50">
        <v>0</v>
      </c>
      <c r="V343" s="50">
        <v>0.177728</v>
      </c>
      <c r="W343" s="50">
        <v>0.049759</v>
      </c>
      <c r="X343" s="50">
        <v>0.001579</v>
      </c>
      <c r="Y343" s="50">
        <v>0</v>
      </c>
      <c r="Z343" s="50">
        <v>0</v>
      </c>
      <c r="AA343" s="73">
        <v>343</v>
      </c>
      <c r="AB343" s="73"/>
      <c r="AC343" s="74"/>
      <c r="AD343" s="81" t="s">
        <v>1633</v>
      </c>
      <c r="AE343" s="81"/>
      <c r="AF343" s="81"/>
      <c r="AG343" s="81"/>
      <c r="AH343" s="81"/>
      <c r="AI343" s="81" t="s">
        <v>2359</v>
      </c>
      <c r="AJ343" s="85">
        <v>44330.487604166665</v>
      </c>
      <c r="AK343" s="83" t="str">
        <f>HYPERLINK("https://yt3.ggpht.com/ytc/AOPolaRRVwEaNt-jQNpXaIgnHgflYPR4Pcxermp6i5-2=s88-c-k-c0x00ffffff-no-rj")</f>
        <v>https://yt3.ggpht.com/ytc/AOPolaRRVwEaNt-jQNpXaIgnHgflYPR4Pcxermp6i5-2=s88-c-k-c0x00ffffff-no-rj</v>
      </c>
      <c r="AL343" s="81">
        <v>0</v>
      </c>
      <c r="AM343" s="81">
        <v>0</v>
      </c>
      <c r="AN343" s="81">
        <v>9</v>
      </c>
      <c r="AO343" s="81" t="b">
        <v>0</v>
      </c>
      <c r="AP343" s="81">
        <v>0</v>
      </c>
      <c r="AQ343" s="81"/>
      <c r="AR343" s="81"/>
      <c r="AS343" s="81" t="s">
        <v>2571</v>
      </c>
      <c r="AT343" s="83" t="str">
        <f>HYPERLINK("https://www.youtube.com/channel/UCwdUB2kln_cAWXRgsRLrhxA")</f>
        <v>https://www.youtube.com/channel/UCwdUB2kln_cAWXRgsRLrhxA</v>
      </c>
      <c r="AU343" s="81">
        <v>1</v>
      </c>
      <c r="AV343" s="49">
        <v>0</v>
      </c>
      <c r="AW343" s="50">
        <v>0</v>
      </c>
      <c r="AX343" s="49">
        <v>2</v>
      </c>
      <c r="AY343" s="50">
        <v>20</v>
      </c>
      <c r="AZ343" s="49">
        <v>0</v>
      </c>
      <c r="BA343" s="50">
        <v>0</v>
      </c>
      <c r="BB343" s="49">
        <v>5</v>
      </c>
      <c r="BC343" s="50">
        <v>50</v>
      </c>
      <c r="BD343" s="49">
        <v>10</v>
      </c>
      <c r="BE343" s="49"/>
      <c r="BF343" s="49"/>
      <c r="BG343" s="49"/>
      <c r="BH343" s="49"/>
      <c r="BI343" s="49"/>
      <c r="BJ343" s="49"/>
      <c r="BK343" s="115" t="s">
        <v>2877</v>
      </c>
      <c r="BL343" s="115" t="s">
        <v>2877</v>
      </c>
      <c r="BM343" s="115" t="s">
        <v>3332</v>
      </c>
      <c r="BN343" s="115" t="s">
        <v>3332</v>
      </c>
      <c r="BO343" s="2"/>
      <c r="BP343" s="3"/>
      <c r="BQ343" s="3"/>
      <c r="BR343" s="3"/>
      <c r="BS343" s="3"/>
    </row>
    <row r="344" spans="1:71" ht="15">
      <c r="A344" s="66" t="s">
        <v>561</v>
      </c>
      <c r="B344" s="67"/>
      <c r="C344" s="67"/>
      <c r="D344" s="68">
        <v>150</v>
      </c>
      <c r="E344" s="70"/>
      <c r="F344" s="102" t="str">
        <f>HYPERLINK("https://yt3.ggpht.com/SHF0n6hTe1OFBWhz7tQmioV48xbf-VSqHoGHgMDgGcC2eZkgoTB87yJZncqel06Wze8nxKPbHA=s88-c-k-c0x00ffffff-no-rj")</f>
        <v>https://yt3.ggpht.com/SHF0n6hTe1OFBWhz7tQmioV48xbf-VSqHoGHgMDgGcC2eZkgoTB87yJZncqel06Wze8nxKPbHA=s88-c-k-c0x00ffffff-no-rj</v>
      </c>
      <c r="G344" s="67"/>
      <c r="H344" s="71" t="s">
        <v>1634</v>
      </c>
      <c r="I344" s="72"/>
      <c r="J344" s="72" t="s">
        <v>159</v>
      </c>
      <c r="K344" s="71" t="s">
        <v>1634</v>
      </c>
      <c r="L344" s="75">
        <v>1</v>
      </c>
      <c r="M344" s="76">
        <v>2004.678466796875</v>
      </c>
      <c r="N344" s="76">
        <v>7638.984375</v>
      </c>
      <c r="O344" s="77"/>
      <c r="P344" s="78"/>
      <c r="Q344" s="78"/>
      <c r="R344" s="88"/>
      <c r="S344" s="49">
        <v>0</v>
      </c>
      <c r="T344" s="49">
        <v>1</v>
      </c>
      <c r="U344" s="50">
        <v>0</v>
      </c>
      <c r="V344" s="50">
        <v>0.177728</v>
      </c>
      <c r="W344" s="50">
        <v>0.049759</v>
      </c>
      <c r="X344" s="50">
        <v>0.001579</v>
      </c>
      <c r="Y344" s="50">
        <v>0</v>
      </c>
      <c r="Z344" s="50">
        <v>0</v>
      </c>
      <c r="AA344" s="73">
        <v>344</v>
      </c>
      <c r="AB344" s="73"/>
      <c r="AC344" s="74"/>
      <c r="AD344" s="81" t="s">
        <v>1634</v>
      </c>
      <c r="AE344" s="81"/>
      <c r="AF344" s="81"/>
      <c r="AG344" s="81"/>
      <c r="AH344" s="81"/>
      <c r="AI344" s="81" t="s">
        <v>2360</v>
      </c>
      <c r="AJ344" s="85">
        <v>42062.532800925925</v>
      </c>
      <c r="AK344" s="83" t="str">
        <f>HYPERLINK("https://yt3.ggpht.com/SHF0n6hTe1OFBWhz7tQmioV48xbf-VSqHoGHgMDgGcC2eZkgoTB87yJZncqel06Wze8nxKPbHA=s88-c-k-c0x00ffffff-no-rj")</f>
        <v>https://yt3.ggpht.com/SHF0n6hTe1OFBWhz7tQmioV48xbf-VSqHoGHgMDgGcC2eZkgoTB87yJZncqel06Wze8nxKPbHA=s88-c-k-c0x00ffffff-no-rj</v>
      </c>
      <c r="AL344" s="81">
        <v>0</v>
      </c>
      <c r="AM344" s="81">
        <v>0</v>
      </c>
      <c r="AN344" s="81">
        <v>8</v>
      </c>
      <c r="AO344" s="81" t="b">
        <v>0</v>
      </c>
      <c r="AP344" s="81">
        <v>0</v>
      </c>
      <c r="AQ344" s="81"/>
      <c r="AR344" s="81"/>
      <c r="AS344" s="81" t="s">
        <v>2571</v>
      </c>
      <c r="AT344" s="83" t="str">
        <f>HYPERLINK("https://www.youtube.com/channel/UCPLxI8dQXDdc1vD7toIIS0A")</f>
        <v>https://www.youtube.com/channel/UCPLxI8dQXDdc1vD7toIIS0A</v>
      </c>
      <c r="AU344" s="81">
        <v>1</v>
      </c>
      <c r="AV344" s="49">
        <v>1</v>
      </c>
      <c r="AW344" s="50">
        <v>8.333333333333334</v>
      </c>
      <c r="AX344" s="49">
        <v>0</v>
      </c>
      <c r="AY344" s="50">
        <v>0</v>
      </c>
      <c r="AZ344" s="49">
        <v>0</v>
      </c>
      <c r="BA344" s="50">
        <v>0</v>
      </c>
      <c r="BB344" s="49">
        <v>2</v>
      </c>
      <c r="BC344" s="50">
        <v>16.666666666666668</v>
      </c>
      <c r="BD344" s="49">
        <v>12</v>
      </c>
      <c r="BE344" s="49"/>
      <c r="BF344" s="49"/>
      <c r="BG344" s="49"/>
      <c r="BH344" s="49"/>
      <c r="BI344" s="49"/>
      <c r="BJ344" s="49"/>
      <c r="BK344" s="115" t="s">
        <v>2878</v>
      </c>
      <c r="BL344" s="115" t="s">
        <v>2878</v>
      </c>
      <c r="BM344" s="115" t="s">
        <v>3333</v>
      </c>
      <c r="BN344" s="115" t="s">
        <v>3333</v>
      </c>
      <c r="BO344" s="2"/>
      <c r="BP344" s="3"/>
      <c r="BQ344" s="3"/>
      <c r="BR344" s="3"/>
      <c r="BS344" s="3"/>
    </row>
    <row r="345" spans="1:71" ht="15">
      <c r="A345" s="66" t="s">
        <v>562</v>
      </c>
      <c r="B345" s="67"/>
      <c r="C345" s="67"/>
      <c r="D345" s="68">
        <v>150</v>
      </c>
      <c r="E345" s="70"/>
      <c r="F345" s="102" t="str">
        <f>HYPERLINK("https://yt3.ggpht.com/tlqkdLD5ynZhtE54sDvfMEqDFtI9U8_k1wnfN2ZE3FD-e73s2OB7v9eqAMua50lOLiSt8RKlnA=s88-c-k-c0x00ffffff-no-rj")</f>
        <v>https://yt3.ggpht.com/tlqkdLD5ynZhtE54sDvfMEqDFtI9U8_k1wnfN2ZE3FD-e73s2OB7v9eqAMua50lOLiSt8RKlnA=s88-c-k-c0x00ffffff-no-rj</v>
      </c>
      <c r="G345" s="67"/>
      <c r="H345" s="71" t="s">
        <v>1635</v>
      </c>
      <c r="I345" s="72"/>
      <c r="J345" s="72" t="s">
        <v>159</v>
      </c>
      <c r="K345" s="71" t="s">
        <v>1635</v>
      </c>
      <c r="L345" s="75">
        <v>1</v>
      </c>
      <c r="M345" s="76">
        <v>340.95184326171875</v>
      </c>
      <c r="N345" s="76">
        <v>6829.96875</v>
      </c>
      <c r="O345" s="77"/>
      <c r="P345" s="78"/>
      <c r="Q345" s="78"/>
      <c r="R345" s="88"/>
      <c r="S345" s="49">
        <v>0</v>
      </c>
      <c r="T345" s="49">
        <v>1</v>
      </c>
      <c r="U345" s="50">
        <v>0</v>
      </c>
      <c r="V345" s="50">
        <v>0.177728</v>
      </c>
      <c r="W345" s="50">
        <v>0.049759</v>
      </c>
      <c r="X345" s="50">
        <v>0.001579</v>
      </c>
      <c r="Y345" s="50">
        <v>0</v>
      </c>
      <c r="Z345" s="50">
        <v>0</v>
      </c>
      <c r="AA345" s="73">
        <v>345</v>
      </c>
      <c r="AB345" s="73"/>
      <c r="AC345" s="74"/>
      <c r="AD345" s="81" t="s">
        <v>1635</v>
      </c>
      <c r="AE345" s="81"/>
      <c r="AF345" s="81"/>
      <c r="AG345" s="81"/>
      <c r="AH345" s="81"/>
      <c r="AI345" s="81" t="s">
        <v>2361</v>
      </c>
      <c r="AJ345" s="85">
        <v>42641.31072916667</v>
      </c>
      <c r="AK345" s="83" t="str">
        <f>HYPERLINK("https://yt3.ggpht.com/tlqkdLD5ynZhtE54sDvfMEqDFtI9U8_k1wnfN2ZE3FD-e73s2OB7v9eqAMua50lOLiSt8RKlnA=s88-c-k-c0x00ffffff-no-rj")</f>
        <v>https://yt3.ggpht.com/tlqkdLD5ynZhtE54sDvfMEqDFtI9U8_k1wnfN2ZE3FD-e73s2OB7v9eqAMua50lOLiSt8RKlnA=s88-c-k-c0x00ffffff-no-rj</v>
      </c>
      <c r="AL345" s="81">
        <v>0</v>
      </c>
      <c r="AM345" s="81">
        <v>0</v>
      </c>
      <c r="AN345" s="81">
        <v>1</v>
      </c>
      <c r="AO345" s="81" t="b">
        <v>0</v>
      </c>
      <c r="AP345" s="81">
        <v>0</v>
      </c>
      <c r="AQ345" s="81"/>
      <c r="AR345" s="81"/>
      <c r="AS345" s="81" t="s">
        <v>2571</v>
      </c>
      <c r="AT345" s="83" t="str">
        <f>HYPERLINK("https://www.youtube.com/channel/UCuB3gfOt-6D-hJVnJTbGcWA")</f>
        <v>https://www.youtube.com/channel/UCuB3gfOt-6D-hJVnJTbGcWA</v>
      </c>
      <c r="AU345" s="81">
        <v>1</v>
      </c>
      <c r="AV345" s="49">
        <v>0</v>
      </c>
      <c r="AW345" s="50">
        <v>0</v>
      </c>
      <c r="AX345" s="49">
        <v>4</v>
      </c>
      <c r="AY345" s="50">
        <v>20</v>
      </c>
      <c r="AZ345" s="49">
        <v>0</v>
      </c>
      <c r="BA345" s="50">
        <v>0</v>
      </c>
      <c r="BB345" s="49">
        <v>5</v>
      </c>
      <c r="BC345" s="50">
        <v>25</v>
      </c>
      <c r="BD345" s="49">
        <v>20</v>
      </c>
      <c r="BE345" s="49"/>
      <c r="BF345" s="49"/>
      <c r="BG345" s="49"/>
      <c r="BH345" s="49"/>
      <c r="BI345" s="49"/>
      <c r="BJ345" s="49"/>
      <c r="BK345" s="115" t="s">
        <v>2879</v>
      </c>
      <c r="BL345" s="115" t="s">
        <v>2879</v>
      </c>
      <c r="BM345" s="115" t="s">
        <v>3334</v>
      </c>
      <c r="BN345" s="115" t="s">
        <v>3334</v>
      </c>
      <c r="BO345" s="2"/>
      <c r="BP345" s="3"/>
      <c r="BQ345" s="3"/>
      <c r="BR345" s="3"/>
      <c r="BS345" s="3"/>
    </row>
    <row r="346" spans="1:71" ht="15">
      <c r="A346" s="66" t="s">
        <v>563</v>
      </c>
      <c r="B346" s="67"/>
      <c r="C346" s="67"/>
      <c r="D346" s="68">
        <v>150</v>
      </c>
      <c r="E346" s="70"/>
      <c r="F346" s="102" t="str">
        <f>HYPERLINK("https://yt3.ggpht.com/ytc/AOPolaQl9jBUrO6BJEm9MK2LVwluek7ncLg31qCTFBmXhg-5Tre4SaLQXbEmvE6vBHPA=s88-c-k-c0x00ffffff-no-rj")</f>
        <v>https://yt3.ggpht.com/ytc/AOPolaQl9jBUrO6BJEm9MK2LVwluek7ncLg31qCTFBmXhg-5Tre4SaLQXbEmvE6vBHPA=s88-c-k-c0x00ffffff-no-rj</v>
      </c>
      <c r="G346" s="67"/>
      <c r="H346" s="71" t="s">
        <v>1636</v>
      </c>
      <c r="I346" s="72"/>
      <c r="J346" s="72" t="s">
        <v>159</v>
      </c>
      <c r="K346" s="71" t="s">
        <v>1636</v>
      </c>
      <c r="L346" s="75">
        <v>1</v>
      </c>
      <c r="M346" s="76">
        <v>760.1904907226562</v>
      </c>
      <c r="N346" s="76">
        <v>8102.12841796875</v>
      </c>
      <c r="O346" s="77"/>
      <c r="P346" s="78"/>
      <c r="Q346" s="78"/>
      <c r="R346" s="88"/>
      <c r="S346" s="49">
        <v>0</v>
      </c>
      <c r="T346" s="49">
        <v>1</v>
      </c>
      <c r="U346" s="50">
        <v>0</v>
      </c>
      <c r="V346" s="50">
        <v>0.177728</v>
      </c>
      <c r="W346" s="50">
        <v>0.049759</v>
      </c>
      <c r="X346" s="50">
        <v>0.001579</v>
      </c>
      <c r="Y346" s="50">
        <v>0</v>
      </c>
      <c r="Z346" s="50">
        <v>0</v>
      </c>
      <c r="AA346" s="73">
        <v>346</v>
      </c>
      <c r="AB346" s="73"/>
      <c r="AC346" s="74"/>
      <c r="AD346" s="81" t="s">
        <v>1636</v>
      </c>
      <c r="AE346" s="81"/>
      <c r="AF346" s="81"/>
      <c r="AG346" s="81"/>
      <c r="AH346" s="81"/>
      <c r="AI346" s="81" t="s">
        <v>2362</v>
      </c>
      <c r="AJ346" s="85">
        <v>44358.06512731482</v>
      </c>
      <c r="AK346" s="83" t="str">
        <f>HYPERLINK("https://yt3.ggpht.com/ytc/AOPolaQl9jBUrO6BJEm9MK2LVwluek7ncLg31qCTFBmXhg-5Tre4SaLQXbEmvE6vBHPA=s88-c-k-c0x00ffffff-no-rj")</f>
        <v>https://yt3.ggpht.com/ytc/AOPolaQl9jBUrO6BJEm9MK2LVwluek7ncLg31qCTFBmXhg-5Tre4SaLQXbEmvE6vBHPA=s88-c-k-c0x00ffffff-no-rj</v>
      </c>
      <c r="AL346" s="81">
        <v>0</v>
      </c>
      <c r="AM346" s="81">
        <v>0</v>
      </c>
      <c r="AN346" s="81">
        <v>30</v>
      </c>
      <c r="AO346" s="81" t="b">
        <v>0</v>
      </c>
      <c r="AP346" s="81">
        <v>0</v>
      </c>
      <c r="AQ346" s="81"/>
      <c r="AR346" s="81"/>
      <c r="AS346" s="81" t="s">
        <v>2571</v>
      </c>
      <c r="AT346" s="83" t="str">
        <f>HYPERLINK("https://www.youtube.com/channel/UClp-lFkd6u56G7P1DoIU2Wg")</f>
        <v>https://www.youtube.com/channel/UClp-lFkd6u56G7P1DoIU2Wg</v>
      </c>
      <c r="AU346" s="81">
        <v>1</v>
      </c>
      <c r="AV346" s="49">
        <v>1</v>
      </c>
      <c r="AW346" s="50">
        <v>100</v>
      </c>
      <c r="AX346" s="49">
        <v>0</v>
      </c>
      <c r="AY346" s="50">
        <v>0</v>
      </c>
      <c r="AZ346" s="49">
        <v>0</v>
      </c>
      <c r="BA346" s="50">
        <v>0</v>
      </c>
      <c r="BB346" s="49">
        <v>0</v>
      </c>
      <c r="BC346" s="50">
        <v>0</v>
      </c>
      <c r="BD346" s="49">
        <v>1</v>
      </c>
      <c r="BE346" s="49"/>
      <c r="BF346" s="49"/>
      <c r="BG346" s="49"/>
      <c r="BH346" s="49"/>
      <c r="BI346" s="49"/>
      <c r="BJ346" s="49"/>
      <c r="BK346" s="115" t="s">
        <v>2632</v>
      </c>
      <c r="BL346" s="115" t="s">
        <v>2632</v>
      </c>
      <c r="BM346" s="115" t="s">
        <v>4477</v>
      </c>
      <c r="BN346" s="115" t="s">
        <v>4477</v>
      </c>
      <c r="BO346" s="2"/>
      <c r="BP346" s="3"/>
      <c r="BQ346" s="3"/>
      <c r="BR346" s="3"/>
      <c r="BS346" s="3"/>
    </row>
    <row r="347" spans="1:71" ht="15">
      <c r="A347" s="66" t="s">
        <v>564</v>
      </c>
      <c r="B347" s="67"/>
      <c r="C347" s="67"/>
      <c r="D347" s="68">
        <v>150</v>
      </c>
      <c r="E347" s="70"/>
      <c r="F347" s="102" t="str">
        <f>HYPERLINK("https://yt3.ggpht.com/ytc/AOPolaQoEVUTj-aeyqijbOHgGMu18s9NLj268ke4FiyQt5JtBNmJvBmx4RTSvQ_RvS5B=s88-c-k-c0x00ffffff-no-rj")</f>
        <v>https://yt3.ggpht.com/ytc/AOPolaQoEVUTj-aeyqijbOHgGMu18s9NLj268ke4FiyQt5JtBNmJvBmx4RTSvQ_RvS5B=s88-c-k-c0x00ffffff-no-rj</v>
      </c>
      <c r="G347" s="67"/>
      <c r="H347" s="71" t="s">
        <v>1637</v>
      </c>
      <c r="I347" s="72"/>
      <c r="J347" s="72" t="s">
        <v>159</v>
      </c>
      <c r="K347" s="71" t="s">
        <v>1637</v>
      </c>
      <c r="L347" s="75">
        <v>1</v>
      </c>
      <c r="M347" s="76">
        <v>1609.8726806640625</v>
      </c>
      <c r="N347" s="76">
        <v>6851.8310546875</v>
      </c>
      <c r="O347" s="77"/>
      <c r="P347" s="78"/>
      <c r="Q347" s="78"/>
      <c r="R347" s="88"/>
      <c r="S347" s="49">
        <v>0</v>
      </c>
      <c r="T347" s="49">
        <v>1</v>
      </c>
      <c r="U347" s="50">
        <v>0</v>
      </c>
      <c r="V347" s="50">
        <v>0.177728</v>
      </c>
      <c r="W347" s="50">
        <v>0.049759</v>
      </c>
      <c r="X347" s="50">
        <v>0.001579</v>
      </c>
      <c r="Y347" s="50">
        <v>0</v>
      </c>
      <c r="Z347" s="50">
        <v>0</v>
      </c>
      <c r="AA347" s="73">
        <v>347</v>
      </c>
      <c r="AB347" s="73"/>
      <c r="AC347" s="74"/>
      <c r="AD347" s="81" t="s">
        <v>1637</v>
      </c>
      <c r="AE347" s="81"/>
      <c r="AF347" s="81"/>
      <c r="AG347" s="81"/>
      <c r="AH347" s="81"/>
      <c r="AI347" s="81" t="s">
        <v>2363</v>
      </c>
      <c r="AJ347" s="85">
        <v>44777.420648148145</v>
      </c>
      <c r="AK347" s="83" t="str">
        <f>HYPERLINK("https://yt3.ggpht.com/ytc/AOPolaQoEVUTj-aeyqijbOHgGMu18s9NLj268ke4FiyQt5JtBNmJvBmx4RTSvQ_RvS5B=s88-c-k-c0x00ffffff-no-rj")</f>
        <v>https://yt3.ggpht.com/ytc/AOPolaQoEVUTj-aeyqijbOHgGMu18s9NLj268ke4FiyQt5JtBNmJvBmx4RTSvQ_RvS5B=s88-c-k-c0x00ffffff-no-rj</v>
      </c>
      <c r="AL347" s="81">
        <v>0</v>
      </c>
      <c r="AM347" s="81">
        <v>0</v>
      </c>
      <c r="AN347" s="81">
        <v>0</v>
      </c>
      <c r="AO347" s="81" t="b">
        <v>0</v>
      </c>
      <c r="AP347" s="81">
        <v>0</v>
      </c>
      <c r="AQ347" s="81"/>
      <c r="AR347" s="81"/>
      <c r="AS347" s="81" t="s">
        <v>2571</v>
      </c>
      <c r="AT347" s="83" t="str">
        <f>HYPERLINK("https://www.youtube.com/channel/UCpN1ODs7Ah-GPGiqE9JK0sw")</f>
        <v>https://www.youtube.com/channel/UCpN1ODs7Ah-GPGiqE9JK0sw</v>
      </c>
      <c r="AU347" s="81">
        <v>1</v>
      </c>
      <c r="AV347" s="49">
        <v>0</v>
      </c>
      <c r="AW347" s="50">
        <v>0</v>
      </c>
      <c r="AX347" s="49">
        <v>1</v>
      </c>
      <c r="AY347" s="50">
        <v>6.666666666666667</v>
      </c>
      <c r="AZ347" s="49">
        <v>0</v>
      </c>
      <c r="BA347" s="50">
        <v>0</v>
      </c>
      <c r="BB347" s="49">
        <v>2</v>
      </c>
      <c r="BC347" s="50">
        <v>13.333333333333334</v>
      </c>
      <c r="BD347" s="49">
        <v>15</v>
      </c>
      <c r="BE347" s="49"/>
      <c r="BF347" s="49"/>
      <c r="BG347" s="49"/>
      <c r="BH347" s="49"/>
      <c r="BI347" s="49"/>
      <c r="BJ347" s="49"/>
      <c r="BK347" s="115" t="s">
        <v>2880</v>
      </c>
      <c r="BL347" s="115" t="s">
        <v>2880</v>
      </c>
      <c r="BM347" s="115" t="s">
        <v>3335</v>
      </c>
      <c r="BN347" s="115" t="s">
        <v>3335</v>
      </c>
      <c r="BO347" s="2"/>
      <c r="BP347" s="3"/>
      <c r="BQ347" s="3"/>
      <c r="BR347" s="3"/>
      <c r="BS347" s="3"/>
    </row>
    <row r="348" spans="1:71" ht="15">
      <c r="A348" s="66" t="s">
        <v>565</v>
      </c>
      <c r="B348" s="67"/>
      <c r="C348" s="67"/>
      <c r="D348" s="68">
        <v>150</v>
      </c>
      <c r="E348" s="70"/>
      <c r="F348" s="102" t="str">
        <f>HYPERLINK("https://yt3.ggpht.com/DKHFQb4b8QJZgfy3TGxo7KILmtFuMuzcwKrIp20tHzocXeWNItGLMh0pPVqPjod-HfwTbVhMaxY=s88-c-k-c0x00ffffff-no-rj")</f>
        <v>https://yt3.ggpht.com/DKHFQb4b8QJZgfy3TGxo7KILmtFuMuzcwKrIp20tHzocXeWNItGLMh0pPVqPjod-HfwTbVhMaxY=s88-c-k-c0x00ffffff-no-rj</v>
      </c>
      <c r="G348" s="67"/>
      <c r="H348" s="71" t="s">
        <v>1638</v>
      </c>
      <c r="I348" s="72"/>
      <c r="J348" s="72" t="s">
        <v>159</v>
      </c>
      <c r="K348" s="71" t="s">
        <v>1638</v>
      </c>
      <c r="L348" s="75">
        <v>1</v>
      </c>
      <c r="M348" s="76">
        <v>4300.02685546875</v>
      </c>
      <c r="N348" s="76">
        <v>7024.5830078125</v>
      </c>
      <c r="O348" s="77"/>
      <c r="P348" s="78"/>
      <c r="Q348" s="78"/>
      <c r="R348" s="88"/>
      <c r="S348" s="49">
        <v>0</v>
      </c>
      <c r="T348" s="49">
        <v>1</v>
      </c>
      <c r="U348" s="50">
        <v>0</v>
      </c>
      <c r="V348" s="50">
        <v>0.177728</v>
      </c>
      <c r="W348" s="50">
        <v>0.049759</v>
      </c>
      <c r="X348" s="50">
        <v>0.001579</v>
      </c>
      <c r="Y348" s="50">
        <v>0</v>
      </c>
      <c r="Z348" s="50">
        <v>0</v>
      </c>
      <c r="AA348" s="73">
        <v>348</v>
      </c>
      <c r="AB348" s="73"/>
      <c r="AC348" s="74"/>
      <c r="AD348" s="81" t="s">
        <v>1638</v>
      </c>
      <c r="AE348" s="81" t="s">
        <v>1980</v>
      </c>
      <c r="AF348" s="81"/>
      <c r="AG348" s="81"/>
      <c r="AH348" s="81"/>
      <c r="AI348" s="81" t="s">
        <v>2364</v>
      </c>
      <c r="AJ348" s="85">
        <v>42847.755740740744</v>
      </c>
      <c r="AK348" s="83" t="str">
        <f>HYPERLINK("https://yt3.ggpht.com/DKHFQb4b8QJZgfy3TGxo7KILmtFuMuzcwKrIp20tHzocXeWNItGLMh0pPVqPjod-HfwTbVhMaxY=s88-c-k-c0x00ffffff-no-rj")</f>
        <v>https://yt3.ggpht.com/DKHFQb4b8QJZgfy3TGxo7KILmtFuMuzcwKrIp20tHzocXeWNItGLMh0pPVqPjod-HfwTbVhMaxY=s88-c-k-c0x00ffffff-no-rj</v>
      </c>
      <c r="AL348" s="81">
        <v>0</v>
      </c>
      <c r="AM348" s="81">
        <v>0</v>
      </c>
      <c r="AN348" s="81">
        <v>4</v>
      </c>
      <c r="AO348" s="81" t="b">
        <v>0</v>
      </c>
      <c r="AP348" s="81">
        <v>0</v>
      </c>
      <c r="AQ348" s="81"/>
      <c r="AR348" s="81"/>
      <c r="AS348" s="81" t="s">
        <v>2571</v>
      </c>
      <c r="AT348" s="83" t="str">
        <f>HYPERLINK("https://www.youtube.com/channel/UCIB0Xmyn-AUtGloBCErYsFg")</f>
        <v>https://www.youtube.com/channel/UCIB0Xmyn-AUtGloBCErYsFg</v>
      </c>
      <c r="AU348" s="81">
        <v>1</v>
      </c>
      <c r="AV348" s="49">
        <v>0</v>
      </c>
      <c r="AW348" s="50">
        <v>0</v>
      </c>
      <c r="AX348" s="49">
        <v>0</v>
      </c>
      <c r="AY348" s="50">
        <v>0</v>
      </c>
      <c r="AZ348" s="49">
        <v>0</v>
      </c>
      <c r="BA348" s="50">
        <v>0</v>
      </c>
      <c r="BB348" s="49">
        <v>1</v>
      </c>
      <c r="BC348" s="50">
        <v>25</v>
      </c>
      <c r="BD348" s="49">
        <v>4</v>
      </c>
      <c r="BE348" s="49"/>
      <c r="BF348" s="49"/>
      <c r="BG348" s="49"/>
      <c r="BH348" s="49"/>
      <c r="BI348" s="49"/>
      <c r="BJ348" s="49"/>
      <c r="BK348" s="115" t="s">
        <v>2881</v>
      </c>
      <c r="BL348" s="115" t="s">
        <v>2881</v>
      </c>
      <c r="BM348" s="115" t="s">
        <v>4477</v>
      </c>
      <c r="BN348" s="115" t="s">
        <v>4477</v>
      </c>
      <c r="BO348" s="2"/>
      <c r="BP348" s="3"/>
      <c r="BQ348" s="3"/>
      <c r="BR348" s="3"/>
      <c r="BS348" s="3"/>
    </row>
    <row r="349" spans="1:71" ht="15">
      <c r="A349" s="66" t="s">
        <v>566</v>
      </c>
      <c r="B349" s="67"/>
      <c r="C349" s="67"/>
      <c r="D349" s="68">
        <v>150</v>
      </c>
      <c r="E349" s="70"/>
      <c r="F349" s="102" t="str">
        <f>HYPERLINK("https://yt3.ggpht.com/ytc/AOPolaQrzJoaYoXSIXDAA32iZMLpF2izXIaV8jJnXhcl2A=s88-c-k-c0x00ffffff-no-rj")</f>
        <v>https://yt3.ggpht.com/ytc/AOPolaQrzJoaYoXSIXDAA32iZMLpF2izXIaV8jJnXhcl2A=s88-c-k-c0x00ffffff-no-rj</v>
      </c>
      <c r="G349" s="67"/>
      <c r="H349" s="71" t="s">
        <v>1639</v>
      </c>
      <c r="I349" s="72"/>
      <c r="J349" s="72" t="s">
        <v>159</v>
      </c>
      <c r="K349" s="71" t="s">
        <v>1639</v>
      </c>
      <c r="L349" s="75">
        <v>1</v>
      </c>
      <c r="M349" s="76">
        <v>5433.1083984375</v>
      </c>
      <c r="N349" s="76">
        <v>8420.8349609375</v>
      </c>
      <c r="O349" s="77"/>
      <c r="P349" s="78"/>
      <c r="Q349" s="78"/>
      <c r="R349" s="88"/>
      <c r="S349" s="49">
        <v>0</v>
      </c>
      <c r="T349" s="49">
        <v>1</v>
      </c>
      <c r="U349" s="50">
        <v>0</v>
      </c>
      <c r="V349" s="50">
        <v>0.177728</v>
      </c>
      <c r="W349" s="50">
        <v>0.049759</v>
      </c>
      <c r="X349" s="50">
        <v>0.001579</v>
      </c>
      <c r="Y349" s="50">
        <v>0</v>
      </c>
      <c r="Z349" s="50">
        <v>0</v>
      </c>
      <c r="AA349" s="73">
        <v>349</v>
      </c>
      <c r="AB349" s="73"/>
      <c r="AC349" s="74"/>
      <c r="AD349" s="81" t="s">
        <v>1639</v>
      </c>
      <c r="AE349" s="81"/>
      <c r="AF349" s="81"/>
      <c r="AG349" s="81"/>
      <c r="AH349" s="81"/>
      <c r="AI349" s="81" t="s">
        <v>2365</v>
      </c>
      <c r="AJ349" s="85">
        <v>42531.405</v>
      </c>
      <c r="AK349" s="83" t="str">
        <f>HYPERLINK("https://yt3.ggpht.com/ytc/AOPolaQrzJoaYoXSIXDAA32iZMLpF2izXIaV8jJnXhcl2A=s88-c-k-c0x00ffffff-no-rj")</f>
        <v>https://yt3.ggpht.com/ytc/AOPolaQrzJoaYoXSIXDAA32iZMLpF2izXIaV8jJnXhcl2A=s88-c-k-c0x00ffffff-no-rj</v>
      </c>
      <c r="AL349" s="81">
        <v>0</v>
      </c>
      <c r="AM349" s="81">
        <v>0</v>
      </c>
      <c r="AN349" s="81">
        <v>1</v>
      </c>
      <c r="AO349" s="81" t="b">
        <v>0</v>
      </c>
      <c r="AP349" s="81">
        <v>0</v>
      </c>
      <c r="AQ349" s="81"/>
      <c r="AR349" s="81"/>
      <c r="AS349" s="81" t="s">
        <v>2571</v>
      </c>
      <c r="AT349" s="83" t="str">
        <f>HYPERLINK("https://www.youtube.com/channel/UCbqN9YkySTk_SOinIUNcZAQ")</f>
        <v>https://www.youtube.com/channel/UCbqN9YkySTk_SOinIUNcZAQ</v>
      </c>
      <c r="AU349" s="81">
        <v>1</v>
      </c>
      <c r="AV349" s="49">
        <v>0</v>
      </c>
      <c r="AW349" s="50">
        <v>0</v>
      </c>
      <c r="AX349" s="49">
        <v>2</v>
      </c>
      <c r="AY349" s="50">
        <v>6.25</v>
      </c>
      <c r="AZ349" s="49">
        <v>0</v>
      </c>
      <c r="BA349" s="50">
        <v>0</v>
      </c>
      <c r="BB349" s="49">
        <v>9</v>
      </c>
      <c r="BC349" s="50">
        <v>28.125</v>
      </c>
      <c r="BD349" s="49">
        <v>32</v>
      </c>
      <c r="BE349" s="49"/>
      <c r="BF349" s="49"/>
      <c r="BG349" s="49"/>
      <c r="BH349" s="49"/>
      <c r="BI349" s="49"/>
      <c r="BJ349" s="49"/>
      <c r="BK349" s="115" t="s">
        <v>2882</v>
      </c>
      <c r="BL349" s="115" t="s">
        <v>2882</v>
      </c>
      <c r="BM349" s="115" t="s">
        <v>3336</v>
      </c>
      <c r="BN349" s="115" t="s">
        <v>3336</v>
      </c>
      <c r="BO349" s="2"/>
      <c r="BP349" s="3"/>
      <c r="BQ349" s="3"/>
      <c r="BR349" s="3"/>
      <c r="BS349" s="3"/>
    </row>
    <row r="350" spans="1:71" ht="15">
      <c r="A350" s="66" t="s">
        <v>567</v>
      </c>
      <c r="B350" s="67"/>
      <c r="C350" s="67"/>
      <c r="D350" s="68">
        <v>150</v>
      </c>
      <c r="E350" s="70"/>
      <c r="F350" s="102" t="str">
        <f>HYPERLINK("https://yt3.ggpht.com/SzLxnGS25BBeISz_7cejxZkmDucsRN0xstQdrI7UWY1j07SB4jbn0nlIwzJrNAdY5BdmwL2SB_E=s88-c-k-c0x00ffffff-no-rj")</f>
        <v>https://yt3.ggpht.com/SzLxnGS25BBeISz_7cejxZkmDucsRN0xstQdrI7UWY1j07SB4jbn0nlIwzJrNAdY5BdmwL2SB_E=s88-c-k-c0x00ffffff-no-rj</v>
      </c>
      <c r="G350" s="67"/>
      <c r="H350" s="71" t="s">
        <v>1640</v>
      </c>
      <c r="I350" s="72"/>
      <c r="J350" s="72" t="s">
        <v>159</v>
      </c>
      <c r="K350" s="71" t="s">
        <v>1640</v>
      </c>
      <c r="L350" s="75">
        <v>1</v>
      </c>
      <c r="M350" s="76">
        <v>846.4965209960938</v>
      </c>
      <c r="N350" s="76">
        <v>6561.0947265625</v>
      </c>
      <c r="O350" s="77"/>
      <c r="P350" s="78"/>
      <c r="Q350" s="78"/>
      <c r="R350" s="88"/>
      <c r="S350" s="49">
        <v>0</v>
      </c>
      <c r="T350" s="49">
        <v>1</v>
      </c>
      <c r="U350" s="50">
        <v>0</v>
      </c>
      <c r="V350" s="50">
        <v>0.177728</v>
      </c>
      <c r="W350" s="50">
        <v>0.049759</v>
      </c>
      <c r="X350" s="50">
        <v>0.001579</v>
      </c>
      <c r="Y350" s="50">
        <v>0</v>
      </c>
      <c r="Z350" s="50">
        <v>0</v>
      </c>
      <c r="AA350" s="73">
        <v>350</v>
      </c>
      <c r="AB350" s="73"/>
      <c r="AC350" s="74"/>
      <c r="AD350" s="81" t="s">
        <v>1640</v>
      </c>
      <c r="AE350" s="81" t="s">
        <v>1981</v>
      </c>
      <c r="AF350" s="81"/>
      <c r="AG350" s="81"/>
      <c r="AH350" s="81"/>
      <c r="AI350" s="81" t="s">
        <v>2366</v>
      </c>
      <c r="AJ350" s="85">
        <v>42269.876076388886</v>
      </c>
      <c r="AK350" s="83" t="str">
        <f>HYPERLINK("https://yt3.ggpht.com/SzLxnGS25BBeISz_7cejxZkmDucsRN0xstQdrI7UWY1j07SB4jbn0nlIwzJrNAdY5BdmwL2SB_E=s88-c-k-c0x00ffffff-no-rj")</f>
        <v>https://yt3.ggpht.com/SzLxnGS25BBeISz_7cejxZkmDucsRN0xstQdrI7UWY1j07SB4jbn0nlIwzJrNAdY5BdmwL2SB_E=s88-c-k-c0x00ffffff-no-rj</v>
      </c>
      <c r="AL350" s="81">
        <v>1755</v>
      </c>
      <c r="AM350" s="81">
        <v>0</v>
      </c>
      <c r="AN350" s="81">
        <v>17</v>
      </c>
      <c r="AO350" s="81" t="b">
        <v>0</v>
      </c>
      <c r="AP350" s="81">
        <v>4</v>
      </c>
      <c r="AQ350" s="81"/>
      <c r="AR350" s="81"/>
      <c r="AS350" s="81" t="s">
        <v>2571</v>
      </c>
      <c r="AT350" s="83" t="str">
        <f>HYPERLINK("https://www.youtube.com/channel/UCcewikxALDMFVa3W8YiBYdA")</f>
        <v>https://www.youtube.com/channel/UCcewikxALDMFVa3W8YiBYdA</v>
      </c>
      <c r="AU350" s="81">
        <v>1</v>
      </c>
      <c r="AV350" s="49">
        <v>0</v>
      </c>
      <c r="AW350" s="50">
        <v>0</v>
      </c>
      <c r="AX350" s="49">
        <v>2</v>
      </c>
      <c r="AY350" s="50">
        <v>10</v>
      </c>
      <c r="AZ350" s="49">
        <v>0</v>
      </c>
      <c r="BA350" s="50">
        <v>0</v>
      </c>
      <c r="BB350" s="49">
        <v>2</v>
      </c>
      <c r="BC350" s="50">
        <v>10</v>
      </c>
      <c r="BD350" s="49">
        <v>20</v>
      </c>
      <c r="BE350" s="49"/>
      <c r="BF350" s="49"/>
      <c r="BG350" s="49"/>
      <c r="BH350" s="49"/>
      <c r="BI350" s="49"/>
      <c r="BJ350" s="49"/>
      <c r="BK350" s="115" t="s">
        <v>2883</v>
      </c>
      <c r="BL350" s="115" t="s">
        <v>2883</v>
      </c>
      <c r="BM350" s="115" t="s">
        <v>3337</v>
      </c>
      <c r="BN350" s="115" t="s">
        <v>3337</v>
      </c>
      <c r="BO350" s="2"/>
      <c r="BP350" s="3"/>
      <c r="BQ350" s="3"/>
      <c r="BR350" s="3"/>
      <c r="BS350" s="3"/>
    </row>
    <row r="351" spans="1:71" ht="15">
      <c r="A351" s="66" t="s">
        <v>568</v>
      </c>
      <c r="B351" s="67"/>
      <c r="C351" s="67"/>
      <c r="D351" s="68">
        <v>150</v>
      </c>
      <c r="E351" s="70"/>
      <c r="F351" s="102" t="str">
        <f>HYPERLINK("https://yt3.ggpht.com/ytc/AOPolaTxjU7LMfiXH-Odnv87KEy0IZJLE9uvOZyzCKO09epI1PGtizxyGO2eDAITdAUk=s88-c-k-c0x00ffffff-no-rj")</f>
        <v>https://yt3.ggpht.com/ytc/AOPolaTxjU7LMfiXH-Odnv87KEy0IZJLE9uvOZyzCKO09epI1PGtizxyGO2eDAITdAUk=s88-c-k-c0x00ffffff-no-rj</v>
      </c>
      <c r="G351" s="67"/>
      <c r="H351" s="71" t="s">
        <v>1641</v>
      </c>
      <c r="I351" s="72"/>
      <c r="J351" s="72" t="s">
        <v>159</v>
      </c>
      <c r="K351" s="71" t="s">
        <v>1641</v>
      </c>
      <c r="L351" s="75">
        <v>1</v>
      </c>
      <c r="M351" s="76">
        <v>3847.441650390625</v>
      </c>
      <c r="N351" s="76">
        <v>9288.080078125</v>
      </c>
      <c r="O351" s="77"/>
      <c r="P351" s="78"/>
      <c r="Q351" s="78"/>
      <c r="R351" s="88"/>
      <c r="S351" s="49">
        <v>0</v>
      </c>
      <c r="T351" s="49">
        <v>1</v>
      </c>
      <c r="U351" s="50">
        <v>0</v>
      </c>
      <c r="V351" s="50">
        <v>0.177728</v>
      </c>
      <c r="W351" s="50">
        <v>0.049759</v>
      </c>
      <c r="X351" s="50">
        <v>0.001579</v>
      </c>
      <c r="Y351" s="50">
        <v>0</v>
      </c>
      <c r="Z351" s="50">
        <v>0</v>
      </c>
      <c r="AA351" s="73">
        <v>351</v>
      </c>
      <c r="AB351" s="73"/>
      <c r="AC351" s="74"/>
      <c r="AD351" s="81" t="s">
        <v>1641</v>
      </c>
      <c r="AE351" s="81"/>
      <c r="AF351" s="81"/>
      <c r="AG351" s="81"/>
      <c r="AH351" s="81"/>
      <c r="AI351" s="81" t="s">
        <v>2367</v>
      </c>
      <c r="AJ351" s="85">
        <v>45059.20582175926</v>
      </c>
      <c r="AK351" s="83" t="str">
        <f>HYPERLINK("https://yt3.ggpht.com/ytc/AOPolaTxjU7LMfiXH-Odnv87KEy0IZJLE9uvOZyzCKO09epI1PGtizxyGO2eDAITdAUk=s88-c-k-c0x00ffffff-no-rj")</f>
        <v>https://yt3.ggpht.com/ytc/AOPolaTxjU7LMfiXH-Odnv87KEy0IZJLE9uvOZyzCKO09epI1PGtizxyGO2eDAITdAUk=s88-c-k-c0x00ffffff-no-rj</v>
      </c>
      <c r="AL351" s="81">
        <v>0</v>
      </c>
      <c r="AM351" s="81">
        <v>0</v>
      </c>
      <c r="AN351" s="81">
        <v>0</v>
      </c>
      <c r="AO351" s="81" t="b">
        <v>0</v>
      </c>
      <c r="AP351" s="81">
        <v>0</v>
      </c>
      <c r="AQ351" s="81"/>
      <c r="AR351" s="81"/>
      <c r="AS351" s="81" t="s">
        <v>2571</v>
      </c>
      <c r="AT351" s="83" t="str">
        <f>HYPERLINK("https://www.youtube.com/channel/UC81ONGO9ynWpnw9Kked6J4g")</f>
        <v>https://www.youtube.com/channel/UC81ONGO9ynWpnw9Kked6J4g</v>
      </c>
      <c r="AU351" s="81">
        <v>1</v>
      </c>
      <c r="AV351" s="49">
        <v>3</v>
      </c>
      <c r="AW351" s="50">
        <v>12</v>
      </c>
      <c r="AX351" s="49">
        <v>0</v>
      </c>
      <c r="AY351" s="50">
        <v>0</v>
      </c>
      <c r="AZ351" s="49">
        <v>0</v>
      </c>
      <c r="BA351" s="50">
        <v>0</v>
      </c>
      <c r="BB351" s="49">
        <v>9</v>
      </c>
      <c r="BC351" s="50">
        <v>36</v>
      </c>
      <c r="BD351" s="49">
        <v>25</v>
      </c>
      <c r="BE351" s="49"/>
      <c r="BF351" s="49"/>
      <c r="BG351" s="49"/>
      <c r="BH351" s="49"/>
      <c r="BI351" s="49"/>
      <c r="BJ351" s="49"/>
      <c r="BK351" s="115" t="s">
        <v>2884</v>
      </c>
      <c r="BL351" s="115" t="s">
        <v>2884</v>
      </c>
      <c r="BM351" s="115" t="s">
        <v>3338</v>
      </c>
      <c r="BN351" s="115" t="s">
        <v>3338</v>
      </c>
      <c r="BO351" s="2"/>
      <c r="BP351" s="3"/>
      <c r="BQ351" s="3"/>
      <c r="BR351" s="3"/>
      <c r="BS351" s="3"/>
    </row>
    <row r="352" spans="1:71" ht="15">
      <c r="A352" s="66" t="s">
        <v>569</v>
      </c>
      <c r="B352" s="67"/>
      <c r="C352" s="67"/>
      <c r="D352" s="68">
        <v>150</v>
      </c>
      <c r="E352" s="70"/>
      <c r="F352" s="102" t="str">
        <f>HYPERLINK("https://yt3.ggpht.com/ytc/AOPolaRp6mX8GLvCNdcW3LeVciUxHX3-UvefVor-nj2k8nLaLyF0kNWnb2Wbc4vrZMb0=s88-c-k-c0x00ffffff-no-rj")</f>
        <v>https://yt3.ggpht.com/ytc/AOPolaRp6mX8GLvCNdcW3LeVciUxHX3-UvefVor-nj2k8nLaLyF0kNWnb2Wbc4vrZMb0=s88-c-k-c0x00ffffff-no-rj</v>
      </c>
      <c r="G352" s="67"/>
      <c r="H352" s="71" t="s">
        <v>1642</v>
      </c>
      <c r="I352" s="72"/>
      <c r="J352" s="72" t="s">
        <v>159</v>
      </c>
      <c r="K352" s="71" t="s">
        <v>1642</v>
      </c>
      <c r="L352" s="75">
        <v>1</v>
      </c>
      <c r="M352" s="76">
        <v>5736.55224609375</v>
      </c>
      <c r="N352" s="76">
        <v>8086.32470703125</v>
      </c>
      <c r="O352" s="77"/>
      <c r="P352" s="78"/>
      <c r="Q352" s="78"/>
      <c r="R352" s="88"/>
      <c r="S352" s="49">
        <v>0</v>
      </c>
      <c r="T352" s="49">
        <v>1</v>
      </c>
      <c r="U352" s="50">
        <v>0</v>
      </c>
      <c r="V352" s="50">
        <v>0.177728</v>
      </c>
      <c r="W352" s="50">
        <v>0.049759</v>
      </c>
      <c r="X352" s="50">
        <v>0.001579</v>
      </c>
      <c r="Y352" s="50">
        <v>0</v>
      </c>
      <c r="Z352" s="50">
        <v>0</v>
      </c>
      <c r="AA352" s="73">
        <v>352</v>
      </c>
      <c r="AB352" s="73"/>
      <c r="AC352" s="74"/>
      <c r="AD352" s="81" t="s">
        <v>1642</v>
      </c>
      <c r="AE352" s="81"/>
      <c r="AF352" s="81"/>
      <c r="AG352" s="81"/>
      <c r="AH352" s="81"/>
      <c r="AI352" s="81" t="s">
        <v>2368</v>
      </c>
      <c r="AJ352" s="85">
        <v>45049.17658564815</v>
      </c>
      <c r="AK352" s="83" t="str">
        <f>HYPERLINK("https://yt3.ggpht.com/ytc/AOPolaRp6mX8GLvCNdcW3LeVciUxHX3-UvefVor-nj2k8nLaLyF0kNWnb2Wbc4vrZMb0=s88-c-k-c0x00ffffff-no-rj")</f>
        <v>https://yt3.ggpht.com/ytc/AOPolaRp6mX8GLvCNdcW3LeVciUxHX3-UvefVor-nj2k8nLaLyF0kNWnb2Wbc4vrZMb0=s88-c-k-c0x00ffffff-no-rj</v>
      </c>
      <c r="AL352" s="81">
        <v>0</v>
      </c>
      <c r="AM352" s="81">
        <v>0</v>
      </c>
      <c r="AN352" s="81">
        <v>0</v>
      </c>
      <c r="AO352" s="81" t="b">
        <v>0</v>
      </c>
      <c r="AP352" s="81">
        <v>0</v>
      </c>
      <c r="AQ352" s="81"/>
      <c r="AR352" s="81"/>
      <c r="AS352" s="81" t="s">
        <v>2571</v>
      </c>
      <c r="AT352" s="83" t="str">
        <f>HYPERLINK("https://www.youtube.com/channel/UCopPTN-b2HEpzV6BfJglhBA")</f>
        <v>https://www.youtube.com/channel/UCopPTN-b2HEpzV6BfJglhBA</v>
      </c>
      <c r="AU352" s="81">
        <v>1</v>
      </c>
      <c r="AV352" s="49">
        <v>1</v>
      </c>
      <c r="AW352" s="50">
        <v>25</v>
      </c>
      <c r="AX352" s="49">
        <v>0</v>
      </c>
      <c r="AY352" s="50">
        <v>0</v>
      </c>
      <c r="AZ352" s="49">
        <v>0</v>
      </c>
      <c r="BA352" s="50">
        <v>0</v>
      </c>
      <c r="BB352" s="49">
        <v>1</v>
      </c>
      <c r="BC352" s="50">
        <v>25</v>
      </c>
      <c r="BD352" s="49">
        <v>4</v>
      </c>
      <c r="BE352" s="49"/>
      <c r="BF352" s="49"/>
      <c r="BG352" s="49"/>
      <c r="BH352" s="49"/>
      <c r="BI352" s="49"/>
      <c r="BJ352" s="49"/>
      <c r="BK352" s="115" t="s">
        <v>2885</v>
      </c>
      <c r="BL352" s="115" t="s">
        <v>2885</v>
      </c>
      <c r="BM352" s="115" t="s">
        <v>3339</v>
      </c>
      <c r="BN352" s="115" t="s">
        <v>3339</v>
      </c>
      <c r="BO352" s="2"/>
      <c r="BP352" s="3"/>
      <c r="BQ352" s="3"/>
      <c r="BR352" s="3"/>
      <c r="BS352" s="3"/>
    </row>
    <row r="353" spans="1:71" ht="15">
      <c r="A353" s="66" t="s">
        <v>570</v>
      </c>
      <c r="B353" s="67"/>
      <c r="C353" s="67"/>
      <c r="D353" s="68">
        <v>150</v>
      </c>
      <c r="E353" s="70"/>
      <c r="F353" s="102" t="str">
        <f>HYPERLINK("https://yt3.ggpht.com/UhEyX6fHNdmVFyhtssK_aCCuDWUGgMnSi2hQSBOJNntsfq1Skro3XyKQANT8EKtZbHlXVBgErA=s88-c-k-c0x00ffffff-no-rj")</f>
        <v>https://yt3.ggpht.com/UhEyX6fHNdmVFyhtssK_aCCuDWUGgMnSi2hQSBOJNntsfq1Skro3XyKQANT8EKtZbHlXVBgErA=s88-c-k-c0x00ffffff-no-rj</v>
      </c>
      <c r="G353" s="67"/>
      <c r="H353" s="71" t="s">
        <v>1643</v>
      </c>
      <c r="I353" s="72"/>
      <c r="J353" s="72" t="s">
        <v>159</v>
      </c>
      <c r="K353" s="71" t="s">
        <v>1643</v>
      </c>
      <c r="L353" s="75">
        <v>1</v>
      </c>
      <c r="M353" s="76">
        <v>1726.08642578125</v>
      </c>
      <c r="N353" s="76">
        <v>8431.3408203125</v>
      </c>
      <c r="O353" s="77"/>
      <c r="P353" s="78"/>
      <c r="Q353" s="78"/>
      <c r="R353" s="88"/>
      <c r="S353" s="49">
        <v>0</v>
      </c>
      <c r="T353" s="49">
        <v>1</v>
      </c>
      <c r="U353" s="50">
        <v>0</v>
      </c>
      <c r="V353" s="50">
        <v>0.177728</v>
      </c>
      <c r="W353" s="50">
        <v>0.049759</v>
      </c>
      <c r="X353" s="50">
        <v>0.001579</v>
      </c>
      <c r="Y353" s="50">
        <v>0</v>
      </c>
      <c r="Z353" s="50">
        <v>0</v>
      </c>
      <c r="AA353" s="73">
        <v>353</v>
      </c>
      <c r="AB353" s="73"/>
      <c r="AC353" s="74"/>
      <c r="AD353" s="81" t="s">
        <v>1643</v>
      </c>
      <c r="AE353" s="81"/>
      <c r="AF353" s="81"/>
      <c r="AG353" s="81"/>
      <c r="AH353" s="81"/>
      <c r="AI353" s="81" t="s">
        <v>2369</v>
      </c>
      <c r="AJ353" s="85">
        <v>40824.84216435185</v>
      </c>
      <c r="AK353" s="83" t="str">
        <f>HYPERLINK("https://yt3.ggpht.com/UhEyX6fHNdmVFyhtssK_aCCuDWUGgMnSi2hQSBOJNntsfq1Skro3XyKQANT8EKtZbHlXVBgErA=s88-c-k-c0x00ffffff-no-rj")</f>
        <v>https://yt3.ggpht.com/UhEyX6fHNdmVFyhtssK_aCCuDWUGgMnSi2hQSBOJNntsfq1Skro3XyKQANT8EKtZbHlXVBgErA=s88-c-k-c0x00ffffff-no-rj</v>
      </c>
      <c r="AL353" s="81">
        <v>49</v>
      </c>
      <c r="AM353" s="81">
        <v>0</v>
      </c>
      <c r="AN353" s="81">
        <v>10</v>
      </c>
      <c r="AO353" s="81" t="b">
        <v>0</v>
      </c>
      <c r="AP353" s="81">
        <v>1</v>
      </c>
      <c r="AQ353" s="81"/>
      <c r="AR353" s="81"/>
      <c r="AS353" s="81" t="s">
        <v>2571</v>
      </c>
      <c r="AT353" s="83" t="str">
        <f>HYPERLINK("https://www.youtube.com/channel/UCRNFmXcZWkmNOoTjge3218A")</f>
        <v>https://www.youtube.com/channel/UCRNFmXcZWkmNOoTjge3218A</v>
      </c>
      <c r="AU353" s="81">
        <v>1</v>
      </c>
      <c r="AV353" s="49">
        <v>1</v>
      </c>
      <c r="AW353" s="50">
        <v>7.142857142857143</v>
      </c>
      <c r="AX353" s="49">
        <v>0</v>
      </c>
      <c r="AY353" s="50">
        <v>0</v>
      </c>
      <c r="AZ353" s="49">
        <v>0</v>
      </c>
      <c r="BA353" s="50">
        <v>0</v>
      </c>
      <c r="BB353" s="49">
        <v>5</v>
      </c>
      <c r="BC353" s="50">
        <v>35.714285714285715</v>
      </c>
      <c r="BD353" s="49">
        <v>14</v>
      </c>
      <c r="BE353" s="49"/>
      <c r="BF353" s="49"/>
      <c r="BG353" s="49"/>
      <c r="BH353" s="49"/>
      <c r="BI353" s="49"/>
      <c r="BJ353" s="49"/>
      <c r="BK353" s="115" t="s">
        <v>2886</v>
      </c>
      <c r="BL353" s="115" t="s">
        <v>2886</v>
      </c>
      <c r="BM353" s="115" t="s">
        <v>3340</v>
      </c>
      <c r="BN353" s="115" t="s">
        <v>3340</v>
      </c>
      <c r="BO353" s="2"/>
      <c r="BP353" s="3"/>
      <c r="BQ353" s="3"/>
      <c r="BR353" s="3"/>
      <c r="BS353" s="3"/>
    </row>
    <row r="354" spans="1:71" ht="15">
      <c r="A354" s="66" t="s">
        <v>571</v>
      </c>
      <c r="B354" s="67"/>
      <c r="C354" s="67"/>
      <c r="D354" s="68">
        <v>150</v>
      </c>
      <c r="E354" s="70"/>
      <c r="F354" s="102" t="str">
        <f>HYPERLINK("https://yt3.ggpht.com/ytc/AOPolaRbZ_1B2aLbZXljEE1ElJBZtp0W1AKFZIViAQ=s88-c-k-c0x00ffffff-no-rj")</f>
        <v>https://yt3.ggpht.com/ytc/AOPolaRbZ_1B2aLbZXljEE1ElJBZtp0W1AKFZIViAQ=s88-c-k-c0x00ffffff-no-rj</v>
      </c>
      <c r="G354" s="67"/>
      <c r="H354" s="71" t="s">
        <v>1644</v>
      </c>
      <c r="I354" s="72"/>
      <c r="J354" s="72" t="s">
        <v>159</v>
      </c>
      <c r="K354" s="71" t="s">
        <v>1644</v>
      </c>
      <c r="L354" s="75">
        <v>1</v>
      </c>
      <c r="M354" s="76">
        <v>1319.1666259765625</v>
      </c>
      <c r="N354" s="76">
        <v>8789.591796875</v>
      </c>
      <c r="O354" s="77"/>
      <c r="P354" s="78"/>
      <c r="Q354" s="78"/>
      <c r="R354" s="88"/>
      <c r="S354" s="49">
        <v>0</v>
      </c>
      <c r="T354" s="49">
        <v>1</v>
      </c>
      <c r="U354" s="50">
        <v>0</v>
      </c>
      <c r="V354" s="50">
        <v>0.177728</v>
      </c>
      <c r="W354" s="50">
        <v>0.049759</v>
      </c>
      <c r="X354" s="50">
        <v>0.001579</v>
      </c>
      <c r="Y354" s="50">
        <v>0</v>
      </c>
      <c r="Z354" s="50">
        <v>0</v>
      </c>
      <c r="AA354" s="73">
        <v>354</v>
      </c>
      <c r="AB354" s="73"/>
      <c r="AC354" s="74"/>
      <c r="AD354" s="81" t="s">
        <v>1644</v>
      </c>
      <c r="AE354" s="81"/>
      <c r="AF354" s="81"/>
      <c r="AG354" s="81"/>
      <c r="AH354" s="81"/>
      <c r="AI354" s="81" t="s">
        <v>2370</v>
      </c>
      <c r="AJ354" s="85">
        <v>42754.48924768518</v>
      </c>
      <c r="AK354" s="83" t="str">
        <f>HYPERLINK("https://yt3.ggpht.com/ytc/AOPolaRbZ_1B2aLbZXljEE1ElJBZtp0W1AKFZIViAQ=s88-c-k-c0x00ffffff-no-rj")</f>
        <v>https://yt3.ggpht.com/ytc/AOPolaRbZ_1B2aLbZXljEE1ElJBZtp0W1AKFZIViAQ=s88-c-k-c0x00ffffff-no-rj</v>
      </c>
      <c r="AL354" s="81">
        <v>0</v>
      </c>
      <c r="AM354" s="81">
        <v>0</v>
      </c>
      <c r="AN354" s="81">
        <v>0</v>
      </c>
      <c r="AO354" s="81" t="b">
        <v>0</v>
      </c>
      <c r="AP354" s="81">
        <v>0</v>
      </c>
      <c r="AQ354" s="81"/>
      <c r="AR354" s="81"/>
      <c r="AS354" s="81" t="s">
        <v>2571</v>
      </c>
      <c r="AT354" s="83" t="str">
        <f>HYPERLINK("https://www.youtube.com/channel/UCHNTL_rs7KpyNuc--HEWbGQ")</f>
        <v>https://www.youtube.com/channel/UCHNTL_rs7KpyNuc--HEWbGQ</v>
      </c>
      <c r="AU354" s="81">
        <v>1</v>
      </c>
      <c r="AV354" s="49">
        <v>2</v>
      </c>
      <c r="AW354" s="50">
        <v>13.333333333333334</v>
      </c>
      <c r="AX354" s="49">
        <v>0</v>
      </c>
      <c r="AY354" s="50">
        <v>0</v>
      </c>
      <c r="AZ354" s="49">
        <v>0</v>
      </c>
      <c r="BA354" s="50">
        <v>0</v>
      </c>
      <c r="BB354" s="49">
        <v>6</v>
      </c>
      <c r="BC354" s="50">
        <v>40</v>
      </c>
      <c r="BD354" s="49">
        <v>15</v>
      </c>
      <c r="BE354" s="49"/>
      <c r="BF354" s="49"/>
      <c r="BG354" s="49"/>
      <c r="BH354" s="49"/>
      <c r="BI354" s="49"/>
      <c r="BJ354" s="49"/>
      <c r="BK354" s="115" t="s">
        <v>2887</v>
      </c>
      <c r="BL354" s="115" t="s">
        <v>2887</v>
      </c>
      <c r="BM354" s="115" t="s">
        <v>3341</v>
      </c>
      <c r="BN354" s="115" t="s">
        <v>3341</v>
      </c>
      <c r="BO354" s="2"/>
      <c r="BP354" s="3"/>
      <c r="BQ354" s="3"/>
      <c r="BR354" s="3"/>
      <c r="BS354" s="3"/>
    </row>
    <row r="355" spans="1:71" ht="15">
      <c r="A355" s="66" t="s">
        <v>572</v>
      </c>
      <c r="B355" s="67"/>
      <c r="C355" s="67"/>
      <c r="D355" s="68">
        <v>150</v>
      </c>
      <c r="E355" s="70"/>
      <c r="F355" s="102" t="str">
        <f>HYPERLINK("https://yt3.ggpht.com/ytc/AOPolaR_CmA6UmwMcxeo1GLHOYQqnGI7TwXHc4RifPdtJBU=s88-c-k-c0x00ffffff-no-rj")</f>
        <v>https://yt3.ggpht.com/ytc/AOPolaR_CmA6UmwMcxeo1GLHOYQqnGI7TwXHc4RifPdtJBU=s88-c-k-c0x00ffffff-no-rj</v>
      </c>
      <c r="G355" s="67"/>
      <c r="H355" s="71" t="s">
        <v>1645</v>
      </c>
      <c r="I355" s="72"/>
      <c r="J355" s="72" t="s">
        <v>159</v>
      </c>
      <c r="K355" s="71" t="s">
        <v>1645</v>
      </c>
      <c r="L355" s="75">
        <v>1</v>
      </c>
      <c r="M355" s="76">
        <v>3588.39794921875</v>
      </c>
      <c r="N355" s="76">
        <v>9697.650390625</v>
      </c>
      <c r="O355" s="77"/>
      <c r="P355" s="78"/>
      <c r="Q355" s="78"/>
      <c r="R355" s="88"/>
      <c r="S355" s="49">
        <v>0</v>
      </c>
      <c r="T355" s="49">
        <v>1</v>
      </c>
      <c r="U355" s="50">
        <v>0</v>
      </c>
      <c r="V355" s="50">
        <v>0.177728</v>
      </c>
      <c r="W355" s="50">
        <v>0.049759</v>
      </c>
      <c r="X355" s="50">
        <v>0.001579</v>
      </c>
      <c r="Y355" s="50">
        <v>0</v>
      </c>
      <c r="Z355" s="50">
        <v>0</v>
      </c>
      <c r="AA355" s="73">
        <v>355</v>
      </c>
      <c r="AB355" s="73"/>
      <c r="AC355" s="74"/>
      <c r="AD355" s="81" t="s">
        <v>1645</v>
      </c>
      <c r="AE355" s="81"/>
      <c r="AF355" s="81"/>
      <c r="AG355" s="81"/>
      <c r="AH355" s="81"/>
      <c r="AI355" s="81" t="s">
        <v>2371</v>
      </c>
      <c r="AJ355" s="85">
        <v>39842.09829861111</v>
      </c>
      <c r="AK355" s="83" t="str">
        <f>HYPERLINK("https://yt3.ggpht.com/ytc/AOPolaR_CmA6UmwMcxeo1GLHOYQqnGI7TwXHc4RifPdtJBU=s88-c-k-c0x00ffffff-no-rj")</f>
        <v>https://yt3.ggpht.com/ytc/AOPolaR_CmA6UmwMcxeo1GLHOYQqnGI7TwXHc4RifPdtJBU=s88-c-k-c0x00ffffff-no-rj</v>
      </c>
      <c r="AL355" s="81">
        <v>0</v>
      </c>
      <c r="AM355" s="81">
        <v>0</v>
      </c>
      <c r="AN355" s="81">
        <v>1</v>
      </c>
      <c r="AO355" s="81" t="b">
        <v>0</v>
      </c>
      <c r="AP355" s="81">
        <v>0</v>
      </c>
      <c r="AQ355" s="81"/>
      <c r="AR355" s="81"/>
      <c r="AS355" s="81" t="s">
        <v>2571</v>
      </c>
      <c r="AT355" s="83" t="str">
        <f>HYPERLINK("https://www.youtube.com/channel/UC5GBqVmamEQBr0e56QptREQ")</f>
        <v>https://www.youtube.com/channel/UC5GBqVmamEQBr0e56QptREQ</v>
      </c>
      <c r="AU355" s="81">
        <v>1</v>
      </c>
      <c r="AV355" s="49">
        <v>1</v>
      </c>
      <c r="AW355" s="50">
        <v>7.142857142857143</v>
      </c>
      <c r="AX355" s="49">
        <v>2</v>
      </c>
      <c r="AY355" s="50">
        <v>14.285714285714286</v>
      </c>
      <c r="AZ355" s="49">
        <v>0</v>
      </c>
      <c r="BA355" s="50">
        <v>0</v>
      </c>
      <c r="BB355" s="49">
        <v>6</v>
      </c>
      <c r="BC355" s="50">
        <v>42.857142857142854</v>
      </c>
      <c r="BD355" s="49">
        <v>14</v>
      </c>
      <c r="BE355" s="49"/>
      <c r="BF355" s="49"/>
      <c r="BG355" s="49"/>
      <c r="BH355" s="49"/>
      <c r="BI355" s="49"/>
      <c r="BJ355" s="49"/>
      <c r="BK355" s="115" t="s">
        <v>2888</v>
      </c>
      <c r="BL355" s="115" t="s">
        <v>2888</v>
      </c>
      <c r="BM355" s="115" t="s">
        <v>3342</v>
      </c>
      <c r="BN355" s="115" t="s">
        <v>3342</v>
      </c>
      <c r="BO355" s="2"/>
      <c r="BP355" s="3"/>
      <c r="BQ355" s="3"/>
      <c r="BR355" s="3"/>
      <c r="BS355" s="3"/>
    </row>
    <row r="356" spans="1:71" ht="15">
      <c r="A356" s="66" t="s">
        <v>573</v>
      </c>
      <c r="B356" s="67"/>
      <c r="C356" s="67"/>
      <c r="D356" s="68">
        <v>150</v>
      </c>
      <c r="E356" s="70"/>
      <c r="F356" s="102" t="str">
        <f>HYPERLINK("https://yt3.ggpht.com/ytc/AOPolaQW5MbEj1JRAmeoHbI7T-6IUSS7Bi7TRZi5vj8I5w=s88-c-k-c0x00ffffff-no-rj")</f>
        <v>https://yt3.ggpht.com/ytc/AOPolaQW5MbEj1JRAmeoHbI7T-6IUSS7Bi7TRZi5vj8I5w=s88-c-k-c0x00ffffff-no-rj</v>
      </c>
      <c r="G356" s="67"/>
      <c r="H356" s="71" t="s">
        <v>1646</v>
      </c>
      <c r="I356" s="72"/>
      <c r="J356" s="72" t="s">
        <v>159</v>
      </c>
      <c r="K356" s="71" t="s">
        <v>1646</v>
      </c>
      <c r="L356" s="75">
        <v>1</v>
      </c>
      <c r="M356" s="76">
        <v>5381.27490234375</v>
      </c>
      <c r="N356" s="76">
        <v>5323.04345703125</v>
      </c>
      <c r="O356" s="77"/>
      <c r="P356" s="78"/>
      <c r="Q356" s="78"/>
      <c r="R356" s="88"/>
      <c r="S356" s="49">
        <v>0</v>
      </c>
      <c r="T356" s="49">
        <v>1</v>
      </c>
      <c r="U356" s="50">
        <v>0</v>
      </c>
      <c r="V356" s="50">
        <v>0.177728</v>
      </c>
      <c r="W356" s="50">
        <v>0.049759</v>
      </c>
      <c r="X356" s="50">
        <v>0.001579</v>
      </c>
      <c r="Y356" s="50">
        <v>0</v>
      </c>
      <c r="Z356" s="50">
        <v>0</v>
      </c>
      <c r="AA356" s="73">
        <v>356</v>
      </c>
      <c r="AB356" s="73"/>
      <c r="AC356" s="74"/>
      <c r="AD356" s="81" t="s">
        <v>1646</v>
      </c>
      <c r="AE356" s="81"/>
      <c r="AF356" s="81"/>
      <c r="AG356" s="81"/>
      <c r="AH356" s="81"/>
      <c r="AI356" s="81" t="s">
        <v>2372</v>
      </c>
      <c r="AJ356" s="85">
        <v>41917.74490740741</v>
      </c>
      <c r="AK356" s="83" t="str">
        <f>HYPERLINK("https://yt3.ggpht.com/ytc/AOPolaQW5MbEj1JRAmeoHbI7T-6IUSS7Bi7TRZi5vj8I5w=s88-c-k-c0x00ffffff-no-rj")</f>
        <v>https://yt3.ggpht.com/ytc/AOPolaQW5MbEj1JRAmeoHbI7T-6IUSS7Bi7TRZi5vj8I5w=s88-c-k-c0x00ffffff-no-rj</v>
      </c>
      <c r="AL356" s="81">
        <v>0</v>
      </c>
      <c r="AM356" s="81">
        <v>0</v>
      </c>
      <c r="AN356" s="81">
        <v>16</v>
      </c>
      <c r="AO356" s="81" t="b">
        <v>0</v>
      </c>
      <c r="AP356" s="81">
        <v>0</v>
      </c>
      <c r="AQ356" s="81"/>
      <c r="AR356" s="81"/>
      <c r="AS356" s="81" t="s">
        <v>2571</v>
      </c>
      <c r="AT356" s="83" t="str">
        <f>HYPERLINK("https://www.youtube.com/channel/UCo8-cXP4fBBLJUSQlFJd9_A")</f>
        <v>https://www.youtube.com/channel/UCo8-cXP4fBBLJUSQlFJd9_A</v>
      </c>
      <c r="AU356" s="81">
        <v>1</v>
      </c>
      <c r="AV356" s="49">
        <v>2</v>
      </c>
      <c r="AW356" s="50">
        <v>22.22222222222222</v>
      </c>
      <c r="AX356" s="49">
        <v>0</v>
      </c>
      <c r="AY356" s="50">
        <v>0</v>
      </c>
      <c r="AZ356" s="49">
        <v>0</v>
      </c>
      <c r="BA356" s="50">
        <v>0</v>
      </c>
      <c r="BB356" s="49">
        <v>3</v>
      </c>
      <c r="BC356" s="50">
        <v>33.333333333333336</v>
      </c>
      <c r="BD356" s="49">
        <v>9</v>
      </c>
      <c r="BE356" s="49"/>
      <c r="BF356" s="49"/>
      <c r="BG356" s="49"/>
      <c r="BH356" s="49"/>
      <c r="BI356" s="49"/>
      <c r="BJ356" s="49"/>
      <c r="BK356" s="115" t="s">
        <v>2889</v>
      </c>
      <c r="BL356" s="115" t="s">
        <v>2889</v>
      </c>
      <c r="BM356" s="115" t="s">
        <v>3343</v>
      </c>
      <c r="BN356" s="115" t="s">
        <v>3343</v>
      </c>
      <c r="BO356" s="2"/>
      <c r="BP356" s="3"/>
      <c r="BQ356" s="3"/>
      <c r="BR356" s="3"/>
      <c r="BS356" s="3"/>
    </row>
    <row r="357" spans="1:71" ht="15">
      <c r="A357" s="66" t="s">
        <v>574</v>
      </c>
      <c r="B357" s="67"/>
      <c r="C357" s="67"/>
      <c r="D357" s="68">
        <v>150</v>
      </c>
      <c r="E357" s="70"/>
      <c r="F357" s="102" t="str">
        <f>HYPERLINK("https://yt3.ggpht.com/ytc/AOPolaTE-qa1uoVfnBkhn50j2deDQrE5p4KKLPn7qw=s88-c-k-c0x00ffffff-no-rj")</f>
        <v>https://yt3.ggpht.com/ytc/AOPolaTE-qa1uoVfnBkhn50j2deDQrE5p4KKLPn7qw=s88-c-k-c0x00ffffff-no-rj</v>
      </c>
      <c r="G357" s="67"/>
      <c r="H357" s="71" t="s">
        <v>1647</v>
      </c>
      <c r="I357" s="72"/>
      <c r="J357" s="72" t="s">
        <v>159</v>
      </c>
      <c r="K357" s="71" t="s">
        <v>1647</v>
      </c>
      <c r="L357" s="75">
        <v>1</v>
      </c>
      <c r="M357" s="76">
        <v>4768.24609375</v>
      </c>
      <c r="N357" s="76">
        <v>9345.9296875</v>
      </c>
      <c r="O357" s="77"/>
      <c r="P357" s="78"/>
      <c r="Q357" s="78"/>
      <c r="R357" s="88"/>
      <c r="S357" s="49">
        <v>0</v>
      </c>
      <c r="T357" s="49">
        <v>1</v>
      </c>
      <c r="U357" s="50">
        <v>0</v>
      </c>
      <c r="V357" s="50">
        <v>0.177728</v>
      </c>
      <c r="W357" s="50">
        <v>0.049759</v>
      </c>
      <c r="X357" s="50">
        <v>0.001579</v>
      </c>
      <c r="Y357" s="50">
        <v>0</v>
      </c>
      <c r="Z357" s="50">
        <v>0</v>
      </c>
      <c r="AA357" s="73">
        <v>357</v>
      </c>
      <c r="AB357" s="73"/>
      <c r="AC357" s="74"/>
      <c r="AD357" s="81" t="s">
        <v>1647</v>
      </c>
      <c r="AE357" s="81"/>
      <c r="AF357" s="81"/>
      <c r="AG357" s="81"/>
      <c r="AH357" s="81"/>
      <c r="AI357" s="81" t="s">
        <v>2373</v>
      </c>
      <c r="AJ357" s="85">
        <v>43399.55019675926</v>
      </c>
      <c r="AK357" s="83" t="str">
        <f>HYPERLINK("https://yt3.ggpht.com/ytc/AOPolaTE-qa1uoVfnBkhn50j2deDQrE5p4KKLPn7qw=s88-c-k-c0x00ffffff-no-rj")</f>
        <v>https://yt3.ggpht.com/ytc/AOPolaTE-qa1uoVfnBkhn50j2deDQrE5p4KKLPn7qw=s88-c-k-c0x00ffffff-no-rj</v>
      </c>
      <c r="AL357" s="81">
        <v>0</v>
      </c>
      <c r="AM357" s="81">
        <v>0</v>
      </c>
      <c r="AN357" s="81">
        <v>1</v>
      </c>
      <c r="AO357" s="81" t="b">
        <v>0</v>
      </c>
      <c r="AP357" s="81">
        <v>0</v>
      </c>
      <c r="AQ357" s="81"/>
      <c r="AR357" s="81"/>
      <c r="AS357" s="81" t="s">
        <v>2571</v>
      </c>
      <c r="AT357" s="83" t="str">
        <f>HYPERLINK("https://www.youtube.com/channel/UCOIMFZRrN5QDLTqFH8A3Wsg")</f>
        <v>https://www.youtube.com/channel/UCOIMFZRrN5QDLTqFH8A3Wsg</v>
      </c>
      <c r="AU357" s="81">
        <v>1</v>
      </c>
      <c r="AV357" s="49">
        <v>0</v>
      </c>
      <c r="AW357" s="50">
        <v>0</v>
      </c>
      <c r="AX357" s="49">
        <v>0</v>
      </c>
      <c r="AY357" s="50">
        <v>0</v>
      </c>
      <c r="AZ357" s="49">
        <v>0</v>
      </c>
      <c r="BA357" s="50">
        <v>0</v>
      </c>
      <c r="BB357" s="49">
        <v>0</v>
      </c>
      <c r="BC357" s="50">
        <v>0</v>
      </c>
      <c r="BD357" s="49">
        <v>1</v>
      </c>
      <c r="BE357" s="49"/>
      <c r="BF357" s="49"/>
      <c r="BG357" s="49"/>
      <c r="BH357" s="49"/>
      <c r="BI357" s="49"/>
      <c r="BJ357" s="49"/>
      <c r="BK357" s="115" t="s">
        <v>4477</v>
      </c>
      <c r="BL357" s="115" t="s">
        <v>4477</v>
      </c>
      <c r="BM357" s="115" t="s">
        <v>4477</v>
      </c>
      <c r="BN357" s="115" t="s">
        <v>4477</v>
      </c>
      <c r="BO357" s="2"/>
      <c r="BP357" s="3"/>
      <c r="BQ357" s="3"/>
      <c r="BR357" s="3"/>
      <c r="BS357" s="3"/>
    </row>
    <row r="358" spans="1:71" ht="15">
      <c r="A358" s="66" t="s">
        <v>575</v>
      </c>
      <c r="B358" s="67"/>
      <c r="C358" s="67"/>
      <c r="D358" s="68">
        <v>150</v>
      </c>
      <c r="E358" s="70"/>
      <c r="F358" s="102" t="str">
        <f>HYPERLINK("https://yt3.ggpht.com/hHh3JiVytpCZrO2g1vY023qlabnWNCB__iQttD6P1ic1jEJ1dNXdll9BC14P2MMm7ZDCfM9acQ=s88-c-k-c0x00ffffff-no-rj")</f>
        <v>https://yt3.ggpht.com/hHh3JiVytpCZrO2g1vY023qlabnWNCB__iQttD6P1ic1jEJ1dNXdll9BC14P2MMm7ZDCfM9acQ=s88-c-k-c0x00ffffff-no-rj</v>
      </c>
      <c r="G358" s="67"/>
      <c r="H358" s="71" t="s">
        <v>1648</v>
      </c>
      <c r="I358" s="72"/>
      <c r="J358" s="72" t="s">
        <v>159</v>
      </c>
      <c r="K358" s="71" t="s">
        <v>1648</v>
      </c>
      <c r="L358" s="75">
        <v>1</v>
      </c>
      <c r="M358" s="76">
        <v>2549.883056640625</v>
      </c>
      <c r="N358" s="76">
        <v>9713.9091796875</v>
      </c>
      <c r="O358" s="77"/>
      <c r="P358" s="78"/>
      <c r="Q358" s="78"/>
      <c r="R358" s="88"/>
      <c r="S358" s="49">
        <v>0</v>
      </c>
      <c r="T358" s="49">
        <v>1</v>
      </c>
      <c r="U358" s="50">
        <v>0</v>
      </c>
      <c r="V358" s="50">
        <v>0.177728</v>
      </c>
      <c r="W358" s="50">
        <v>0.049759</v>
      </c>
      <c r="X358" s="50">
        <v>0.001579</v>
      </c>
      <c r="Y358" s="50">
        <v>0</v>
      </c>
      <c r="Z358" s="50">
        <v>0</v>
      </c>
      <c r="AA358" s="73">
        <v>358</v>
      </c>
      <c r="AB358" s="73"/>
      <c r="AC358" s="74"/>
      <c r="AD358" s="81" t="s">
        <v>1648</v>
      </c>
      <c r="AE358" s="81" t="s">
        <v>1982</v>
      </c>
      <c r="AF358" s="81"/>
      <c r="AG358" s="81"/>
      <c r="AH358" s="81"/>
      <c r="AI358" s="81" t="s">
        <v>2374</v>
      </c>
      <c r="AJ358" s="85">
        <v>43974.5372337963</v>
      </c>
      <c r="AK358" s="83" t="str">
        <f>HYPERLINK("https://yt3.ggpht.com/hHh3JiVytpCZrO2g1vY023qlabnWNCB__iQttD6P1ic1jEJ1dNXdll9BC14P2MMm7ZDCfM9acQ=s88-c-k-c0x00ffffff-no-rj")</f>
        <v>https://yt3.ggpht.com/hHh3JiVytpCZrO2g1vY023qlabnWNCB__iQttD6P1ic1jEJ1dNXdll9BC14P2MMm7ZDCfM9acQ=s88-c-k-c0x00ffffff-no-rj</v>
      </c>
      <c r="AL358" s="81">
        <v>19263</v>
      </c>
      <c r="AM358" s="81">
        <v>0</v>
      </c>
      <c r="AN358" s="81">
        <v>56</v>
      </c>
      <c r="AO358" s="81" t="b">
        <v>0</v>
      </c>
      <c r="AP358" s="81">
        <v>633</v>
      </c>
      <c r="AQ358" s="81"/>
      <c r="AR358" s="81"/>
      <c r="AS358" s="81" t="s">
        <v>2571</v>
      </c>
      <c r="AT358" s="83" t="str">
        <f>HYPERLINK("https://www.youtube.com/channel/UC0ZpNEw9Cx3J6We5RIuxQrA")</f>
        <v>https://www.youtube.com/channel/UC0ZpNEw9Cx3J6We5RIuxQrA</v>
      </c>
      <c r="AU358" s="81">
        <v>1</v>
      </c>
      <c r="AV358" s="49">
        <v>0</v>
      </c>
      <c r="AW358" s="50">
        <v>0</v>
      </c>
      <c r="AX358" s="49">
        <v>0</v>
      </c>
      <c r="AY358" s="50">
        <v>0</v>
      </c>
      <c r="AZ358" s="49">
        <v>0</v>
      </c>
      <c r="BA358" s="50">
        <v>0</v>
      </c>
      <c r="BB358" s="49">
        <v>0</v>
      </c>
      <c r="BC358" s="50">
        <v>0</v>
      </c>
      <c r="BD358" s="49">
        <v>0</v>
      </c>
      <c r="BE358" s="49"/>
      <c r="BF358" s="49"/>
      <c r="BG358" s="49"/>
      <c r="BH358" s="49"/>
      <c r="BI358" s="49"/>
      <c r="BJ358" s="49"/>
      <c r="BK358" s="115" t="s">
        <v>4477</v>
      </c>
      <c r="BL358" s="115" t="s">
        <v>4477</v>
      </c>
      <c r="BM358" s="115" t="s">
        <v>4477</v>
      </c>
      <c r="BN358" s="115" t="s">
        <v>4477</v>
      </c>
      <c r="BO358" s="2"/>
      <c r="BP358" s="3"/>
      <c r="BQ358" s="3"/>
      <c r="BR358" s="3"/>
      <c r="BS358" s="3"/>
    </row>
    <row r="359" spans="1:71" ht="15">
      <c r="A359" s="66" t="s">
        <v>576</v>
      </c>
      <c r="B359" s="67"/>
      <c r="C359" s="67"/>
      <c r="D359" s="68">
        <v>150</v>
      </c>
      <c r="E359" s="70"/>
      <c r="F359" s="102" t="str">
        <f>HYPERLINK("https://yt3.ggpht.com/ytc/AOPolaQZxxF2o97YXTlEFlDiuNkYNdSBFmA5jXccWvHq=s88-c-k-c0x00ffffff-no-rj")</f>
        <v>https://yt3.ggpht.com/ytc/AOPolaQZxxF2o97YXTlEFlDiuNkYNdSBFmA5jXccWvHq=s88-c-k-c0x00ffffff-no-rj</v>
      </c>
      <c r="G359" s="67"/>
      <c r="H359" s="71" t="s">
        <v>1649</v>
      </c>
      <c r="I359" s="72"/>
      <c r="J359" s="72" t="s">
        <v>159</v>
      </c>
      <c r="K359" s="71" t="s">
        <v>1649</v>
      </c>
      <c r="L359" s="75">
        <v>1</v>
      </c>
      <c r="M359" s="76">
        <v>1331.279541015625</v>
      </c>
      <c r="N359" s="76">
        <v>6067.17333984375</v>
      </c>
      <c r="O359" s="77"/>
      <c r="P359" s="78"/>
      <c r="Q359" s="78"/>
      <c r="R359" s="88"/>
      <c r="S359" s="49">
        <v>0</v>
      </c>
      <c r="T359" s="49">
        <v>1</v>
      </c>
      <c r="U359" s="50">
        <v>0</v>
      </c>
      <c r="V359" s="50">
        <v>0.177728</v>
      </c>
      <c r="W359" s="50">
        <v>0.049759</v>
      </c>
      <c r="X359" s="50">
        <v>0.001579</v>
      </c>
      <c r="Y359" s="50">
        <v>0</v>
      </c>
      <c r="Z359" s="50">
        <v>0</v>
      </c>
      <c r="AA359" s="73">
        <v>359</v>
      </c>
      <c r="AB359" s="73"/>
      <c r="AC359" s="74"/>
      <c r="AD359" s="81" t="s">
        <v>1649</v>
      </c>
      <c r="AE359" s="81"/>
      <c r="AF359" s="81"/>
      <c r="AG359" s="81"/>
      <c r="AH359" s="81"/>
      <c r="AI359" s="81" t="s">
        <v>2375</v>
      </c>
      <c r="AJ359" s="85">
        <v>42524.14900462963</v>
      </c>
      <c r="AK359" s="83" t="str">
        <f>HYPERLINK("https://yt3.ggpht.com/ytc/AOPolaQZxxF2o97YXTlEFlDiuNkYNdSBFmA5jXccWvHq=s88-c-k-c0x00ffffff-no-rj")</f>
        <v>https://yt3.ggpht.com/ytc/AOPolaQZxxF2o97YXTlEFlDiuNkYNdSBFmA5jXccWvHq=s88-c-k-c0x00ffffff-no-rj</v>
      </c>
      <c r="AL359" s="81">
        <v>0</v>
      </c>
      <c r="AM359" s="81">
        <v>0</v>
      </c>
      <c r="AN359" s="81">
        <v>9</v>
      </c>
      <c r="AO359" s="81" t="b">
        <v>0</v>
      </c>
      <c r="AP359" s="81">
        <v>0</v>
      </c>
      <c r="AQ359" s="81"/>
      <c r="AR359" s="81"/>
      <c r="AS359" s="81" t="s">
        <v>2571</v>
      </c>
      <c r="AT359" s="83" t="str">
        <f>HYPERLINK("https://www.youtube.com/channel/UCJ4YODtnuwNfSyuY2hVQ1Kw")</f>
        <v>https://www.youtube.com/channel/UCJ4YODtnuwNfSyuY2hVQ1Kw</v>
      </c>
      <c r="AU359" s="81">
        <v>1</v>
      </c>
      <c r="AV359" s="49">
        <v>1</v>
      </c>
      <c r="AW359" s="50">
        <v>7.6923076923076925</v>
      </c>
      <c r="AX359" s="49">
        <v>0</v>
      </c>
      <c r="AY359" s="50">
        <v>0</v>
      </c>
      <c r="AZ359" s="49">
        <v>0</v>
      </c>
      <c r="BA359" s="50">
        <v>0</v>
      </c>
      <c r="BB359" s="49">
        <v>4</v>
      </c>
      <c r="BC359" s="50">
        <v>30.76923076923077</v>
      </c>
      <c r="BD359" s="49">
        <v>13</v>
      </c>
      <c r="BE359" s="49"/>
      <c r="BF359" s="49"/>
      <c r="BG359" s="49"/>
      <c r="BH359" s="49"/>
      <c r="BI359" s="49"/>
      <c r="BJ359" s="49"/>
      <c r="BK359" s="115" t="s">
        <v>2890</v>
      </c>
      <c r="BL359" s="115" t="s">
        <v>2890</v>
      </c>
      <c r="BM359" s="115" t="s">
        <v>3344</v>
      </c>
      <c r="BN359" s="115" t="s">
        <v>3344</v>
      </c>
      <c r="BO359" s="2"/>
      <c r="BP359" s="3"/>
      <c r="BQ359" s="3"/>
      <c r="BR359" s="3"/>
      <c r="BS359" s="3"/>
    </row>
    <row r="360" spans="1:71" ht="15">
      <c r="A360" s="66" t="s">
        <v>577</v>
      </c>
      <c r="B360" s="67"/>
      <c r="C360" s="67"/>
      <c r="D360" s="68">
        <v>150</v>
      </c>
      <c r="E360" s="70"/>
      <c r="F360" s="102" t="str">
        <f>HYPERLINK("https://yt3.ggpht.com/ytc/AOPolaQgjli4jr9EVFT3ZPBm4N57Ereym_rRuvFH0NBf4rqaO3B5gRAbZWMtjYr2hGgv=s88-c-k-c0x00ffffff-no-rj")</f>
        <v>https://yt3.ggpht.com/ytc/AOPolaQgjli4jr9EVFT3ZPBm4N57Ereym_rRuvFH0NBf4rqaO3B5gRAbZWMtjYr2hGgv=s88-c-k-c0x00ffffff-no-rj</v>
      </c>
      <c r="G360" s="67"/>
      <c r="H360" s="71" t="s">
        <v>1650</v>
      </c>
      <c r="I360" s="72"/>
      <c r="J360" s="72" t="s">
        <v>159</v>
      </c>
      <c r="K360" s="71" t="s">
        <v>1650</v>
      </c>
      <c r="L360" s="75">
        <v>1</v>
      </c>
      <c r="M360" s="76">
        <v>1653.199951171875</v>
      </c>
      <c r="N360" s="76">
        <v>6617.26611328125</v>
      </c>
      <c r="O360" s="77"/>
      <c r="P360" s="78"/>
      <c r="Q360" s="78"/>
      <c r="R360" s="88"/>
      <c r="S360" s="49">
        <v>0</v>
      </c>
      <c r="T360" s="49">
        <v>1</v>
      </c>
      <c r="U360" s="50">
        <v>0</v>
      </c>
      <c r="V360" s="50">
        <v>0.177728</v>
      </c>
      <c r="W360" s="50">
        <v>0.049759</v>
      </c>
      <c r="X360" s="50">
        <v>0.001579</v>
      </c>
      <c r="Y360" s="50">
        <v>0</v>
      </c>
      <c r="Z360" s="50">
        <v>0</v>
      </c>
      <c r="AA360" s="73">
        <v>360</v>
      </c>
      <c r="AB360" s="73"/>
      <c r="AC360" s="74"/>
      <c r="AD360" s="81" t="s">
        <v>1650</v>
      </c>
      <c r="AE360" s="81"/>
      <c r="AF360" s="81"/>
      <c r="AG360" s="81"/>
      <c r="AH360" s="81"/>
      <c r="AI360" s="81" t="s">
        <v>2376</v>
      </c>
      <c r="AJ360" s="85">
        <v>44939.87960648148</v>
      </c>
      <c r="AK360" s="83" t="str">
        <f>HYPERLINK("https://yt3.ggpht.com/ytc/AOPolaQgjli4jr9EVFT3ZPBm4N57Ereym_rRuvFH0NBf4rqaO3B5gRAbZWMtjYr2hGgv=s88-c-k-c0x00ffffff-no-rj")</f>
        <v>https://yt3.ggpht.com/ytc/AOPolaQgjli4jr9EVFT3ZPBm4N57Ereym_rRuvFH0NBf4rqaO3B5gRAbZWMtjYr2hGgv=s88-c-k-c0x00ffffff-no-rj</v>
      </c>
      <c r="AL360" s="81">
        <v>0</v>
      </c>
      <c r="AM360" s="81">
        <v>0</v>
      </c>
      <c r="AN360" s="81">
        <v>0</v>
      </c>
      <c r="AO360" s="81" t="b">
        <v>0</v>
      </c>
      <c r="AP360" s="81">
        <v>0</v>
      </c>
      <c r="AQ360" s="81"/>
      <c r="AR360" s="81"/>
      <c r="AS360" s="81" t="s">
        <v>2571</v>
      </c>
      <c r="AT360" s="83" t="str">
        <f>HYPERLINK("https://www.youtube.com/channel/UCP5dBTmSDsXKqvBhaEJhwfA")</f>
        <v>https://www.youtube.com/channel/UCP5dBTmSDsXKqvBhaEJhwfA</v>
      </c>
      <c r="AU360" s="81">
        <v>1</v>
      </c>
      <c r="AV360" s="49">
        <v>0</v>
      </c>
      <c r="AW360" s="50">
        <v>0</v>
      </c>
      <c r="AX360" s="49">
        <v>1</v>
      </c>
      <c r="AY360" s="50">
        <v>100</v>
      </c>
      <c r="AZ360" s="49">
        <v>0</v>
      </c>
      <c r="BA360" s="50">
        <v>0</v>
      </c>
      <c r="BB360" s="49">
        <v>0</v>
      </c>
      <c r="BC360" s="50">
        <v>0</v>
      </c>
      <c r="BD360" s="49">
        <v>1</v>
      </c>
      <c r="BE360" s="49"/>
      <c r="BF360" s="49"/>
      <c r="BG360" s="49"/>
      <c r="BH360" s="49"/>
      <c r="BI360" s="49"/>
      <c r="BJ360" s="49"/>
      <c r="BK360" s="115" t="s">
        <v>4300</v>
      </c>
      <c r="BL360" s="115" t="s">
        <v>4300</v>
      </c>
      <c r="BM360" s="115" t="s">
        <v>4477</v>
      </c>
      <c r="BN360" s="115" t="s">
        <v>4477</v>
      </c>
      <c r="BO360" s="2"/>
      <c r="BP360" s="3"/>
      <c r="BQ360" s="3"/>
      <c r="BR360" s="3"/>
      <c r="BS360" s="3"/>
    </row>
    <row r="361" spans="1:71" ht="15">
      <c r="A361" s="66" t="s">
        <v>578</v>
      </c>
      <c r="B361" s="67"/>
      <c r="C361" s="67"/>
      <c r="D361" s="68">
        <v>150</v>
      </c>
      <c r="E361" s="70"/>
      <c r="F361" s="102" t="str">
        <f>HYPERLINK("https://yt3.ggpht.com/ytc/AOPolaSxKZ3gLSf7bSkzj4Nb-g4JxA4GUIQiYfQr8Q=s88-c-k-c0x00ffffff-no-rj")</f>
        <v>https://yt3.ggpht.com/ytc/AOPolaSxKZ3gLSf7bSkzj4Nb-g4JxA4GUIQiYfQr8Q=s88-c-k-c0x00ffffff-no-rj</v>
      </c>
      <c r="G361" s="67"/>
      <c r="H361" s="71" t="s">
        <v>1651</v>
      </c>
      <c r="I361" s="72"/>
      <c r="J361" s="72" t="s">
        <v>159</v>
      </c>
      <c r="K361" s="71" t="s">
        <v>1651</v>
      </c>
      <c r="L361" s="75">
        <v>1</v>
      </c>
      <c r="M361" s="76">
        <v>3506.562255859375</v>
      </c>
      <c r="N361" s="76">
        <v>5578.43603515625</v>
      </c>
      <c r="O361" s="77"/>
      <c r="P361" s="78"/>
      <c r="Q361" s="78"/>
      <c r="R361" s="88"/>
      <c r="S361" s="49">
        <v>0</v>
      </c>
      <c r="T361" s="49">
        <v>1</v>
      </c>
      <c r="U361" s="50">
        <v>0</v>
      </c>
      <c r="V361" s="50">
        <v>0.177728</v>
      </c>
      <c r="W361" s="50">
        <v>0.049759</v>
      </c>
      <c r="X361" s="50">
        <v>0.001579</v>
      </c>
      <c r="Y361" s="50">
        <v>0</v>
      </c>
      <c r="Z361" s="50">
        <v>0</v>
      </c>
      <c r="AA361" s="73">
        <v>361</v>
      </c>
      <c r="AB361" s="73"/>
      <c r="AC361" s="74"/>
      <c r="AD361" s="81" t="s">
        <v>1651</v>
      </c>
      <c r="AE361" s="81"/>
      <c r="AF361" s="81"/>
      <c r="AG361" s="81"/>
      <c r="AH361" s="81"/>
      <c r="AI361" s="81" t="s">
        <v>2377</v>
      </c>
      <c r="AJ361" s="85">
        <v>44091.06185185185</v>
      </c>
      <c r="AK361" s="83" t="str">
        <f>HYPERLINK("https://yt3.ggpht.com/ytc/AOPolaSxKZ3gLSf7bSkzj4Nb-g4JxA4GUIQiYfQr8Q=s88-c-k-c0x00ffffff-no-rj")</f>
        <v>https://yt3.ggpht.com/ytc/AOPolaSxKZ3gLSf7bSkzj4Nb-g4JxA4GUIQiYfQr8Q=s88-c-k-c0x00ffffff-no-rj</v>
      </c>
      <c r="AL361" s="81">
        <v>0</v>
      </c>
      <c r="AM361" s="81">
        <v>0</v>
      </c>
      <c r="AN361" s="81">
        <v>6</v>
      </c>
      <c r="AO361" s="81" t="b">
        <v>0</v>
      </c>
      <c r="AP361" s="81">
        <v>0</v>
      </c>
      <c r="AQ361" s="81"/>
      <c r="AR361" s="81"/>
      <c r="AS361" s="81" t="s">
        <v>2571</v>
      </c>
      <c r="AT361" s="83" t="str">
        <f>HYPERLINK("https://www.youtube.com/channel/UCKgIdW_1XgMso83-cHlZm-g")</f>
        <v>https://www.youtube.com/channel/UCKgIdW_1XgMso83-cHlZm-g</v>
      </c>
      <c r="AU361" s="81">
        <v>1</v>
      </c>
      <c r="AV361" s="49">
        <v>1</v>
      </c>
      <c r="AW361" s="50">
        <v>3.225806451612903</v>
      </c>
      <c r="AX361" s="49">
        <v>1</v>
      </c>
      <c r="AY361" s="50">
        <v>3.225806451612903</v>
      </c>
      <c r="AZ361" s="49">
        <v>0</v>
      </c>
      <c r="BA361" s="50">
        <v>0</v>
      </c>
      <c r="BB361" s="49">
        <v>12</v>
      </c>
      <c r="BC361" s="50">
        <v>38.70967741935484</v>
      </c>
      <c r="BD361" s="49">
        <v>31</v>
      </c>
      <c r="BE361" s="49"/>
      <c r="BF361" s="49"/>
      <c r="BG361" s="49"/>
      <c r="BH361" s="49"/>
      <c r="BI361" s="49"/>
      <c r="BJ361" s="49"/>
      <c r="BK361" s="115" t="s">
        <v>2891</v>
      </c>
      <c r="BL361" s="115" t="s">
        <v>2891</v>
      </c>
      <c r="BM361" s="115" t="s">
        <v>3345</v>
      </c>
      <c r="BN361" s="115" t="s">
        <v>3345</v>
      </c>
      <c r="BO361" s="2"/>
      <c r="BP361" s="3"/>
      <c r="BQ361" s="3"/>
      <c r="BR361" s="3"/>
      <c r="BS361" s="3"/>
    </row>
    <row r="362" spans="1:71" ht="15">
      <c r="A362" s="66" t="s">
        <v>579</v>
      </c>
      <c r="B362" s="67"/>
      <c r="C362" s="67"/>
      <c r="D362" s="68">
        <v>150</v>
      </c>
      <c r="E362" s="70"/>
      <c r="F362" s="102" t="str">
        <f>HYPERLINK("https://yt3.ggpht.com/dg0Yde4E2KOJY49-gMzwOhqsdlgnDQlamC_7jQnbaiEd-qaSqii8GZMkD2MXoDmgwUCdk437zQ=s88-c-k-c0x00ffffff-no-rj")</f>
        <v>https://yt3.ggpht.com/dg0Yde4E2KOJY49-gMzwOhqsdlgnDQlamC_7jQnbaiEd-qaSqii8GZMkD2MXoDmgwUCdk437zQ=s88-c-k-c0x00ffffff-no-rj</v>
      </c>
      <c r="G362" s="67"/>
      <c r="H362" s="71" t="s">
        <v>1652</v>
      </c>
      <c r="I362" s="72"/>
      <c r="J362" s="72" t="s">
        <v>159</v>
      </c>
      <c r="K362" s="71" t="s">
        <v>1652</v>
      </c>
      <c r="L362" s="75">
        <v>1</v>
      </c>
      <c r="M362" s="76">
        <v>4493.8447265625</v>
      </c>
      <c r="N362" s="76">
        <v>5684.2138671875</v>
      </c>
      <c r="O362" s="77"/>
      <c r="P362" s="78"/>
      <c r="Q362" s="78"/>
      <c r="R362" s="88"/>
      <c r="S362" s="49">
        <v>0</v>
      </c>
      <c r="T362" s="49">
        <v>1</v>
      </c>
      <c r="U362" s="50">
        <v>0</v>
      </c>
      <c r="V362" s="50">
        <v>0.177728</v>
      </c>
      <c r="W362" s="50">
        <v>0.049759</v>
      </c>
      <c r="X362" s="50">
        <v>0.001579</v>
      </c>
      <c r="Y362" s="50">
        <v>0</v>
      </c>
      <c r="Z362" s="50">
        <v>0</v>
      </c>
      <c r="AA362" s="73">
        <v>362</v>
      </c>
      <c r="AB362" s="73"/>
      <c r="AC362" s="74"/>
      <c r="AD362" s="81" t="s">
        <v>1652</v>
      </c>
      <c r="AE362" s="81"/>
      <c r="AF362" s="81"/>
      <c r="AG362" s="81"/>
      <c r="AH362" s="81"/>
      <c r="AI362" s="81" t="s">
        <v>2378</v>
      </c>
      <c r="AJ362" s="85">
        <v>42317.09758101852</v>
      </c>
      <c r="AK362" s="83" t="str">
        <f>HYPERLINK("https://yt3.ggpht.com/dg0Yde4E2KOJY49-gMzwOhqsdlgnDQlamC_7jQnbaiEd-qaSqii8GZMkD2MXoDmgwUCdk437zQ=s88-c-k-c0x00ffffff-no-rj")</f>
        <v>https://yt3.ggpht.com/dg0Yde4E2KOJY49-gMzwOhqsdlgnDQlamC_7jQnbaiEd-qaSqii8GZMkD2MXoDmgwUCdk437zQ=s88-c-k-c0x00ffffff-no-rj</v>
      </c>
      <c r="AL362" s="81">
        <v>24</v>
      </c>
      <c r="AM362" s="81">
        <v>0</v>
      </c>
      <c r="AN362" s="81">
        <v>3</v>
      </c>
      <c r="AO362" s="81" t="b">
        <v>0</v>
      </c>
      <c r="AP362" s="81">
        <v>3</v>
      </c>
      <c r="AQ362" s="81"/>
      <c r="AR362" s="81"/>
      <c r="AS362" s="81" t="s">
        <v>2571</v>
      </c>
      <c r="AT362" s="83" t="str">
        <f>HYPERLINK("https://www.youtube.com/channel/UCoLxR3-lIvkT0o_EyUyVrVA")</f>
        <v>https://www.youtube.com/channel/UCoLxR3-lIvkT0o_EyUyVrVA</v>
      </c>
      <c r="AU362" s="81">
        <v>1</v>
      </c>
      <c r="AV362" s="49">
        <v>1</v>
      </c>
      <c r="AW362" s="50">
        <v>25</v>
      </c>
      <c r="AX362" s="49">
        <v>0</v>
      </c>
      <c r="AY362" s="50">
        <v>0</v>
      </c>
      <c r="AZ362" s="49">
        <v>0</v>
      </c>
      <c r="BA362" s="50">
        <v>0</v>
      </c>
      <c r="BB362" s="49">
        <v>3</v>
      </c>
      <c r="BC362" s="50">
        <v>75</v>
      </c>
      <c r="BD362" s="49">
        <v>4</v>
      </c>
      <c r="BE362" s="49"/>
      <c r="BF362" s="49"/>
      <c r="BG362" s="49"/>
      <c r="BH362" s="49"/>
      <c r="BI362" s="49"/>
      <c r="BJ362" s="49"/>
      <c r="BK362" s="115" t="s">
        <v>2892</v>
      </c>
      <c r="BL362" s="115" t="s">
        <v>2892</v>
      </c>
      <c r="BM362" s="115" t="s">
        <v>3346</v>
      </c>
      <c r="BN362" s="115" t="s">
        <v>3346</v>
      </c>
      <c r="BO362" s="2"/>
      <c r="BP362" s="3"/>
      <c r="BQ362" s="3"/>
      <c r="BR362" s="3"/>
      <c r="BS362" s="3"/>
    </row>
    <row r="363" spans="1:71" ht="15">
      <c r="A363" s="66" t="s">
        <v>580</v>
      </c>
      <c r="B363" s="67"/>
      <c r="C363" s="67"/>
      <c r="D363" s="68">
        <v>150</v>
      </c>
      <c r="E363" s="70"/>
      <c r="F363" s="102" t="str">
        <f>HYPERLINK("https://yt3.ggpht.com/ytc/AOPolaQKwcwIkPNv7N3lTEgXXh1fYVfOAP-fvRUnvMExlutQQcR3yIbLcnbDun5h897O=s88-c-k-c0x00ffffff-no-rj")</f>
        <v>https://yt3.ggpht.com/ytc/AOPolaQKwcwIkPNv7N3lTEgXXh1fYVfOAP-fvRUnvMExlutQQcR3yIbLcnbDun5h897O=s88-c-k-c0x00ffffff-no-rj</v>
      </c>
      <c r="G363" s="67"/>
      <c r="H363" s="71" t="s">
        <v>1653</v>
      </c>
      <c r="I363" s="72"/>
      <c r="J363" s="72" t="s">
        <v>159</v>
      </c>
      <c r="K363" s="71" t="s">
        <v>1653</v>
      </c>
      <c r="L363" s="75">
        <v>1</v>
      </c>
      <c r="M363" s="76">
        <v>2412.5849609375</v>
      </c>
      <c r="N363" s="76">
        <v>8170.77587890625</v>
      </c>
      <c r="O363" s="77"/>
      <c r="P363" s="78"/>
      <c r="Q363" s="78"/>
      <c r="R363" s="88"/>
      <c r="S363" s="49">
        <v>0</v>
      </c>
      <c r="T363" s="49">
        <v>1</v>
      </c>
      <c r="U363" s="50">
        <v>0</v>
      </c>
      <c r="V363" s="50">
        <v>0.177728</v>
      </c>
      <c r="W363" s="50">
        <v>0.049759</v>
      </c>
      <c r="X363" s="50">
        <v>0.001579</v>
      </c>
      <c r="Y363" s="50">
        <v>0</v>
      </c>
      <c r="Z363" s="50">
        <v>0</v>
      </c>
      <c r="AA363" s="73">
        <v>363</v>
      </c>
      <c r="AB363" s="73"/>
      <c r="AC363" s="74"/>
      <c r="AD363" s="81" t="s">
        <v>1653</v>
      </c>
      <c r="AE363" s="81"/>
      <c r="AF363" s="81"/>
      <c r="AG363" s="81"/>
      <c r="AH363" s="81"/>
      <c r="AI363" s="81" t="s">
        <v>2379</v>
      </c>
      <c r="AJ363" s="85">
        <v>44860.18592592593</v>
      </c>
      <c r="AK363" s="83" t="str">
        <f>HYPERLINK("https://yt3.ggpht.com/ytc/AOPolaQKwcwIkPNv7N3lTEgXXh1fYVfOAP-fvRUnvMExlutQQcR3yIbLcnbDun5h897O=s88-c-k-c0x00ffffff-no-rj")</f>
        <v>https://yt3.ggpht.com/ytc/AOPolaQKwcwIkPNv7N3lTEgXXh1fYVfOAP-fvRUnvMExlutQQcR3yIbLcnbDun5h897O=s88-c-k-c0x00ffffff-no-rj</v>
      </c>
      <c r="AL363" s="81">
        <v>0</v>
      </c>
      <c r="AM363" s="81">
        <v>0</v>
      </c>
      <c r="AN363" s="81">
        <v>3</v>
      </c>
      <c r="AO363" s="81" t="b">
        <v>0</v>
      </c>
      <c r="AP363" s="81">
        <v>0</v>
      </c>
      <c r="AQ363" s="81"/>
      <c r="AR363" s="81"/>
      <c r="AS363" s="81" t="s">
        <v>2571</v>
      </c>
      <c r="AT363" s="83" t="str">
        <f>HYPERLINK("https://www.youtube.com/channel/UC3p7EbHpBX43Lx2qVYnUmEw")</f>
        <v>https://www.youtube.com/channel/UC3p7EbHpBX43Lx2qVYnUmEw</v>
      </c>
      <c r="AU363" s="81">
        <v>1</v>
      </c>
      <c r="AV363" s="49">
        <v>0</v>
      </c>
      <c r="AW363" s="50">
        <v>0</v>
      </c>
      <c r="AX363" s="49">
        <v>0</v>
      </c>
      <c r="AY363" s="50">
        <v>0</v>
      </c>
      <c r="AZ363" s="49">
        <v>0</v>
      </c>
      <c r="BA363" s="50">
        <v>0</v>
      </c>
      <c r="BB363" s="49">
        <v>1</v>
      </c>
      <c r="BC363" s="50">
        <v>14.285714285714286</v>
      </c>
      <c r="BD363" s="49">
        <v>7</v>
      </c>
      <c r="BE363" s="49"/>
      <c r="BF363" s="49"/>
      <c r="BG363" s="49"/>
      <c r="BH363" s="49"/>
      <c r="BI363" s="49"/>
      <c r="BJ363" s="49"/>
      <c r="BK363" s="115" t="s">
        <v>2893</v>
      </c>
      <c r="BL363" s="115" t="s">
        <v>2893</v>
      </c>
      <c r="BM363" s="115" t="s">
        <v>4477</v>
      </c>
      <c r="BN363" s="115" t="s">
        <v>4477</v>
      </c>
      <c r="BO363" s="2"/>
      <c r="BP363" s="3"/>
      <c r="BQ363" s="3"/>
      <c r="BR363" s="3"/>
      <c r="BS363" s="3"/>
    </row>
    <row r="364" spans="1:71" ht="15">
      <c r="A364" s="66" t="s">
        <v>581</v>
      </c>
      <c r="B364" s="67"/>
      <c r="C364" s="67"/>
      <c r="D364" s="68">
        <v>150</v>
      </c>
      <c r="E364" s="70"/>
      <c r="F364" s="102" t="str">
        <f>HYPERLINK("https://yt3.ggpht.com/ytc/AOPolaTWSOaVwvU88YIP6WWnelaotTocgvTYs_DjbDafXQE0F8O0Q3pnDHkFDrZpgSjN=s88-c-k-c0x00ffffff-no-rj")</f>
        <v>https://yt3.ggpht.com/ytc/AOPolaTWSOaVwvU88YIP6WWnelaotTocgvTYs_DjbDafXQE0F8O0Q3pnDHkFDrZpgSjN=s88-c-k-c0x00ffffff-no-rj</v>
      </c>
      <c r="G364" s="67"/>
      <c r="H364" s="71" t="s">
        <v>1654</v>
      </c>
      <c r="I364" s="72"/>
      <c r="J364" s="72" t="s">
        <v>159</v>
      </c>
      <c r="K364" s="71" t="s">
        <v>1654</v>
      </c>
      <c r="L364" s="75">
        <v>1</v>
      </c>
      <c r="M364" s="76">
        <v>4259.16748046875</v>
      </c>
      <c r="N364" s="76">
        <v>6756.79541015625</v>
      </c>
      <c r="O364" s="77"/>
      <c r="P364" s="78"/>
      <c r="Q364" s="78"/>
      <c r="R364" s="88"/>
      <c r="S364" s="49">
        <v>0</v>
      </c>
      <c r="T364" s="49">
        <v>1</v>
      </c>
      <c r="U364" s="50">
        <v>0</v>
      </c>
      <c r="V364" s="50">
        <v>0.177728</v>
      </c>
      <c r="W364" s="50">
        <v>0.049759</v>
      </c>
      <c r="X364" s="50">
        <v>0.001579</v>
      </c>
      <c r="Y364" s="50">
        <v>0</v>
      </c>
      <c r="Z364" s="50">
        <v>0</v>
      </c>
      <c r="AA364" s="73">
        <v>364</v>
      </c>
      <c r="AB364" s="73"/>
      <c r="AC364" s="74"/>
      <c r="AD364" s="81" t="s">
        <v>1654</v>
      </c>
      <c r="AE364" s="81"/>
      <c r="AF364" s="81"/>
      <c r="AG364" s="81"/>
      <c r="AH364" s="81"/>
      <c r="AI364" s="81" t="s">
        <v>2380</v>
      </c>
      <c r="AJ364" s="85">
        <v>45068.9921875</v>
      </c>
      <c r="AK364" s="83" t="str">
        <f>HYPERLINK("https://yt3.ggpht.com/ytc/AOPolaTWSOaVwvU88YIP6WWnelaotTocgvTYs_DjbDafXQE0F8O0Q3pnDHkFDrZpgSjN=s88-c-k-c0x00ffffff-no-rj")</f>
        <v>https://yt3.ggpht.com/ytc/AOPolaTWSOaVwvU88YIP6WWnelaotTocgvTYs_DjbDafXQE0F8O0Q3pnDHkFDrZpgSjN=s88-c-k-c0x00ffffff-no-rj</v>
      </c>
      <c r="AL364" s="81">
        <v>0</v>
      </c>
      <c r="AM364" s="81">
        <v>0</v>
      </c>
      <c r="AN364" s="81">
        <v>0</v>
      </c>
      <c r="AO364" s="81" t="b">
        <v>0</v>
      </c>
      <c r="AP364" s="81">
        <v>0</v>
      </c>
      <c r="AQ364" s="81"/>
      <c r="AR364" s="81"/>
      <c r="AS364" s="81" t="s">
        <v>2571</v>
      </c>
      <c r="AT364" s="83" t="str">
        <f>HYPERLINK("https://www.youtube.com/channel/UCHMv7i1bz30bwqGCoDAZyOg")</f>
        <v>https://www.youtube.com/channel/UCHMv7i1bz30bwqGCoDAZyOg</v>
      </c>
      <c r="AU364" s="81">
        <v>1</v>
      </c>
      <c r="AV364" s="49">
        <v>1</v>
      </c>
      <c r="AW364" s="50">
        <v>4.3478260869565215</v>
      </c>
      <c r="AX364" s="49">
        <v>0</v>
      </c>
      <c r="AY364" s="50">
        <v>0</v>
      </c>
      <c r="AZ364" s="49">
        <v>0</v>
      </c>
      <c r="BA364" s="50">
        <v>0</v>
      </c>
      <c r="BB364" s="49">
        <v>8</v>
      </c>
      <c r="BC364" s="50">
        <v>34.78260869565217</v>
      </c>
      <c r="BD364" s="49">
        <v>23</v>
      </c>
      <c r="BE364" s="49"/>
      <c r="BF364" s="49"/>
      <c r="BG364" s="49"/>
      <c r="BH364" s="49"/>
      <c r="BI364" s="49"/>
      <c r="BJ364" s="49"/>
      <c r="BK364" s="115" t="s">
        <v>2894</v>
      </c>
      <c r="BL364" s="115" t="s">
        <v>2894</v>
      </c>
      <c r="BM364" s="115" t="s">
        <v>3347</v>
      </c>
      <c r="BN364" s="115" t="s">
        <v>3347</v>
      </c>
      <c r="BO364" s="2"/>
      <c r="BP364" s="3"/>
      <c r="BQ364" s="3"/>
      <c r="BR364" s="3"/>
      <c r="BS364" s="3"/>
    </row>
    <row r="365" spans="1:71" ht="15">
      <c r="A365" s="66" t="s">
        <v>582</v>
      </c>
      <c r="B365" s="67"/>
      <c r="C365" s="67"/>
      <c r="D365" s="68">
        <v>150</v>
      </c>
      <c r="E365" s="70"/>
      <c r="F365" s="102" t="str">
        <f>HYPERLINK("https://yt3.ggpht.com/ytc/AOPolaR4JSj6hIhyrKjangnbdmS2Jq5ngUj3USyXlXcE4g=s88-c-k-c0x00ffffff-no-rj")</f>
        <v>https://yt3.ggpht.com/ytc/AOPolaR4JSj6hIhyrKjangnbdmS2Jq5ngUj3USyXlXcE4g=s88-c-k-c0x00ffffff-no-rj</v>
      </c>
      <c r="G365" s="67"/>
      <c r="H365" s="71" t="s">
        <v>1655</v>
      </c>
      <c r="I365" s="72"/>
      <c r="J365" s="72" t="s">
        <v>159</v>
      </c>
      <c r="K365" s="71" t="s">
        <v>1655</v>
      </c>
      <c r="L365" s="75">
        <v>1</v>
      </c>
      <c r="M365" s="76">
        <v>3049.939208984375</v>
      </c>
      <c r="N365" s="76">
        <v>5562.1884765625</v>
      </c>
      <c r="O365" s="77"/>
      <c r="P365" s="78"/>
      <c r="Q365" s="78"/>
      <c r="R365" s="88"/>
      <c r="S365" s="49">
        <v>0</v>
      </c>
      <c r="T365" s="49">
        <v>1</v>
      </c>
      <c r="U365" s="50">
        <v>0</v>
      </c>
      <c r="V365" s="50">
        <v>0.177728</v>
      </c>
      <c r="W365" s="50">
        <v>0.049759</v>
      </c>
      <c r="X365" s="50">
        <v>0.001579</v>
      </c>
      <c r="Y365" s="50">
        <v>0</v>
      </c>
      <c r="Z365" s="50">
        <v>0</v>
      </c>
      <c r="AA365" s="73">
        <v>365</v>
      </c>
      <c r="AB365" s="73"/>
      <c r="AC365" s="74"/>
      <c r="AD365" s="81" t="s">
        <v>1655</v>
      </c>
      <c r="AE365" s="81"/>
      <c r="AF365" s="81"/>
      <c r="AG365" s="81"/>
      <c r="AH365" s="81"/>
      <c r="AI365" s="81" t="s">
        <v>2381</v>
      </c>
      <c r="AJ365" s="85">
        <v>40892.55615740741</v>
      </c>
      <c r="AK365" s="83" t="str">
        <f>HYPERLINK("https://yt3.ggpht.com/ytc/AOPolaR4JSj6hIhyrKjangnbdmS2Jq5ngUj3USyXlXcE4g=s88-c-k-c0x00ffffff-no-rj")</f>
        <v>https://yt3.ggpht.com/ytc/AOPolaR4JSj6hIhyrKjangnbdmS2Jq5ngUj3USyXlXcE4g=s88-c-k-c0x00ffffff-no-rj</v>
      </c>
      <c r="AL365" s="81">
        <v>0</v>
      </c>
      <c r="AM365" s="81">
        <v>0</v>
      </c>
      <c r="AN365" s="81">
        <v>0</v>
      </c>
      <c r="AO365" s="81" t="b">
        <v>0</v>
      </c>
      <c r="AP365" s="81">
        <v>0</v>
      </c>
      <c r="AQ365" s="81"/>
      <c r="AR365" s="81"/>
      <c r="AS365" s="81" t="s">
        <v>2571</v>
      </c>
      <c r="AT365" s="83" t="str">
        <f>HYPERLINK("https://www.youtube.com/channel/UCdUdNa5IbE-Q2ku0amPTCbA")</f>
        <v>https://www.youtube.com/channel/UCdUdNa5IbE-Q2ku0amPTCbA</v>
      </c>
      <c r="AU365" s="81">
        <v>1</v>
      </c>
      <c r="AV365" s="49">
        <v>1</v>
      </c>
      <c r="AW365" s="50">
        <v>3.5714285714285716</v>
      </c>
      <c r="AX365" s="49">
        <v>1</v>
      </c>
      <c r="AY365" s="50">
        <v>3.5714285714285716</v>
      </c>
      <c r="AZ365" s="49">
        <v>0</v>
      </c>
      <c r="BA365" s="50">
        <v>0</v>
      </c>
      <c r="BB365" s="49">
        <v>9</v>
      </c>
      <c r="BC365" s="50">
        <v>32.142857142857146</v>
      </c>
      <c r="BD365" s="49">
        <v>28</v>
      </c>
      <c r="BE365" s="49"/>
      <c r="BF365" s="49"/>
      <c r="BG365" s="49"/>
      <c r="BH365" s="49"/>
      <c r="BI365" s="49"/>
      <c r="BJ365" s="49"/>
      <c r="BK365" s="115" t="s">
        <v>2895</v>
      </c>
      <c r="BL365" s="115" t="s">
        <v>2895</v>
      </c>
      <c r="BM365" s="115" t="s">
        <v>3348</v>
      </c>
      <c r="BN365" s="115" t="s">
        <v>3348</v>
      </c>
      <c r="BO365" s="2"/>
      <c r="BP365" s="3"/>
      <c r="BQ365" s="3"/>
      <c r="BR365" s="3"/>
      <c r="BS365" s="3"/>
    </row>
    <row r="366" spans="1:71" ht="15">
      <c r="A366" s="66" t="s">
        <v>583</v>
      </c>
      <c r="B366" s="67"/>
      <c r="C366" s="67"/>
      <c r="D366" s="68">
        <v>150</v>
      </c>
      <c r="E366" s="70"/>
      <c r="F366" s="102" t="str">
        <f>HYPERLINK("https://yt3.ggpht.com/ytc/AOPolaRtV-x3NGeAYL3jIk78Fm_CJrVExmmrjYgrCg=s88-c-k-c0x00ffffff-no-rj")</f>
        <v>https://yt3.ggpht.com/ytc/AOPolaRtV-x3NGeAYL3jIk78Fm_CJrVExmmrjYgrCg=s88-c-k-c0x00ffffff-no-rj</v>
      </c>
      <c r="G366" s="67"/>
      <c r="H366" s="71" t="s">
        <v>1656</v>
      </c>
      <c r="I366" s="72"/>
      <c r="J366" s="72" t="s">
        <v>159</v>
      </c>
      <c r="K366" s="71" t="s">
        <v>1656</v>
      </c>
      <c r="L366" s="75">
        <v>1</v>
      </c>
      <c r="M366" s="76">
        <v>5077.662109375</v>
      </c>
      <c r="N366" s="76">
        <v>8109.47216796875</v>
      </c>
      <c r="O366" s="77"/>
      <c r="P366" s="78"/>
      <c r="Q366" s="78"/>
      <c r="R366" s="88"/>
      <c r="S366" s="49">
        <v>0</v>
      </c>
      <c r="T366" s="49">
        <v>1</v>
      </c>
      <c r="U366" s="50">
        <v>0</v>
      </c>
      <c r="V366" s="50">
        <v>0.177728</v>
      </c>
      <c r="W366" s="50">
        <v>0.049759</v>
      </c>
      <c r="X366" s="50">
        <v>0.001579</v>
      </c>
      <c r="Y366" s="50">
        <v>0</v>
      </c>
      <c r="Z366" s="50">
        <v>0</v>
      </c>
      <c r="AA366" s="73">
        <v>366</v>
      </c>
      <c r="AB366" s="73"/>
      <c r="AC366" s="74"/>
      <c r="AD366" s="81" t="s">
        <v>1656</v>
      </c>
      <c r="AE366" s="81"/>
      <c r="AF366" s="81"/>
      <c r="AG366" s="81"/>
      <c r="AH366" s="81"/>
      <c r="AI366" s="81" t="s">
        <v>2382</v>
      </c>
      <c r="AJ366" s="85">
        <v>44280.74662037037</v>
      </c>
      <c r="AK366" s="83" t="str">
        <f>HYPERLINK("https://yt3.ggpht.com/ytc/AOPolaRtV-x3NGeAYL3jIk78Fm_CJrVExmmrjYgrCg=s88-c-k-c0x00ffffff-no-rj")</f>
        <v>https://yt3.ggpht.com/ytc/AOPolaRtV-x3NGeAYL3jIk78Fm_CJrVExmmrjYgrCg=s88-c-k-c0x00ffffff-no-rj</v>
      </c>
      <c r="AL366" s="81">
        <v>0</v>
      </c>
      <c r="AM366" s="81">
        <v>0</v>
      </c>
      <c r="AN366" s="81">
        <v>30</v>
      </c>
      <c r="AO366" s="81" t="b">
        <v>0</v>
      </c>
      <c r="AP366" s="81">
        <v>0</v>
      </c>
      <c r="AQ366" s="81"/>
      <c r="AR366" s="81"/>
      <c r="AS366" s="81" t="s">
        <v>2571</v>
      </c>
      <c r="AT366" s="83" t="str">
        <f>HYPERLINK("https://www.youtube.com/channel/UChn54Xq5Lr909DLXv4y4ZyA")</f>
        <v>https://www.youtube.com/channel/UChn54Xq5Lr909DLXv4y4ZyA</v>
      </c>
      <c r="AU366" s="81">
        <v>1</v>
      </c>
      <c r="AV366" s="49">
        <v>1</v>
      </c>
      <c r="AW366" s="50">
        <v>2.3255813953488373</v>
      </c>
      <c r="AX366" s="49">
        <v>1</v>
      </c>
      <c r="AY366" s="50">
        <v>2.3255813953488373</v>
      </c>
      <c r="AZ366" s="49">
        <v>0</v>
      </c>
      <c r="BA366" s="50">
        <v>0</v>
      </c>
      <c r="BB366" s="49">
        <v>37</v>
      </c>
      <c r="BC366" s="50">
        <v>86.04651162790698</v>
      </c>
      <c r="BD366" s="49">
        <v>43</v>
      </c>
      <c r="BE366" s="49"/>
      <c r="BF366" s="49"/>
      <c r="BG366" s="49"/>
      <c r="BH366" s="49"/>
      <c r="BI366" s="49"/>
      <c r="BJ366" s="49"/>
      <c r="BK366" s="115" t="s">
        <v>2896</v>
      </c>
      <c r="BL366" s="115" t="s">
        <v>2896</v>
      </c>
      <c r="BM366" s="115" t="s">
        <v>3349</v>
      </c>
      <c r="BN366" s="115" t="s">
        <v>3349</v>
      </c>
      <c r="BO366" s="2"/>
      <c r="BP366" s="3"/>
      <c r="BQ366" s="3"/>
      <c r="BR366" s="3"/>
      <c r="BS366" s="3"/>
    </row>
    <row r="367" spans="1:71" ht="15">
      <c r="A367" s="66" t="s">
        <v>584</v>
      </c>
      <c r="B367" s="67"/>
      <c r="C367" s="67"/>
      <c r="D367" s="68">
        <v>150</v>
      </c>
      <c r="E367" s="70"/>
      <c r="F367" s="102" t="str">
        <f>HYPERLINK("https://yt3.ggpht.com/ytc/AOPolaQPOoO4GFOz4MWLKFR9bOMhSN9JPAd70HfvzQ=s88-c-k-c0x00ffffff-no-rj")</f>
        <v>https://yt3.ggpht.com/ytc/AOPolaQPOoO4GFOz4MWLKFR9bOMhSN9JPAd70HfvzQ=s88-c-k-c0x00ffffff-no-rj</v>
      </c>
      <c r="G367" s="67"/>
      <c r="H367" s="71" t="s">
        <v>1657</v>
      </c>
      <c r="I367" s="72"/>
      <c r="J367" s="72" t="s">
        <v>159</v>
      </c>
      <c r="K367" s="71" t="s">
        <v>1657</v>
      </c>
      <c r="L367" s="75">
        <v>1</v>
      </c>
      <c r="M367" s="76">
        <v>744.3846435546875</v>
      </c>
      <c r="N367" s="76">
        <v>7270.1884765625</v>
      </c>
      <c r="O367" s="77"/>
      <c r="P367" s="78"/>
      <c r="Q367" s="78"/>
      <c r="R367" s="88"/>
      <c r="S367" s="49">
        <v>0</v>
      </c>
      <c r="T367" s="49">
        <v>1</v>
      </c>
      <c r="U367" s="50">
        <v>0</v>
      </c>
      <c r="V367" s="50">
        <v>0.177728</v>
      </c>
      <c r="W367" s="50">
        <v>0.049759</v>
      </c>
      <c r="X367" s="50">
        <v>0.001579</v>
      </c>
      <c r="Y367" s="50">
        <v>0</v>
      </c>
      <c r="Z367" s="50">
        <v>0</v>
      </c>
      <c r="AA367" s="73">
        <v>367</v>
      </c>
      <c r="AB367" s="73"/>
      <c r="AC367" s="74"/>
      <c r="AD367" s="81" t="s">
        <v>1657</v>
      </c>
      <c r="AE367" s="81"/>
      <c r="AF367" s="81"/>
      <c r="AG367" s="81"/>
      <c r="AH367" s="81"/>
      <c r="AI367" s="81" t="s">
        <v>2383</v>
      </c>
      <c r="AJ367" s="85">
        <v>41708.612546296295</v>
      </c>
      <c r="AK367" s="83" t="str">
        <f>HYPERLINK("https://yt3.ggpht.com/ytc/AOPolaQPOoO4GFOz4MWLKFR9bOMhSN9JPAd70HfvzQ=s88-c-k-c0x00ffffff-no-rj")</f>
        <v>https://yt3.ggpht.com/ytc/AOPolaQPOoO4GFOz4MWLKFR9bOMhSN9JPAd70HfvzQ=s88-c-k-c0x00ffffff-no-rj</v>
      </c>
      <c r="AL367" s="81">
        <v>0</v>
      </c>
      <c r="AM367" s="81">
        <v>0</v>
      </c>
      <c r="AN367" s="81">
        <v>0</v>
      </c>
      <c r="AO367" s="81" t="b">
        <v>0</v>
      </c>
      <c r="AP367" s="81">
        <v>0</v>
      </c>
      <c r="AQ367" s="81"/>
      <c r="AR367" s="81"/>
      <c r="AS367" s="81" t="s">
        <v>2571</v>
      </c>
      <c r="AT367" s="83" t="str">
        <f>HYPERLINK("https://www.youtube.com/channel/UCIqT5KawM9ZUu3JZUeRbr0Q")</f>
        <v>https://www.youtube.com/channel/UCIqT5KawM9ZUu3JZUeRbr0Q</v>
      </c>
      <c r="AU367" s="81">
        <v>1</v>
      </c>
      <c r="AV367" s="49">
        <v>1</v>
      </c>
      <c r="AW367" s="50">
        <v>33.333333333333336</v>
      </c>
      <c r="AX367" s="49">
        <v>0</v>
      </c>
      <c r="AY367" s="50">
        <v>0</v>
      </c>
      <c r="AZ367" s="49">
        <v>0</v>
      </c>
      <c r="BA367" s="50">
        <v>0</v>
      </c>
      <c r="BB367" s="49">
        <v>1</v>
      </c>
      <c r="BC367" s="50">
        <v>33.333333333333336</v>
      </c>
      <c r="BD367" s="49">
        <v>3</v>
      </c>
      <c r="BE367" s="49"/>
      <c r="BF367" s="49"/>
      <c r="BG367" s="49"/>
      <c r="BH367" s="49"/>
      <c r="BI367" s="49"/>
      <c r="BJ367" s="49"/>
      <c r="BK367" s="115" t="s">
        <v>2897</v>
      </c>
      <c r="BL367" s="115" t="s">
        <v>2897</v>
      </c>
      <c r="BM367" s="115" t="s">
        <v>3350</v>
      </c>
      <c r="BN367" s="115" t="s">
        <v>3350</v>
      </c>
      <c r="BO367" s="2"/>
      <c r="BP367" s="3"/>
      <c r="BQ367" s="3"/>
      <c r="BR367" s="3"/>
      <c r="BS367" s="3"/>
    </row>
    <row r="368" spans="1:71" ht="15">
      <c r="A368" s="66" t="s">
        <v>585</v>
      </c>
      <c r="B368" s="67"/>
      <c r="C368" s="67"/>
      <c r="D368" s="68">
        <v>150</v>
      </c>
      <c r="E368" s="70"/>
      <c r="F368" s="102" t="str">
        <f>HYPERLINK("https://yt3.ggpht.com/ytc/AOPolaT8_ysuZT9j4oTBnpaDMv11lFn2rHi23SY6lZ7wPw=s88-c-k-c0x00ffffff-no-rj")</f>
        <v>https://yt3.ggpht.com/ytc/AOPolaT8_ysuZT9j4oTBnpaDMv11lFn2rHi23SY6lZ7wPw=s88-c-k-c0x00ffffff-no-rj</v>
      </c>
      <c r="G368" s="67"/>
      <c r="H368" s="71" t="s">
        <v>1658</v>
      </c>
      <c r="I368" s="72"/>
      <c r="J368" s="72" t="s">
        <v>159</v>
      </c>
      <c r="K368" s="71" t="s">
        <v>1658</v>
      </c>
      <c r="L368" s="75">
        <v>1</v>
      </c>
      <c r="M368" s="76">
        <v>1049.489013671875</v>
      </c>
      <c r="N368" s="76">
        <v>5234.27783203125</v>
      </c>
      <c r="O368" s="77"/>
      <c r="P368" s="78"/>
      <c r="Q368" s="78"/>
      <c r="R368" s="88"/>
      <c r="S368" s="49">
        <v>0</v>
      </c>
      <c r="T368" s="49">
        <v>1</v>
      </c>
      <c r="U368" s="50">
        <v>0</v>
      </c>
      <c r="V368" s="50">
        <v>0.177728</v>
      </c>
      <c r="W368" s="50">
        <v>0.049759</v>
      </c>
      <c r="X368" s="50">
        <v>0.001579</v>
      </c>
      <c r="Y368" s="50">
        <v>0</v>
      </c>
      <c r="Z368" s="50">
        <v>0</v>
      </c>
      <c r="AA368" s="73">
        <v>368</v>
      </c>
      <c r="AB368" s="73"/>
      <c r="AC368" s="74"/>
      <c r="AD368" s="81" t="s">
        <v>1658</v>
      </c>
      <c r="AE368" s="81"/>
      <c r="AF368" s="81"/>
      <c r="AG368" s="81"/>
      <c r="AH368" s="81"/>
      <c r="AI368" s="81" t="s">
        <v>2384</v>
      </c>
      <c r="AJ368" s="85">
        <v>44029.91940972222</v>
      </c>
      <c r="AK368" s="83" t="str">
        <f>HYPERLINK("https://yt3.ggpht.com/ytc/AOPolaT8_ysuZT9j4oTBnpaDMv11lFn2rHi23SY6lZ7wPw=s88-c-k-c0x00ffffff-no-rj")</f>
        <v>https://yt3.ggpht.com/ytc/AOPolaT8_ysuZT9j4oTBnpaDMv11lFn2rHi23SY6lZ7wPw=s88-c-k-c0x00ffffff-no-rj</v>
      </c>
      <c r="AL368" s="81">
        <v>0</v>
      </c>
      <c r="AM368" s="81">
        <v>0</v>
      </c>
      <c r="AN368" s="81">
        <v>4</v>
      </c>
      <c r="AO368" s="81" t="b">
        <v>0</v>
      </c>
      <c r="AP368" s="81">
        <v>0</v>
      </c>
      <c r="AQ368" s="81"/>
      <c r="AR368" s="81"/>
      <c r="AS368" s="81" t="s">
        <v>2571</v>
      </c>
      <c r="AT368" s="83" t="str">
        <f>HYPERLINK("https://www.youtube.com/channel/UC8uJo5_SeMHvB72mrabjubQ")</f>
        <v>https://www.youtube.com/channel/UC8uJo5_SeMHvB72mrabjubQ</v>
      </c>
      <c r="AU368" s="81">
        <v>1</v>
      </c>
      <c r="AV368" s="49">
        <v>1</v>
      </c>
      <c r="AW368" s="50">
        <v>12.5</v>
      </c>
      <c r="AX368" s="49">
        <v>0</v>
      </c>
      <c r="AY368" s="50">
        <v>0</v>
      </c>
      <c r="AZ368" s="49">
        <v>0</v>
      </c>
      <c r="BA368" s="50">
        <v>0</v>
      </c>
      <c r="BB368" s="49">
        <v>4</v>
      </c>
      <c r="BC368" s="50">
        <v>50</v>
      </c>
      <c r="BD368" s="49">
        <v>8</v>
      </c>
      <c r="BE368" s="49"/>
      <c r="BF368" s="49"/>
      <c r="BG368" s="49"/>
      <c r="BH368" s="49"/>
      <c r="BI368" s="49"/>
      <c r="BJ368" s="49"/>
      <c r="BK368" s="115" t="s">
        <v>2898</v>
      </c>
      <c r="BL368" s="115" t="s">
        <v>2898</v>
      </c>
      <c r="BM368" s="115" t="s">
        <v>3351</v>
      </c>
      <c r="BN368" s="115" t="s">
        <v>3351</v>
      </c>
      <c r="BO368" s="2"/>
      <c r="BP368" s="3"/>
      <c r="BQ368" s="3"/>
      <c r="BR368" s="3"/>
      <c r="BS368" s="3"/>
    </row>
    <row r="369" spans="1:71" ht="15">
      <c r="A369" s="66" t="s">
        <v>586</v>
      </c>
      <c r="B369" s="67"/>
      <c r="C369" s="67"/>
      <c r="D369" s="68">
        <v>150</v>
      </c>
      <c r="E369" s="70"/>
      <c r="F369" s="102" t="str">
        <f>HYPERLINK("https://yt3.ggpht.com/ytc/AOPolaQOOK02sxvojyktUPXhO5e83noVccwAbwvTLHllVhvdVqbrDBNrIUUtwr8FPz5W=s88-c-k-c0x00ffffff-no-rj")</f>
        <v>https://yt3.ggpht.com/ytc/AOPolaQOOK02sxvojyktUPXhO5e83noVccwAbwvTLHllVhvdVqbrDBNrIUUtwr8FPz5W=s88-c-k-c0x00ffffff-no-rj</v>
      </c>
      <c r="G369" s="67"/>
      <c r="H369" s="71" t="s">
        <v>1659</v>
      </c>
      <c r="I369" s="72"/>
      <c r="J369" s="72" t="s">
        <v>159</v>
      </c>
      <c r="K369" s="71" t="s">
        <v>1659</v>
      </c>
      <c r="L369" s="75">
        <v>1</v>
      </c>
      <c r="M369" s="76">
        <v>2161.696044921875</v>
      </c>
      <c r="N369" s="76">
        <v>9697.9853515625</v>
      </c>
      <c r="O369" s="77"/>
      <c r="P369" s="78"/>
      <c r="Q369" s="78"/>
      <c r="R369" s="88"/>
      <c r="S369" s="49">
        <v>0</v>
      </c>
      <c r="T369" s="49">
        <v>1</v>
      </c>
      <c r="U369" s="50">
        <v>0</v>
      </c>
      <c r="V369" s="50">
        <v>0.177728</v>
      </c>
      <c r="W369" s="50">
        <v>0.049759</v>
      </c>
      <c r="X369" s="50">
        <v>0.001579</v>
      </c>
      <c r="Y369" s="50">
        <v>0</v>
      </c>
      <c r="Z369" s="50">
        <v>0</v>
      </c>
      <c r="AA369" s="73">
        <v>369</v>
      </c>
      <c r="AB369" s="73"/>
      <c r="AC369" s="74"/>
      <c r="AD369" s="81" t="s">
        <v>1659</v>
      </c>
      <c r="AE369" s="81"/>
      <c r="AF369" s="81"/>
      <c r="AG369" s="81"/>
      <c r="AH369" s="81"/>
      <c r="AI369" s="81" t="s">
        <v>2385</v>
      </c>
      <c r="AJ369" s="85">
        <v>45005.0522337963</v>
      </c>
      <c r="AK369" s="83" t="str">
        <f>HYPERLINK("https://yt3.ggpht.com/ytc/AOPolaQOOK02sxvojyktUPXhO5e83noVccwAbwvTLHllVhvdVqbrDBNrIUUtwr8FPz5W=s88-c-k-c0x00ffffff-no-rj")</f>
        <v>https://yt3.ggpht.com/ytc/AOPolaQOOK02sxvojyktUPXhO5e83noVccwAbwvTLHllVhvdVqbrDBNrIUUtwr8FPz5W=s88-c-k-c0x00ffffff-no-rj</v>
      </c>
      <c r="AL369" s="81">
        <v>0</v>
      </c>
      <c r="AM369" s="81">
        <v>0</v>
      </c>
      <c r="AN369" s="81">
        <v>1</v>
      </c>
      <c r="AO369" s="81" t="b">
        <v>0</v>
      </c>
      <c r="AP369" s="81">
        <v>0</v>
      </c>
      <c r="AQ369" s="81"/>
      <c r="AR369" s="81"/>
      <c r="AS369" s="81" t="s">
        <v>2571</v>
      </c>
      <c r="AT369" s="83" t="str">
        <f>HYPERLINK("https://www.youtube.com/channel/UCSVoZFz4FzzH3WxcHbZrzeA")</f>
        <v>https://www.youtube.com/channel/UCSVoZFz4FzzH3WxcHbZrzeA</v>
      </c>
      <c r="AU369" s="81">
        <v>1</v>
      </c>
      <c r="AV369" s="49">
        <v>1</v>
      </c>
      <c r="AW369" s="50">
        <v>14.285714285714286</v>
      </c>
      <c r="AX369" s="49">
        <v>0</v>
      </c>
      <c r="AY369" s="50">
        <v>0</v>
      </c>
      <c r="AZ369" s="49">
        <v>0</v>
      </c>
      <c r="BA369" s="50">
        <v>0</v>
      </c>
      <c r="BB369" s="49">
        <v>2</v>
      </c>
      <c r="BC369" s="50">
        <v>28.571428571428573</v>
      </c>
      <c r="BD369" s="49">
        <v>7</v>
      </c>
      <c r="BE369" s="49"/>
      <c r="BF369" s="49"/>
      <c r="BG369" s="49"/>
      <c r="BH369" s="49"/>
      <c r="BI369" s="49"/>
      <c r="BJ369" s="49"/>
      <c r="BK369" s="115" t="s">
        <v>2899</v>
      </c>
      <c r="BL369" s="115" t="s">
        <v>2899</v>
      </c>
      <c r="BM369" s="115" t="s">
        <v>3352</v>
      </c>
      <c r="BN369" s="115" t="s">
        <v>3352</v>
      </c>
      <c r="BO369" s="2"/>
      <c r="BP369" s="3"/>
      <c r="BQ369" s="3"/>
      <c r="BR369" s="3"/>
      <c r="BS369" s="3"/>
    </row>
    <row r="370" spans="1:71" ht="15">
      <c r="A370" s="66" t="s">
        <v>587</v>
      </c>
      <c r="B370" s="67"/>
      <c r="C370" s="67"/>
      <c r="D370" s="68">
        <v>150</v>
      </c>
      <c r="E370" s="70"/>
      <c r="F370" s="102" t="str">
        <f>HYPERLINK("https://yt3.ggpht.com/ytc/AOPolaQIye91stGJIgvG1LHkGzaa3O3KTtbD0mxHYQ=s88-c-k-c0x00ffffff-no-rj")</f>
        <v>https://yt3.ggpht.com/ytc/AOPolaQIye91stGJIgvG1LHkGzaa3O3KTtbD0mxHYQ=s88-c-k-c0x00ffffff-no-rj</v>
      </c>
      <c r="G370" s="67"/>
      <c r="H370" s="71" t="s">
        <v>1660</v>
      </c>
      <c r="I370" s="72"/>
      <c r="J370" s="72" t="s">
        <v>159</v>
      </c>
      <c r="K370" s="71" t="s">
        <v>1660</v>
      </c>
      <c r="L370" s="75">
        <v>1</v>
      </c>
      <c r="M370" s="76">
        <v>1959.9100341796875</v>
      </c>
      <c r="N370" s="76">
        <v>6392.56640625</v>
      </c>
      <c r="O370" s="77"/>
      <c r="P370" s="78"/>
      <c r="Q370" s="78"/>
      <c r="R370" s="88"/>
      <c r="S370" s="49">
        <v>0</v>
      </c>
      <c r="T370" s="49">
        <v>1</v>
      </c>
      <c r="U370" s="50">
        <v>0</v>
      </c>
      <c r="V370" s="50">
        <v>0.177728</v>
      </c>
      <c r="W370" s="50">
        <v>0.049759</v>
      </c>
      <c r="X370" s="50">
        <v>0.001579</v>
      </c>
      <c r="Y370" s="50">
        <v>0</v>
      </c>
      <c r="Z370" s="50">
        <v>0</v>
      </c>
      <c r="AA370" s="73">
        <v>370</v>
      </c>
      <c r="AB370" s="73"/>
      <c r="AC370" s="74"/>
      <c r="AD370" s="81" t="s">
        <v>1660</v>
      </c>
      <c r="AE370" s="81"/>
      <c r="AF370" s="81"/>
      <c r="AG370" s="81"/>
      <c r="AH370" s="81"/>
      <c r="AI370" s="81" t="s">
        <v>2386</v>
      </c>
      <c r="AJ370" s="85">
        <v>40850.96653935185</v>
      </c>
      <c r="AK370" s="83" t="str">
        <f>HYPERLINK("https://yt3.ggpht.com/ytc/AOPolaQIye91stGJIgvG1LHkGzaa3O3KTtbD0mxHYQ=s88-c-k-c0x00ffffff-no-rj")</f>
        <v>https://yt3.ggpht.com/ytc/AOPolaQIye91stGJIgvG1LHkGzaa3O3KTtbD0mxHYQ=s88-c-k-c0x00ffffff-no-rj</v>
      </c>
      <c r="AL370" s="81">
        <v>28</v>
      </c>
      <c r="AM370" s="81">
        <v>0</v>
      </c>
      <c r="AN370" s="81">
        <v>0</v>
      </c>
      <c r="AO370" s="81" t="b">
        <v>0</v>
      </c>
      <c r="AP370" s="81">
        <v>2</v>
      </c>
      <c r="AQ370" s="81"/>
      <c r="AR370" s="81"/>
      <c r="AS370" s="81" t="s">
        <v>2571</v>
      </c>
      <c r="AT370" s="83" t="str">
        <f>HYPERLINK("https://www.youtube.com/channel/UCYZRVN4zLhqzJpFxsLHaAeQ")</f>
        <v>https://www.youtube.com/channel/UCYZRVN4zLhqzJpFxsLHaAeQ</v>
      </c>
      <c r="AU370" s="81">
        <v>1</v>
      </c>
      <c r="AV370" s="49">
        <v>2</v>
      </c>
      <c r="AW370" s="50">
        <v>15.384615384615385</v>
      </c>
      <c r="AX370" s="49">
        <v>1</v>
      </c>
      <c r="AY370" s="50">
        <v>7.6923076923076925</v>
      </c>
      <c r="AZ370" s="49">
        <v>0</v>
      </c>
      <c r="BA370" s="50">
        <v>0</v>
      </c>
      <c r="BB370" s="49">
        <v>4</v>
      </c>
      <c r="BC370" s="50">
        <v>30.76923076923077</v>
      </c>
      <c r="BD370" s="49">
        <v>13</v>
      </c>
      <c r="BE370" s="49"/>
      <c r="BF370" s="49"/>
      <c r="BG370" s="49"/>
      <c r="BH370" s="49"/>
      <c r="BI370" s="49"/>
      <c r="BJ370" s="49"/>
      <c r="BK370" s="115" t="s">
        <v>2900</v>
      </c>
      <c r="BL370" s="115" t="s">
        <v>2900</v>
      </c>
      <c r="BM370" s="115" t="s">
        <v>3353</v>
      </c>
      <c r="BN370" s="115" t="s">
        <v>3353</v>
      </c>
      <c r="BO370" s="2"/>
      <c r="BP370" s="3"/>
      <c r="BQ370" s="3"/>
      <c r="BR370" s="3"/>
      <c r="BS370" s="3"/>
    </row>
    <row r="371" spans="1:71" ht="15">
      <c r="A371" s="66" t="s">
        <v>588</v>
      </c>
      <c r="B371" s="67"/>
      <c r="C371" s="67"/>
      <c r="D371" s="68">
        <v>150</v>
      </c>
      <c r="E371" s="70"/>
      <c r="F371" s="102" t="str">
        <f>HYPERLINK("https://yt3.ggpht.com/ytc/AOPolaTYq7MKgVuhPP03I7SU21SclJzYBh6uAJdZug=s88-c-k-c0x00ffffff-no-rj")</f>
        <v>https://yt3.ggpht.com/ytc/AOPolaTYq7MKgVuhPP03I7SU21SclJzYBh6uAJdZug=s88-c-k-c0x00ffffff-no-rj</v>
      </c>
      <c r="G371" s="67"/>
      <c r="H371" s="71" t="s">
        <v>1661</v>
      </c>
      <c r="I371" s="72"/>
      <c r="J371" s="72" t="s">
        <v>159</v>
      </c>
      <c r="K371" s="71" t="s">
        <v>1661</v>
      </c>
      <c r="L371" s="75">
        <v>1</v>
      </c>
      <c r="M371" s="76">
        <v>953.9486083984375</v>
      </c>
      <c r="N371" s="76">
        <v>8047.8466796875</v>
      </c>
      <c r="O371" s="77"/>
      <c r="P371" s="78"/>
      <c r="Q371" s="78"/>
      <c r="R371" s="88"/>
      <c r="S371" s="49">
        <v>0</v>
      </c>
      <c r="T371" s="49">
        <v>1</v>
      </c>
      <c r="U371" s="50">
        <v>0</v>
      </c>
      <c r="V371" s="50">
        <v>0.177728</v>
      </c>
      <c r="W371" s="50">
        <v>0.049759</v>
      </c>
      <c r="X371" s="50">
        <v>0.001579</v>
      </c>
      <c r="Y371" s="50">
        <v>0</v>
      </c>
      <c r="Z371" s="50">
        <v>0</v>
      </c>
      <c r="AA371" s="73">
        <v>371</v>
      </c>
      <c r="AB371" s="73"/>
      <c r="AC371" s="74"/>
      <c r="AD371" s="81" t="s">
        <v>1661</v>
      </c>
      <c r="AE371" s="81"/>
      <c r="AF371" s="81"/>
      <c r="AG371" s="81"/>
      <c r="AH371" s="81"/>
      <c r="AI371" s="81" t="s">
        <v>2387</v>
      </c>
      <c r="AJ371" s="85">
        <v>43650.81518518519</v>
      </c>
      <c r="AK371" s="83" t="str">
        <f>HYPERLINK("https://yt3.ggpht.com/ytc/AOPolaTYq7MKgVuhPP03I7SU21SclJzYBh6uAJdZug=s88-c-k-c0x00ffffff-no-rj")</f>
        <v>https://yt3.ggpht.com/ytc/AOPolaTYq7MKgVuhPP03I7SU21SclJzYBh6uAJdZug=s88-c-k-c0x00ffffff-no-rj</v>
      </c>
      <c r="AL371" s="81">
        <v>0</v>
      </c>
      <c r="AM371" s="81">
        <v>0</v>
      </c>
      <c r="AN371" s="81">
        <v>2</v>
      </c>
      <c r="AO371" s="81" t="b">
        <v>0</v>
      </c>
      <c r="AP371" s="81">
        <v>0</v>
      </c>
      <c r="AQ371" s="81"/>
      <c r="AR371" s="81"/>
      <c r="AS371" s="81" t="s">
        <v>2571</v>
      </c>
      <c r="AT371" s="83" t="str">
        <f>HYPERLINK("https://www.youtube.com/channel/UCe_QLscmHat77-Vl19j0Akw")</f>
        <v>https://www.youtube.com/channel/UCe_QLscmHat77-Vl19j0Akw</v>
      </c>
      <c r="AU371" s="81">
        <v>1</v>
      </c>
      <c r="AV371" s="49">
        <v>1</v>
      </c>
      <c r="AW371" s="50">
        <v>14.285714285714286</v>
      </c>
      <c r="AX371" s="49">
        <v>0</v>
      </c>
      <c r="AY371" s="50">
        <v>0</v>
      </c>
      <c r="AZ371" s="49">
        <v>0</v>
      </c>
      <c r="BA371" s="50">
        <v>0</v>
      </c>
      <c r="BB371" s="49">
        <v>4</v>
      </c>
      <c r="BC371" s="50">
        <v>57.142857142857146</v>
      </c>
      <c r="BD371" s="49">
        <v>7</v>
      </c>
      <c r="BE371" s="49"/>
      <c r="BF371" s="49"/>
      <c r="BG371" s="49"/>
      <c r="BH371" s="49"/>
      <c r="BI371" s="49"/>
      <c r="BJ371" s="49"/>
      <c r="BK371" s="115" t="s">
        <v>2901</v>
      </c>
      <c r="BL371" s="115" t="s">
        <v>2901</v>
      </c>
      <c r="BM371" s="115" t="s">
        <v>3354</v>
      </c>
      <c r="BN371" s="115" t="s">
        <v>3354</v>
      </c>
      <c r="BO371" s="2"/>
      <c r="BP371" s="3"/>
      <c r="BQ371" s="3"/>
      <c r="BR371" s="3"/>
      <c r="BS371" s="3"/>
    </row>
    <row r="372" spans="1:71" ht="15">
      <c r="A372" s="66" t="s">
        <v>589</v>
      </c>
      <c r="B372" s="67"/>
      <c r="C372" s="67"/>
      <c r="D372" s="68">
        <v>150</v>
      </c>
      <c r="E372" s="70"/>
      <c r="F372" s="102" t="str">
        <f>HYPERLINK("https://yt3.ggpht.com/ytc/AOPolaTkTL3E6Fyl57u2g7RMgKy6kcvMjzOc-5VnYA=s88-c-k-c0x00ffffff-no-rj")</f>
        <v>https://yt3.ggpht.com/ytc/AOPolaTkTL3E6Fyl57u2g7RMgKy6kcvMjzOc-5VnYA=s88-c-k-c0x00ffffff-no-rj</v>
      </c>
      <c r="G372" s="67"/>
      <c r="H372" s="71" t="s">
        <v>1662</v>
      </c>
      <c r="I372" s="72"/>
      <c r="J372" s="72" t="s">
        <v>159</v>
      </c>
      <c r="K372" s="71" t="s">
        <v>1662</v>
      </c>
      <c r="L372" s="75">
        <v>1</v>
      </c>
      <c r="M372" s="76">
        <v>4705.21826171875</v>
      </c>
      <c r="N372" s="76">
        <v>8785.8505859375</v>
      </c>
      <c r="O372" s="77"/>
      <c r="P372" s="78"/>
      <c r="Q372" s="78"/>
      <c r="R372" s="88"/>
      <c r="S372" s="49">
        <v>0</v>
      </c>
      <c r="T372" s="49">
        <v>1</v>
      </c>
      <c r="U372" s="50">
        <v>0</v>
      </c>
      <c r="V372" s="50">
        <v>0.177728</v>
      </c>
      <c r="W372" s="50">
        <v>0.049759</v>
      </c>
      <c r="X372" s="50">
        <v>0.001579</v>
      </c>
      <c r="Y372" s="50">
        <v>0</v>
      </c>
      <c r="Z372" s="50">
        <v>0</v>
      </c>
      <c r="AA372" s="73">
        <v>372</v>
      </c>
      <c r="AB372" s="73"/>
      <c r="AC372" s="74"/>
      <c r="AD372" s="81" t="s">
        <v>1662</v>
      </c>
      <c r="AE372" s="81"/>
      <c r="AF372" s="81"/>
      <c r="AG372" s="81"/>
      <c r="AH372" s="81"/>
      <c r="AI372" s="81" t="s">
        <v>2388</v>
      </c>
      <c r="AJ372" s="85">
        <v>42176.88804398148</v>
      </c>
      <c r="AK372" s="83" t="str">
        <f>HYPERLINK("https://yt3.ggpht.com/ytc/AOPolaTkTL3E6Fyl57u2g7RMgKy6kcvMjzOc-5VnYA=s88-c-k-c0x00ffffff-no-rj")</f>
        <v>https://yt3.ggpht.com/ytc/AOPolaTkTL3E6Fyl57u2g7RMgKy6kcvMjzOc-5VnYA=s88-c-k-c0x00ffffff-no-rj</v>
      </c>
      <c r="AL372" s="81">
        <v>0</v>
      </c>
      <c r="AM372" s="81">
        <v>0</v>
      </c>
      <c r="AN372" s="81">
        <v>0</v>
      </c>
      <c r="AO372" s="81" t="b">
        <v>0</v>
      </c>
      <c r="AP372" s="81">
        <v>0</v>
      </c>
      <c r="AQ372" s="81"/>
      <c r="AR372" s="81"/>
      <c r="AS372" s="81" t="s">
        <v>2571</v>
      </c>
      <c r="AT372" s="83" t="str">
        <f>HYPERLINK("https://www.youtube.com/channel/UCoTE9F03OIojYFApga5ggQw")</f>
        <v>https://www.youtube.com/channel/UCoTE9F03OIojYFApga5ggQw</v>
      </c>
      <c r="AU372" s="81">
        <v>1</v>
      </c>
      <c r="AV372" s="49">
        <v>2</v>
      </c>
      <c r="AW372" s="50">
        <v>5.2631578947368425</v>
      </c>
      <c r="AX372" s="49">
        <v>0</v>
      </c>
      <c r="AY372" s="50">
        <v>0</v>
      </c>
      <c r="AZ372" s="49">
        <v>0</v>
      </c>
      <c r="BA372" s="50">
        <v>0</v>
      </c>
      <c r="BB372" s="49">
        <v>6</v>
      </c>
      <c r="BC372" s="50">
        <v>15.789473684210526</v>
      </c>
      <c r="BD372" s="49">
        <v>38</v>
      </c>
      <c r="BE372" s="49"/>
      <c r="BF372" s="49"/>
      <c r="BG372" s="49"/>
      <c r="BH372" s="49"/>
      <c r="BI372" s="49"/>
      <c r="BJ372" s="49"/>
      <c r="BK372" s="115" t="s">
        <v>2902</v>
      </c>
      <c r="BL372" s="115" t="s">
        <v>2902</v>
      </c>
      <c r="BM372" s="115" t="s">
        <v>3355</v>
      </c>
      <c r="BN372" s="115" t="s">
        <v>3355</v>
      </c>
      <c r="BO372" s="2"/>
      <c r="BP372" s="3"/>
      <c r="BQ372" s="3"/>
      <c r="BR372" s="3"/>
      <c r="BS372" s="3"/>
    </row>
    <row r="373" spans="1:71" ht="15">
      <c r="A373" s="66" t="s">
        <v>590</v>
      </c>
      <c r="B373" s="67"/>
      <c r="C373" s="67"/>
      <c r="D373" s="68">
        <v>150</v>
      </c>
      <c r="E373" s="70"/>
      <c r="F373" s="102" t="str">
        <f>HYPERLINK("https://yt3.ggpht.com/ytc/AOPolaRJKJq1PI5y_W9LOy2pmxN_E6IvfkBvphWw1A=s88-c-k-c0x00ffffff-no-rj")</f>
        <v>https://yt3.ggpht.com/ytc/AOPolaRJKJq1PI5y_W9LOy2pmxN_E6IvfkBvphWw1A=s88-c-k-c0x00ffffff-no-rj</v>
      </c>
      <c r="G373" s="67"/>
      <c r="H373" s="71" t="s">
        <v>1663</v>
      </c>
      <c r="I373" s="72"/>
      <c r="J373" s="72" t="s">
        <v>159</v>
      </c>
      <c r="K373" s="71" t="s">
        <v>1663</v>
      </c>
      <c r="L373" s="75">
        <v>1</v>
      </c>
      <c r="M373" s="76">
        <v>496.9682922363281</v>
      </c>
      <c r="N373" s="76">
        <v>7250.16015625</v>
      </c>
      <c r="O373" s="77"/>
      <c r="P373" s="78"/>
      <c r="Q373" s="78"/>
      <c r="R373" s="88"/>
      <c r="S373" s="49">
        <v>0</v>
      </c>
      <c r="T373" s="49">
        <v>1</v>
      </c>
      <c r="U373" s="50">
        <v>0</v>
      </c>
      <c r="V373" s="50">
        <v>0.177728</v>
      </c>
      <c r="W373" s="50">
        <v>0.049759</v>
      </c>
      <c r="X373" s="50">
        <v>0.001579</v>
      </c>
      <c r="Y373" s="50">
        <v>0</v>
      </c>
      <c r="Z373" s="50">
        <v>0</v>
      </c>
      <c r="AA373" s="73">
        <v>373</v>
      </c>
      <c r="AB373" s="73"/>
      <c r="AC373" s="74"/>
      <c r="AD373" s="81" t="s">
        <v>1663</v>
      </c>
      <c r="AE373" s="81"/>
      <c r="AF373" s="81"/>
      <c r="AG373" s="81"/>
      <c r="AH373" s="81"/>
      <c r="AI373" s="81" t="s">
        <v>2389</v>
      </c>
      <c r="AJ373" s="85">
        <v>39664.57082175926</v>
      </c>
      <c r="AK373" s="83" t="str">
        <f>HYPERLINK("https://yt3.ggpht.com/ytc/AOPolaRJKJq1PI5y_W9LOy2pmxN_E6IvfkBvphWw1A=s88-c-k-c0x00ffffff-no-rj")</f>
        <v>https://yt3.ggpht.com/ytc/AOPolaRJKJq1PI5y_W9LOy2pmxN_E6IvfkBvphWw1A=s88-c-k-c0x00ffffff-no-rj</v>
      </c>
      <c r="AL373" s="81">
        <v>0</v>
      </c>
      <c r="AM373" s="81">
        <v>0</v>
      </c>
      <c r="AN373" s="81">
        <v>0</v>
      </c>
      <c r="AO373" s="81" t="b">
        <v>0</v>
      </c>
      <c r="AP373" s="81">
        <v>0</v>
      </c>
      <c r="AQ373" s="81"/>
      <c r="AR373" s="81"/>
      <c r="AS373" s="81" t="s">
        <v>2571</v>
      </c>
      <c r="AT373" s="83" t="str">
        <f>HYPERLINK("https://www.youtube.com/channel/UCeQplv21MqmvpEZq9Mv-E9g")</f>
        <v>https://www.youtube.com/channel/UCeQplv21MqmvpEZq9Mv-E9g</v>
      </c>
      <c r="AU373" s="81">
        <v>1</v>
      </c>
      <c r="AV373" s="49">
        <v>2</v>
      </c>
      <c r="AW373" s="50">
        <v>4.3478260869565215</v>
      </c>
      <c r="AX373" s="49">
        <v>2</v>
      </c>
      <c r="AY373" s="50">
        <v>4.3478260869565215</v>
      </c>
      <c r="AZ373" s="49">
        <v>0</v>
      </c>
      <c r="BA373" s="50">
        <v>0</v>
      </c>
      <c r="BB373" s="49">
        <v>13</v>
      </c>
      <c r="BC373" s="50">
        <v>28.26086956521739</v>
      </c>
      <c r="BD373" s="49">
        <v>46</v>
      </c>
      <c r="BE373" s="49"/>
      <c r="BF373" s="49"/>
      <c r="BG373" s="49"/>
      <c r="BH373" s="49"/>
      <c r="BI373" s="49"/>
      <c r="BJ373" s="49"/>
      <c r="BK373" s="115" t="s">
        <v>2903</v>
      </c>
      <c r="BL373" s="115" t="s">
        <v>2903</v>
      </c>
      <c r="BM373" s="115" t="s">
        <v>3356</v>
      </c>
      <c r="BN373" s="115" t="s">
        <v>3356</v>
      </c>
      <c r="BO373" s="2"/>
      <c r="BP373" s="3"/>
      <c r="BQ373" s="3"/>
      <c r="BR373" s="3"/>
      <c r="BS373" s="3"/>
    </row>
    <row r="374" spans="1:71" ht="15">
      <c r="A374" s="66" t="s">
        <v>591</v>
      </c>
      <c r="B374" s="67"/>
      <c r="C374" s="67"/>
      <c r="D374" s="68">
        <v>150</v>
      </c>
      <c r="E374" s="70"/>
      <c r="F374" s="102" t="str">
        <f>HYPERLINK("https://yt3.ggpht.com/ytc/AOPolaSBHhF7K-gbCMRz2r8D9Y-FIOgF5MkCn1Qe5g=s88-c-k-c0x00ffffff-no-rj")</f>
        <v>https://yt3.ggpht.com/ytc/AOPolaSBHhF7K-gbCMRz2r8D9Y-FIOgF5MkCn1Qe5g=s88-c-k-c0x00ffffff-no-rj</v>
      </c>
      <c r="G374" s="67"/>
      <c r="H374" s="71" t="s">
        <v>1664</v>
      </c>
      <c r="I374" s="72"/>
      <c r="J374" s="72" t="s">
        <v>159</v>
      </c>
      <c r="K374" s="71" t="s">
        <v>1664</v>
      </c>
      <c r="L374" s="75">
        <v>1</v>
      </c>
      <c r="M374" s="76">
        <v>4209.7802734375</v>
      </c>
      <c r="N374" s="76">
        <v>4597.1923828125</v>
      </c>
      <c r="O374" s="77"/>
      <c r="P374" s="78"/>
      <c r="Q374" s="78"/>
      <c r="R374" s="88"/>
      <c r="S374" s="49">
        <v>0</v>
      </c>
      <c r="T374" s="49">
        <v>1</v>
      </c>
      <c r="U374" s="50">
        <v>0</v>
      </c>
      <c r="V374" s="50">
        <v>0.177728</v>
      </c>
      <c r="W374" s="50">
        <v>0.049759</v>
      </c>
      <c r="X374" s="50">
        <v>0.001579</v>
      </c>
      <c r="Y374" s="50">
        <v>0</v>
      </c>
      <c r="Z374" s="50">
        <v>0</v>
      </c>
      <c r="AA374" s="73">
        <v>374</v>
      </c>
      <c r="AB374" s="73"/>
      <c r="AC374" s="74"/>
      <c r="AD374" s="81" t="s">
        <v>1664</v>
      </c>
      <c r="AE374" s="81"/>
      <c r="AF374" s="81"/>
      <c r="AG374" s="81"/>
      <c r="AH374" s="81"/>
      <c r="AI374" s="81" t="s">
        <v>2390</v>
      </c>
      <c r="AJ374" s="85">
        <v>44131.38260416667</v>
      </c>
      <c r="AK374" s="83" t="str">
        <f>HYPERLINK("https://yt3.ggpht.com/ytc/AOPolaSBHhF7K-gbCMRz2r8D9Y-FIOgF5MkCn1Qe5g=s88-c-k-c0x00ffffff-no-rj")</f>
        <v>https://yt3.ggpht.com/ytc/AOPolaSBHhF7K-gbCMRz2r8D9Y-FIOgF5MkCn1Qe5g=s88-c-k-c0x00ffffff-no-rj</v>
      </c>
      <c r="AL374" s="81">
        <v>0</v>
      </c>
      <c r="AM374" s="81">
        <v>0</v>
      </c>
      <c r="AN374" s="81">
        <v>1</v>
      </c>
      <c r="AO374" s="81" t="b">
        <v>0</v>
      </c>
      <c r="AP374" s="81">
        <v>0</v>
      </c>
      <c r="AQ374" s="81"/>
      <c r="AR374" s="81"/>
      <c r="AS374" s="81" t="s">
        <v>2571</v>
      </c>
      <c r="AT374" s="83" t="str">
        <f>HYPERLINK("https://www.youtube.com/channel/UCgZrbsNIexeGSyRmhwvBARg")</f>
        <v>https://www.youtube.com/channel/UCgZrbsNIexeGSyRmhwvBARg</v>
      </c>
      <c r="AU374" s="81">
        <v>1</v>
      </c>
      <c r="AV374" s="49">
        <v>1</v>
      </c>
      <c r="AW374" s="50">
        <v>7.142857142857143</v>
      </c>
      <c r="AX374" s="49">
        <v>2</v>
      </c>
      <c r="AY374" s="50">
        <v>14.285714285714286</v>
      </c>
      <c r="AZ374" s="49">
        <v>0</v>
      </c>
      <c r="BA374" s="50">
        <v>0</v>
      </c>
      <c r="BB374" s="49">
        <v>7</v>
      </c>
      <c r="BC374" s="50">
        <v>50</v>
      </c>
      <c r="BD374" s="49">
        <v>14</v>
      </c>
      <c r="BE374" s="49"/>
      <c r="BF374" s="49"/>
      <c r="BG374" s="49"/>
      <c r="BH374" s="49"/>
      <c r="BI374" s="49"/>
      <c r="BJ374" s="49"/>
      <c r="BK374" s="115" t="s">
        <v>2904</v>
      </c>
      <c r="BL374" s="115" t="s">
        <v>2904</v>
      </c>
      <c r="BM374" s="115" t="s">
        <v>3357</v>
      </c>
      <c r="BN374" s="115" t="s">
        <v>3357</v>
      </c>
      <c r="BO374" s="2"/>
      <c r="BP374" s="3"/>
      <c r="BQ374" s="3"/>
      <c r="BR374" s="3"/>
      <c r="BS374" s="3"/>
    </row>
    <row r="375" spans="1:71" ht="15">
      <c r="A375" s="66" t="s">
        <v>592</v>
      </c>
      <c r="B375" s="67"/>
      <c r="C375" s="67"/>
      <c r="D375" s="68">
        <v>150</v>
      </c>
      <c r="E375" s="70"/>
      <c r="F375" s="102" t="str">
        <f>HYPERLINK("https://yt3.ggpht.com/ytc/AOPolaRdHorQZIStJEhz7izfvaaD2PMNqkSbmDkxwA=s88-c-k-c0x00ffffff-no-rj")</f>
        <v>https://yt3.ggpht.com/ytc/AOPolaRdHorQZIStJEhz7izfvaaD2PMNqkSbmDkxwA=s88-c-k-c0x00ffffff-no-rj</v>
      </c>
      <c r="G375" s="67"/>
      <c r="H375" s="71" t="s">
        <v>1665</v>
      </c>
      <c r="I375" s="72"/>
      <c r="J375" s="72" t="s">
        <v>159</v>
      </c>
      <c r="K375" s="71" t="s">
        <v>1665</v>
      </c>
      <c r="L375" s="75">
        <v>1</v>
      </c>
      <c r="M375" s="76">
        <v>1897.7862548828125</v>
      </c>
      <c r="N375" s="76">
        <v>5191.15087890625</v>
      </c>
      <c r="O375" s="77"/>
      <c r="P375" s="78"/>
      <c r="Q375" s="78"/>
      <c r="R375" s="88"/>
      <c r="S375" s="49">
        <v>0</v>
      </c>
      <c r="T375" s="49">
        <v>1</v>
      </c>
      <c r="U375" s="50">
        <v>0</v>
      </c>
      <c r="V375" s="50">
        <v>0.177728</v>
      </c>
      <c r="W375" s="50">
        <v>0.049759</v>
      </c>
      <c r="X375" s="50">
        <v>0.001579</v>
      </c>
      <c r="Y375" s="50">
        <v>0</v>
      </c>
      <c r="Z375" s="50">
        <v>0</v>
      </c>
      <c r="AA375" s="73">
        <v>375</v>
      </c>
      <c r="AB375" s="73"/>
      <c r="AC375" s="74"/>
      <c r="AD375" s="81" t="s">
        <v>1665</v>
      </c>
      <c r="AE375" s="81"/>
      <c r="AF375" s="81"/>
      <c r="AG375" s="81"/>
      <c r="AH375" s="81"/>
      <c r="AI375" s="81" t="s">
        <v>2391</v>
      </c>
      <c r="AJ375" s="85">
        <v>44293.90665509259</v>
      </c>
      <c r="AK375" s="83" t="str">
        <f>HYPERLINK("https://yt3.ggpht.com/ytc/AOPolaRdHorQZIStJEhz7izfvaaD2PMNqkSbmDkxwA=s88-c-k-c0x00ffffff-no-rj")</f>
        <v>https://yt3.ggpht.com/ytc/AOPolaRdHorQZIStJEhz7izfvaaD2PMNqkSbmDkxwA=s88-c-k-c0x00ffffff-no-rj</v>
      </c>
      <c r="AL375" s="81">
        <v>0</v>
      </c>
      <c r="AM375" s="81">
        <v>0</v>
      </c>
      <c r="AN375" s="81">
        <v>0</v>
      </c>
      <c r="AO375" s="81" t="b">
        <v>0</v>
      </c>
      <c r="AP375" s="81">
        <v>0</v>
      </c>
      <c r="AQ375" s="81"/>
      <c r="AR375" s="81"/>
      <c r="AS375" s="81" t="s">
        <v>2571</v>
      </c>
      <c r="AT375" s="83" t="str">
        <f>HYPERLINK("https://www.youtube.com/channel/UCwSSNToeVx1_ac4jBlPTWwQ")</f>
        <v>https://www.youtube.com/channel/UCwSSNToeVx1_ac4jBlPTWwQ</v>
      </c>
      <c r="AU375" s="81">
        <v>1</v>
      </c>
      <c r="AV375" s="49">
        <v>0</v>
      </c>
      <c r="AW375" s="50">
        <v>0</v>
      </c>
      <c r="AX375" s="49">
        <v>0</v>
      </c>
      <c r="AY375" s="50">
        <v>0</v>
      </c>
      <c r="AZ375" s="49">
        <v>0</v>
      </c>
      <c r="BA375" s="50">
        <v>0</v>
      </c>
      <c r="BB375" s="49">
        <v>11</v>
      </c>
      <c r="BC375" s="50">
        <v>84.61538461538461</v>
      </c>
      <c r="BD375" s="49">
        <v>13</v>
      </c>
      <c r="BE375" s="49"/>
      <c r="BF375" s="49"/>
      <c r="BG375" s="49"/>
      <c r="BH375" s="49"/>
      <c r="BI375" s="49"/>
      <c r="BJ375" s="49"/>
      <c r="BK375" s="115" t="s">
        <v>2905</v>
      </c>
      <c r="BL375" s="115" t="s">
        <v>2905</v>
      </c>
      <c r="BM375" s="115" t="s">
        <v>3358</v>
      </c>
      <c r="BN375" s="115" t="s">
        <v>3358</v>
      </c>
      <c r="BO375" s="2"/>
      <c r="BP375" s="3"/>
      <c r="BQ375" s="3"/>
      <c r="BR375" s="3"/>
      <c r="BS375" s="3"/>
    </row>
    <row r="376" spans="1:71" ht="15">
      <c r="A376" s="66" t="s">
        <v>593</v>
      </c>
      <c r="B376" s="67"/>
      <c r="C376" s="67"/>
      <c r="D376" s="68">
        <v>150</v>
      </c>
      <c r="E376" s="70"/>
      <c r="F376" s="102" t="str">
        <f>HYPERLINK("https://yt3.ggpht.com/ytc/AOPolaSLKwL2JzatNVaL0medkqY8P-NgZlhX0XbvyimqKgux5134cx9JcKGF0Bt0409s=s88-c-k-c0x00ffffff-no-rj")</f>
        <v>https://yt3.ggpht.com/ytc/AOPolaSLKwL2JzatNVaL0medkqY8P-NgZlhX0XbvyimqKgux5134cx9JcKGF0Bt0409s=s88-c-k-c0x00ffffff-no-rj</v>
      </c>
      <c r="G376" s="67"/>
      <c r="H376" s="71" t="s">
        <v>1666</v>
      </c>
      <c r="I376" s="72"/>
      <c r="J376" s="72" t="s">
        <v>159</v>
      </c>
      <c r="K376" s="71" t="s">
        <v>1666</v>
      </c>
      <c r="L376" s="75">
        <v>1</v>
      </c>
      <c r="M376" s="76">
        <v>1999.9078369140625</v>
      </c>
      <c r="N376" s="76">
        <v>4878.3828125</v>
      </c>
      <c r="O376" s="77"/>
      <c r="P376" s="78"/>
      <c r="Q376" s="78"/>
      <c r="R376" s="88"/>
      <c r="S376" s="49">
        <v>0</v>
      </c>
      <c r="T376" s="49">
        <v>1</v>
      </c>
      <c r="U376" s="50">
        <v>0</v>
      </c>
      <c r="V376" s="50">
        <v>0.177728</v>
      </c>
      <c r="W376" s="50">
        <v>0.049759</v>
      </c>
      <c r="X376" s="50">
        <v>0.001579</v>
      </c>
      <c r="Y376" s="50">
        <v>0</v>
      </c>
      <c r="Z376" s="50">
        <v>0</v>
      </c>
      <c r="AA376" s="73">
        <v>376</v>
      </c>
      <c r="AB376" s="73"/>
      <c r="AC376" s="74"/>
      <c r="AD376" s="81" t="s">
        <v>1666</v>
      </c>
      <c r="AE376" s="81"/>
      <c r="AF376" s="81"/>
      <c r="AG376" s="81"/>
      <c r="AH376" s="81"/>
      <c r="AI376" s="81" t="s">
        <v>2392</v>
      </c>
      <c r="AJ376" s="85">
        <v>44701.987905092596</v>
      </c>
      <c r="AK376" s="83" t="str">
        <f>HYPERLINK("https://yt3.ggpht.com/ytc/AOPolaSLKwL2JzatNVaL0medkqY8P-NgZlhX0XbvyimqKgux5134cx9JcKGF0Bt0409s=s88-c-k-c0x00ffffff-no-rj")</f>
        <v>https://yt3.ggpht.com/ytc/AOPolaSLKwL2JzatNVaL0medkqY8P-NgZlhX0XbvyimqKgux5134cx9JcKGF0Bt0409s=s88-c-k-c0x00ffffff-no-rj</v>
      </c>
      <c r="AL376" s="81">
        <v>0</v>
      </c>
      <c r="AM376" s="81">
        <v>0</v>
      </c>
      <c r="AN376" s="81">
        <v>1</v>
      </c>
      <c r="AO376" s="81" t="b">
        <v>0</v>
      </c>
      <c r="AP376" s="81">
        <v>0</v>
      </c>
      <c r="AQ376" s="81"/>
      <c r="AR376" s="81"/>
      <c r="AS376" s="81" t="s">
        <v>2571</v>
      </c>
      <c r="AT376" s="83" t="str">
        <f>HYPERLINK("https://www.youtube.com/channel/UCgTh333t5yJRofx8hP9QR3A")</f>
        <v>https://www.youtube.com/channel/UCgTh333t5yJRofx8hP9QR3A</v>
      </c>
      <c r="AU376" s="81">
        <v>1</v>
      </c>
      <c r="AV376" s="49">
        <v>7</v>
      </c>
      <c r="AW376" s="50">
        <v>19.444444444444443</v>
      </c>
      <c r="AX376" s="49">
        <v>0</v>
      </c>
      <c r="AY376" s="50">
        <v>0</v>
      </c>
      <c r="AZ376" s="49">
        <v>0</v>
      </c>
      <c r="BA376" s="50">
        <v>0</v>
      </c>
      <c r="BB376" s="49">
        <v>12</v>
      </c>
      <c r="BC376" s="50">
        <v>33.333333333333336</v>
      </c>
      <c r="BD376" s="49">
        <v>36</v>
      </c>
      <c r="BE376" s="49"/>
      <c r="BF376" s="49"/>
      <c r="BG376" s="49"/>
      <c r="BH376" s="49"/>
      <c r="BI376" s="49"/>
      <c r="BJ376" s="49"/>
      <c r="BK376" s="115" t="s">
        <v>2906</v>
      </c>
      <c r="BL376" s="115" t="s">
        <v>2906</v>
      </c>
      <c r="BM376" s="115" t="s">
        <v>3359</v>
      </c>
      <c r="BN376" s="115" t="s">
        <v>3359</v>
      </c>
      <c r="BO376" s="2"/>
      <c r="BP376" s="3"/>
      <c r="BQ376" s="3"/>
      <c r="BR376" s="3"/>
      <c r="BS376" s="3"/>
    </row>
    <row r="377" spans="1:71" ht="15">
      <c r="A377" s="66" t="s">
        <v>594</v>
      </c>
      <c r="B377" s="67"/>
      <c r="C377" s="67"/>
      <c r="D377" s="68">
        <v>150</v>
      </c>
      <c r="E377" s="70"/>
      <c r="F377" s="102" t="str">
        <f>HYPERLINK("https://yt3.ggpht.com/ytc/AOPolaQ2Nh1lJ3pArc8E9Q1tIxqpPi6Yq5hdvJ_GcA=s88-c-k-c0x00ffffff-no-rj")</f>
        <v>https://yt3.ggpht.com/ytc/AOPolaQ2Nh1lJ3pArc8E9Q1tIxqpPi6Yq5hdvJ_GcA=s88-c-k-c0x00ffffff-no-rj</v>
      </c>
      <c r="G377" s="67"/>
      <c r="H377" s="71" t="s">
        <v>1667</v>
      </c>
      <c r="I377" s="72"/>
      <c r="J377" s="72" t="s">
        <v>159</v>
      </c>
      <c r="K377" s="71" t="s">
        <v>1667</v>
      </c>
      <c r="L377" s="75">
        <v>1</v>
      </c>
      <c r="M377" s="76">
        <v>504.9424743652344</v>
      </c>
      <c r="N377" s="76">
        <v>8053.83203125</v>
      </c>
      <c r="O377" s="77"/>
      <c r="P377" s="78"/>
      <c r="Q377" s="78"/>
      <c r="R377" s="88"/>
      <c r="S377" s="49">
        <v>0</v>
      </c>
      <c r="T377" s="49">
        <v>1</v>
      </c>
      <c r="U377" s="50">
        <v>0</v>
      </c>
      <c r="V377" s="50">
        <v>0.177728</v>
      </c>
      <c r="W377" s="50">
        <v>0.049759</v>
      </c>
      <c r="X377" s="50">
        <v>0.001579</v>
      </c>
      <c r="Y377" s="50">
        <v>0</v>
      </c>
      <c r="Z377" s="50">
        <v>0</v>
      </c>
      <c r="AA377" s="73">
        <v>377</v>
      </c>
      <c r="AB377" s="73"/>
      <c r="AC377" s="74"/>
      <c r="AD377" s="81" t="s">
        <v>1667</v>
      </c>
      <c r="AE377" s="81"/>
      <c r="AF377" s="81"/>
      <c r="AG377" s="81"/>
      <c r="AH377" s="81"/>
      <c r="AI377" s="81" t="s">
        <v>2393</v>
      </c>
      <c r="AJ377" s="85">
        <v>43613.038310185184</v>
      </c>
      <c r="AK377" s="83" t="str">
        <f>HYPERLINK("https://yt3.ggpht.com/ytc/AOPolaQ2Nh1lJ3pArc8E9Q1tIxqpPi6Yq5hdvJ_GcA=s88-c-k-c0x00ffffff-no-rj")</f>
        <v>https://yt3.ggpht.com/ytc/AOPolaQ2Nh1lJ3pArc8E9Q1tIxqpPi6Yq5hdvJ_GcA=s88-c-k-c0x00ffffff-no-rj</v>
      </c>
      <c r="AL377" s="81">
        <v>0</v>
      </c>
      <c r="AM377" s="81">
        <v>0</v>
      </c>
      <c r="AN377" s="81">
        <v>0</v>
      </c>
      <c r="AO377" s="81" t="b">
        <v>0</v>
      </c>
      <c r="AP377" s="81">
        <v>0</v>
      </c>
      <c r="AQ377" s="81"/>
      <c r="AR377" s="81"/>
      <c r="AS377" s="81" t="s">
        <v>2571</v>
      </c>
      <c r="AT377" s="83" t="str">
        <f>HYPERLINK("https://www.youtube.com/channel/UCrqwO1yeDZDpEqizQl9r2cg")</f>
        <v>https://www.youtube.com/channel/UCrqwO1yeDZDpEqizQl9r2cg</v>
      </c>
      <c r="AU377" s="81">
        <v>1</v>
      </c>
      <c r="AV377" s="49">
        <v>6</v>
      </c>
      <c r="AW377" s="50">
        <v>11.538461538461538</v>
      </c>
      <c r="AX377" s="49">
        <v>1</v>
      </c>
      <c r="AY377" s="50">
        <v>1.9230769230769231</v>
      </c>
      <c r="AZ377" s="49">
        <v>0</v>
      </c>
      <c r="BA377" s="50">
        <v>0</v>
      </c>
      <c r="BB377" s="49">
        <v>15</v>
      </c>
      <c r="BC377" s="50">
        <v>28.846153846153847</v>
      </c>
      <c r="BD377" s="49">
        <v>52</v>
      </c>
      <c r="BE377" s="49"/>
      <c r="BF377" s="49"/>
      <c r="BG377" s="49"/>
      <c r="BH377" s="49"/>
      <c r="BI377" s="49"/>
      <c r="BJ377" s="49"/>
      <c r="BK377" s="115" t="s">
        <v>2907</v>
      </c>
      <c r="BL377" s="115" t="s">
        <v>2907</v>
      </c>
      <c r="BM377" s="115" t="s">
        <v>3360</v>
      </c>
      <c r="BN377" s="115" t="s">
        <v>3360</v>
      </c>
      <c r="BO377" s="2"/>
      <c r="BP377" s="3"/>
      <c r="BQ377" s="3"/>
      <c r="BR377" s="3"/>
      <c r="BS377" s="3"/>
    </row>
    <row r="378" spans="1:71" ht="15">
      <c r="A378" s="66" t="s">
        <v>595</v>
      </c>
      <c r="B378" s="67"/>
      <c r="C378" s="67"/>
      <c r="D378" s="68">
        <v>150</v>
      </c>
      <c r="E378" s="70"/>
      <c r="F378" s="102" t="str">
        <f>HYPERLINK("https://yt3.ggpht.com/ytc/AOPolaQ9adzUguOKz-jRd_CB63pS2NHtiE6MVAuqZw=s88-c-k-c0x00ffffff-no-rj")</f>
        <v>https://yt3.ggpht.com/ytc/AOPolaQ9adzUguOKz-jRd_CB63pS2NHtiE6MVAuqZw=s88-c-k-c0x00ffffff-no-rj</v>
      </c>
      <c r="G378" s="67"/>
      <c r="H378" s="71" t="s">
        <v>1668</v>
      </c>
      <c r="I378" s="72"/>
      <c r="J378" s="72" t="s">
        <v>159</v>
      </c>
      <c r="K378" s="71" t="s">
        <v>1668</v>
      </c>
      <c r="L378" s="75">
        <v>1</v>
      </c>
      <c r="M378" s="76">
        <v>3881.095947265625</v>
      </c>
      <c r="N378" s="76">
        <v>9710.5849609375</v>
      </c>
      <c r="O378" s="77"/>
      <c r="P378" s="78"/>
      <c r="Q378" s="78"/>
      <c r="R378" s="88"/>
      <c r="S378" s="49">
        <v>0</v>
      </c>
      <c r="T378" s="49">
        <v>1</v>
      </c>
      <c r="U378" s="50">
        <v>0</v>
      </c>
      <c r="V378" s="50">
        <v>0.177728</v>
      </c>
      <c r="W378" s="50">
        <v>0.049759</v>
      </c>
      <c r="X378" s="50">
        <v>0.001579</v>
      </c>
      <c r="Y378" s="50">
        <v>0</v>
      </c>
      <c r="Z378" s="50">
        <v>0</v>
      </c>
      <c r="AA378" s="73">
        <v>378</v>
      </c>
      <c r="AB378" s="73"/>
      <c r="AC378" s="74"/>
      <c r="AD378" s="81" t="s">
        <v>1668</v>
      </c>
      <c r="AE378" s="81"/>
      <c r="AF378" s="81"/>
      <c r="AG378" s="81"/>
      <c r="AH378" s="81"/>
      <c r="AI378" s="81" t="s">
        <v>2394</v>
      </c>
      <c r="AJ378" s="85">
        <v>40254.245787037034</v>
      </c>
      <c r="AK378" s="83" t="str">
        <f>HYPERLINK("https://yt3.ggpht.com/ytc/AOPolaQ9adzUguOKz-jRd_CB63pS2NHtiE6MVAuqZw=s88-c-k-c0x00ffffff-no-rj")</f>
        <v>https://yt3.ggpht.com/ytc/AOPolaQ9adzUguOKz-jRd_CB63pS2NHtiE6MVAuqZw=s88-c-k-c0x00ffffff-no-rj</v>
      </c>
      <c r="AL378" s="81">
        <v>942</v>
      </c>
      <c r="AM378" s="81">
        <v>0</v>
      </c>
      <c r="AN378" s="81">
        <v>25</v>
      </c>
      <c r="AO378" s="81" t="b">
        <v>0</v>
      </c>
      <c r="AP378" s="81">
        <v>1</v>
      </c>
      <c r="AQ378" s="81"/>
      <c r="AR378" s="81"/>
      <c r="AS378" s="81" t="s">
        <v>2571</v>
      </c>
      <c r="AT378" s="83" t="str">
        <f>HYPERLINK("https://www.youtube.com/channel/UCUBRxdxwjr5pYLZN_PaiMww")</f>
        <v>https://www.youtube.com/channel/UCUBRxdxwjr5pYLZN_PaiMww</v>
      </c>
      <c r="AU378" s="81">
        <v>1</v>
      </c>
      <c r="AV378" s="49">
        <v>1</v>
      </c>
      <c r="AW378" s="50">
        <v>3.3333333333333335</v>
      </c>
      <c r="AX378" s="49">
        <v>1</v>
      </c>
      <c r="AY378" s="50">
        <v>3.3333333333333335</v>
      </c>
      <c r="AZ378" s="49">
        <v>0</v>
      </c>
      <c r="BA378" s="50">
        <v>0</v>
      </c>
      <c r="BB378" s="49">
        <v>7</v>
      </c>
      <c r="BC378" s="50">
        <v>23.333333333333332</v>
      </c>
      <c r="BD378" s="49">
        <v>30</v>
      </c>
      <c r="BE378" s="49"/>
      <c r="BF378" s="49"/>
      <c r="BG378" s="49"/>
      <c r="BH378" s="49"/>
      <c r="BI378" s="49"/>
      <c r="BJ378" s="49"/>
      <c r="BK378" s="115" t="s">
        <v>2908</v>
      </c>
      <c r="BL378" s="115" t="s">
        <v>2908</v>
      </c>
      <c r="BM378" s="115" t="s">
        <v>3361</v>
      </c>
      <c r="BN378" s="115" t="s">
        <v>3361</v>
      </c>
      <c r="BO378" s="2"/>
      <c r="BP378" s="3"/>
      <c r="BQ378" s="3"/>
      <c r="BR378" s="3"/>
      <c r="BS378" s="3"/>
    </row>
    <row r="379" spans="1:71" ht="15">
      <c r="A379" s="66" t="s">
        <v>596</v>
      </c>
      <c r="B379" s="67"/>
      <c r="C379" s="67"/>
      <c r="D379" s="68">
        <v>150</v>
      </c>
      <c r="E379" s="70"/>
      <c r="F379" s="102" t="str">
        <f>HYPERLINK("https://yt3.ggpht.com/MgdAbjp1le1xeqtMcE6gXBImY9G1-zlgBGn8UsoVmvX2oBg04aepqsZ9Upo7pPU0LafUI7hfWw=s88-c-k-c0x00ffffff-no-rj")</f>
        <v>https://yt3.ggpht.com/MgdAbjp1le1xeqtMcE6gXBImY9G1-zlgBGn8UsoVmvX2oBg04aepqsZ9Upo7pPU0LafUI7hfWw=s88-c-k-c0x00ffffff-no-rj</v>
      </c>
      <c r="G379" s="67"/>
      <c r="H379" s="71" t="s">
        <v>1669</v>
      </c>
      <c r="I379" s="72"/>
      <c r="J379" s="72" t="s">
        <v>159</v>
      </c>
      <c r="K379" s="71" t="s">
        <v>1669</v>
      </c>
      <c r="L379" s="75">
        <v>1</v>
      </c>
      <c r="M379" s="76">
        <v>4431.3798828125</v>
      </c>
      <c r="N379" s="76">
        <v>8094.85595703125</v>
      </c>
      <c r="O379" s="77"/>
      <c r="P379" s="78"/>
      <c r="Q379" s="78"/>
      <c r="R379" s="88"/>
      <c r="S379" s="49">
        <v>0</v>
      </c>
      <c r="T379" s="49">
        <v>1</v>
      </c>
      <c r="U379" s="50">
        <v>0</v>
      </c>
      <c r="V379" s="50">
        <v>0.177728</v>
      </c>
      <c r="W379" s="50">
        <v>0.049759</v>
      </c>
      <c r="X379" s="50">
        <v>0.001579</v>
      </c>
      <c r="Y379" s="50">
        <v>0</v>
      </c>
      <c r="Z379" s="50">
        <v>0</v>
      </c>
      <c r="AA379" s="73">
        <v>379</v>
      </c>
      <c r="AB379" s="73"/>
      <c r="AC379" s="74"/>
      <c r="AD379" s="81" t="s">
        <v>1669</v>
      </c>
      <c r="AE379" s="81" t="s">
        <v>1983</v>
      </c>
      <c r="AF379" s="81"/>
      <c r="AG379" s="81"/>
      <c r="AH379" s="81"/>
      <c r="AI379" s="81" t="s">
        <v>2395</v>
      </c>
      <c r="AJ379" s="85">
        <v>40987.94189814815</v>
      </c>
      <c r="AK379" s="83" t="str">
        <f>HYPERLINK("https://yt3.ggpht.com/MgdAbjp1le1xeqtMcE6gXBImY9G1-zlgBGn8UsoVmvX2oBg04aepqsZ9Upo7pPU0LafUI7hfWw=s88-c-k-c0x00ffffff-no-rj")</f>
        <v>https://yt3.ggpht.com/MgdAbjp1le1xeqtMcE6gXBImY9G1-zlgBGn8UsoVmvX2oBg04aepqsZ9Upo7pPU0LafUI7hfWw=s88-c-k-c0x00ffffff-no-rj</v>
      </c>
      <c r="AL379" s="81">
        <v>6114</v>
      </c>
      <c r="AM379" s="81">
        <v>0</v>
      </c>
      <c r="AN379" s="81">
        <v>13</v>
      </c>
      <c r="AO379" s="81" t="b">
        <v>0</v>
      </c>
      <c r="AP379" s="81">
        <v>159</v>
      </c>
      <c r="AQ379" s="81"/>
      <c r="AR379" s="81"/>
      <c r="AS379" s="81" t="s">
        <v>2571</v>
      </c>
      <c r="AT379" s="83" t="str">
        <f>HYPERLINK("https://www.youtube.com/channel/UC2t9eb-bNhX1LaHNYLOsoIQ")</f>
        <v>https://www.youtube.com/channel/UC2t9eb-bNhX1LaHNYLOsoIQ</v>
      </c>
      <c r="AU379" s="81">
        <v>1</v>
      </c>
      <c r="AV379" s="49">
        <v>1</v>
      </c>
      <c r="AW379" s="50">
        <v>3.7037037037037037</v>
      </c>
      <c r="AX379" s="49">
        <v>1</v>
      </c>
      <c r="AY379" s="50">
        <v>3.7037037037037037</v>
      </c>
      <c r="AZ379" s="49">
        <v>0</v>
      </c>
      <c r="BA379" s="50">
        <v>0</v>
      </c>
      <c r="BB379" s="49">
        <v>6</v>
      </c>
      <c r="BC379" s="50">
        <v>22.22222222222222</v>
      </c>
      <c r="BD379" s="49">
        <v>27</v>
      </c>
      <c r="BE379" s="49"/>
      <c r="BF379" s="49"/>
      <c r="BG379" s="49"/>
      <c r="BH379" s="49"/>
      <c r="BI379" s="49"/>
      <c r="BJ379" s="49"/>
      <c r="BK379" s="115" t="s">
        <v>2909</v>
      </c>
      <c r="BL379" s="115" t="s">
        <v>2909</v>
      </c>
      <c r="BM379" s="115" t="s">
        <v>3362</v>
      </c>
      <c r="BN379" s="115" t="s">
        <v>3362</v>
      </c>
      <c r="BO379" s="2"/>
      <c r="BP379" s="3"/>
      <c r="BQ379" s="3"/>
      <c r="BR379" s="3"/>
      <c r="BS379" s="3"/>
    </row>
    <row r="380" spans="1:71" ht="15">
      <c r="A380" s="66" t="s">
        <v>597</v>
      </c>
      <c r="B380" s="67"/>
      <c r="C380" s="67"/>
      <c r="D380" s="68">
        <v>150</v>
      </c>
      <c r="E380" s="70"/>
      <c r="F380" s="102" t="str">
        <f>HYPERLINK("https://yt3.ggpht.com/ytc/AOPolaQOxZrVcI66zIAkoP5XdZAoNfCFK2iV5iR2o5N7=s88-c-k-c0x00ffffff-no-rj")</f>
        <v>https://yt3.ggpht.com/ytc/AOPolaQOxZrVcI66zIAkoP5XdZAoNfCFK2iV5iR2o5N7=s88-c-k-c0x00ffffff-no-rj</v>
      </c>
      <c r="G380" s="67"/>
      <c r="H380" s="71" t="s">
        <v>1670</v>
      </c>
      <c r="I380" s="72"/>
      <c r="J380" s="72" t="s">
        <v>159</v>
      </c>
      <c r="K380" s="71" t="s">
        <v>1670</v>
      </c>
      <c r="L380" s="75">
        <v>1</v>
      </c>
      <c r="M380" s="76">
        <v>129.688720703125</v>
      </c>
      <c r="N380" s="76">
        <v>6670.78857421875</v>
      </c>
      <c r="O380" s="77"/>
      <c r="P380" s="78"/>
      <c r="Q380" s="78"/>
      <c r="R380" s="88"/>
      <c r="S380" s="49">
        <v>0</v>
      </c>
      <c r="T380" s="49">
        <v>1</v>
      </c>
      <c r="U380" s="50">
        <v>0</v>
      </c>
      <c r="V380" s="50">
        <v>0.177728</v>
      </c>
      <c r="W380" s="50">
        <v>0.049759</v>
      </c>
      <c r="X380" s="50">
        <v>0.001579</v>
      </c>
      <c r="Y380" s="50">
        <v>0</v>
      </c>
      <c r="Z380" s="50">
        <v>0</v>
      </c>
      <c r="AA380" s="73">
        <v>380</v>
      </c>
      <c r="AB380" s="73"/>
      <c r="AC380" s="74"/>
      <c r="AD380" s="81" t="s">
        <v>1670</v>
      </c>
      <c r="AE380" s="81"/>
      <c r="AF380" s="81"/>
      <c r="AG380" s="81"/>
      <c r="AH380" s="81"/>
      <c r="AI380" s="81" t="s">
        <v>2396</v>
      </c>
      <c r="AJ380" s="85">
        <v>44303.45479166666</v>
      </c>
      <c r="AK380" s="83" t="str">
        <f>HYPERLINK("https://yt3.ggpht.com/ytc/AOPolaQOxZrVcI66zIAkoP5XdZAoNfCFK2iV5iR2o5N7=s88-c-k-c0x00ffffff-no-rj")</f>
        <v>https://yt3.ggpht.com/ytc/AOPolaQOxZrVcI66zIAkoP5XdZAoNfCFK2iV5iR2o5N7=s88-c-k-c0x00ffffff-no-rj</v>
      </c>
      <c r="AL380" s="81">
        <v>511</v>
      </c>
      <c r="AM380" s="81">
        <v>0</v>
      </c>
      <c r="AN380" s="81">
        <v>4</v>
      </c>
      <c r="AO380" s="81" t="b">
        <v>0</v>
      </c>
      <c r="AP380" s="81">
        <v>4</v>
      </c>
      <c r="AQ380" s="81"/>
      <c r="AR380" s="81"/>
      <c r="AS380" s="81" t="s">
        <v>2571</v>
      </c>
      <c r="AT380" s="83" t="str">
        <f>HYPERLINK("https://www.youtube.com/channel/UC09s08TXNwU5I67hfkraccA")</f>
        <v>https://www.youtube.com/channel/UC09s08TXNwU5I67hfkraccA</v>
      </c>
      <c r="AU380" s="81">
        <v>1</v>
      </c>
      <c r="AV380" s="49">
        <v>1</v>
      </c>
      <c r="AW380" s="50">
        <v>1.3333333333333333</v>
      </c>
      <c r="AX380" s="49">
        <v>5</v>
      </c>
      <c r="AY380" s="50">
        <v>6.666666666666667</v>
      </c>
      <c r="AZ380" s="49">
        <v>0</v>
      </c>
      <c r="BA380" s="50">
        <v>0</v>
      </c>
      <c r="BB380" s="49">
        <v>22</v>
      </c>
      <c r="BC380" s="50">
        <v>29.333333333333332</v>
      </c>
      <c r="BD380" s="49">
        <v>75</v>
      </c>
      <c r="BE380" s="49"/>
      <c r="BF380" s="49"/>
      <c r="BG380" s="49"/>
      <c r="BH380" s="49"/>
      <c r="BI380" s="49"/>
      <c r="BJ380" s="49"/>
      <c r="BK380" s="115" t="s">
        <v>2910</v>
      </c>
      <c r="BL380" s="115" t="s">
        <v>2910</v>
      </c>
      <c r="BM380" s="115" t="s">
        <v>3363</v>
      </c>
      <c r="BN380" s="115" t="s">
        <v>3363</v>
      </c>
      <c r="BO380" s="2"/>
      <c r="BP380" s="3"/>
      <c r="BQ380" s="3"/>
      <c r="BR380" s="3"/>
      <c r="BS380" s="3"/>
    </row>
    <row r="381" spans="1:71" ht="15">
      <c r="A381" s="66" t="s">
        <v>598</v>
      </c>
      <c r="B381" s="67"/>
      <c r="C381" s="67"/>
      <c r="D381" s="68">
        <v>150</v>
      </c>
      <c r="E381" s="70"/>
      <c r="F381" s="102" t="str">
        <f>HYPERLINK("https://yt3.ggpht.com/ytc/AOPolaSha-GU5OWe5lbuDdEGkWQfGd2Jfk0RkVlIVI0euw=s88-c-k-c0x00ffffff-no-rj")</f>
        <v>https://yt3.ggpht.com/ytc/AOPolaSha-GU5OWe5lbuDdEGkWQfGd2Jfk0RkVlIVI0euw=s88-c-k-c0x00ffffff-no-rj</v>
      </c>
      <c r="G381" s="67"/>
      <c r="H381" s="71" t="s">
        <v>1671</v>
      </c>
      <c r="I381" s="72"/>
      <c r="J381" s="72" t="s">
        <v>159</v>
      </c>
      <c r="K381" s="71" t="s">
        <v>1671</v>
      </c>
      <c r="L381" s="75">
        <v>1</v>
      </c>
      <c r="M381" s="76">
        <v>2535.481201171875</v>
      </c>
      <c r="N381" s="76">
        <v>8885.4658203125</v>
      </c>
      <c r="O381" s="77"/>
      <c r="P381" s="78"/>
      <c r="Q381" s="78"/>
      <c r="R381" s="88"/>
      <c r="S381" s="49">
        <v>0</v>
      </c>
      <c r="T381" s="49">
        <v>1</v>
      </c>
      <c r="U381" s="50">
        <v>0</v>
      </c>
      <c r="V381" s="50">
        <v>0.177728</v>
      </c>
      <c r="W381" s="50">
        <v>0.049759</v>
      </c>
      <c r="X381" s="50">
        <v>0.001579</v>
      </c>
      <c r="Y381" s="50">
        <v>0</v>
      </c>
      <c r="Z381" s="50">
        <v>0</v>
      </c>
      <c r="AA381" s="73">
        <v>381</v>
      </c>
      <c r="AB381" s="73"/>
      <c r="AC381" s="74"/>
      <c r="AD381" s="81" t="s">
        <v>1671</v>
      </c>
      <c r="AE381" s="81"/>
      <c r="AF381" s="81"/>
      <c r="AG381" s="81"/>
      <c r="AH381" s="81"/>
      <c r="AI381" s="81" t="s">
        <v>2397</v>
      </c>
      <c r="AJ381" s="85">
        <v>40283.987962962965</v>
      </c>
      <c r="AK381" s="83" t="str">
        <f>HYPERLINK("https://yt3.ggpht.com/ytc/AOPolaSha-GU5OWe5lbuDdEGkWQfGd2Jfk0RkVlIVI0euw=s88-c-k-c0x00ffffff-no-rj")</f>
        <v>https://yt3.ggpht.com/ytc/AOPolaSha-GU5OWe5lbuDdEGkWQfGd2Jfk0RkVlIVI0euw=s88-c-k-c0x00ffffff-no-rj</v>
      </c>
      <c r="AL381" s="81">
        <v>266</v>
      </c>
      <c r="AM381" s="81">
        <v>0</v>
      </c>
      <c r="AN381" s="81">
        <v>26</v>
      </c>
      <c r="AO381" s="81" t="b">
        <v>0</v>
      </c>
      <c r="AP381" s="81">
        <v>1</v>
      </c>
      <c r="AQ381" s="81"/>
      <c r="AR381" s="81"/>
      <c r="AS381" s="81" t="s">
        <v>2571</v>
      </c>
      <c r="AT381" s="83" t="str">
        <f>HYPERLINK("https://www.youtube.com/channel/UCmzopuKkj876cDVcXP8aJYQ")</f>
        <v>https://www.youtube.com/channel/UCmzopuKkj876cDVcXP8aJYQ</v>
      </c>
      <c r="AU381" s="81">
        <v>1</v>
      </c>
      <c r="AV381" s="49">
        <v>0</v>
      </c>
      <c r="AW381" s="50">
        <v>0</v>
      </c>
      <c r="AX381" s="49">
        <v>1</v>
      </c>
      <c r="AY381" s="50">
        <v>1.7543859649122806</v>
      </c>
      <c r="AZ381" s="49">
        <v>0</v>
      </c>
      <c r="BA381" s="50">
        <v>0</v>
      </c>
      <c r="BB381" s="49">
        <v>22</v>
      </c>
      <c r="BC381" s="50">
        <v>38.59649122807018</v>
      </c>
      <c r="BD381" s="49">
        <v>57</v>
      </c>
      <c r="BE381" s="49"/>
      <c r="BF381" s="49"/>
      <c r="BG381" s="49"/>
      <c r="BH381" s="49"/>
      <c r="BI381" s="49"/>
      <c r="BJ381" s="49"/>
      <c r="BK381" s="115" t="s">
        <v>2911</v>
      </c>
      <c r="BL381" s="115" t="s">
        <v>2911</v>
      </c>
      <c r="BM381" s="115" t="s">
        <v>3364</v>
      </c>
      <c r="BN381" s="115" t="s">
        <v>3364</v>
      </c>
      <c r="BO381" s="2"/>
      <c r="BP381" s="3"/>
      <c r="BQ381" s="3"/>
      <c r="BR381" s="3"/>
      <c r="BS381" s="3"/>
    </row>
    <row r="382" spans="1:71" ht="15">
      <c r="A382" s="66" t="s">
        <v>599</v>
      </c>
      <c r="B382" s="67"/>
      <c r="C382" s="67"/>
      <c r="D382" s="68">
        <v>150</v>
      </c>
      <c r="E382" s="70"/>
      <c r="F382" s="102" t="str">
        <f>HYPERLINK("https://yt3.ggpht.com/5cBp7wl-WNqCFIHWxEQEhjEFilsMw-LtdFhAt_tTkv4uBnRMPgKKyh3707Bw2B8X7Pfb-TisOQ=s88-c-k-c0x00ffffff-no-rj")</f>
        <v>https://yt3.ggpht.com/5cBp7wl-WNqCFIHWxEQEhjEFilsMw-LtdFhAt_tTkv4uBnRMPgKKyh3707Bw2B8X7Pfb-TisOQ=s88-c-k-c0x00ffffff-no-rj</v>
      </c>
      <c r="G382" s="67"/>
      <c r="H382" s="71" t="s">
        <v>1672</v>
      </c>
      <c r="I382" s="72"/>
      <c r="J382" s="72" t="s">
        <v>159</v>
      </c>
      <c r="K382" s="71" t="s">
        <v>1672</v>
      </c>
      <c r="L382" s="75">
        <v>1</v>
      </c>
      <c r="M382" s="76">
        <v>3770.346435546875</v>
      </c>
      <c r="N382" s="76">
        <v>4627.9033203125</v>
      </c>
      <c r="O382" s="77"/>
      <c r="P382" s="78"/>
      <c r="Q382" s="78"/>
      <c r="R382" s="88"/>
      <c r="S382" s="49">
        <v>0</v>
      </c>
      <c r="T382" s="49">
        <v>1</v>
      </c>
      <c r="U382" s="50">
        <v>0</v>
      </c>
      <c r="V382" s="50">
        <v>0.177728</v>
      </c>
      <c r="W382" s="50">
        <v>0.049759</v>
      </c>
      <c r="X382" s="50">
        <v>0.001579</v>
      </c>
      <c r="Y382" s="50">
        <v>0</v>
      </c>
      <c r="Z382" s="50">
        <v>0</v>
      </c>
      <c r="AA382" s="73">
        <v>382</v>
      </c>
      <c r="AB382" s="73"/>
      <c r="AC382" s="74"/>
      <c r="AD382" s="81" t="s">
        <v>1672</v>
      </c>
      <c r="AE382" s="81" t="s">
        <v>1984</v>
      </c>
      <c r="AF382" s="81"/>
      <c r="AG382" s="81"/>
      <c r="AH382" s="81"/>
      <c r="AI382" s="81" t="s">
        <v>2398</v>
      </c>
      <c r="AJ382" s="85">
        <v>41663.44153935185</v>
      </c>
      <c r="AK382" s="83" t="str">
        <f>HYPERLINK("https://yt3.ggpht.com/5cBp7wl-WNqCFIHWxEQEhjEFilsMw-LtdFhAt_tTkv4uBnRMPgKKyh3707Bw2B8X7Pfb-TisOQ=s88-c-k-c0x00ffffff-no-rj")</f>
        <v>https://yt3.ggpht.com/5cBp7wl-WNqCFIHWxEQEhjEFilsMw-LtdFhAt_tTkv4uBnRMPgKKyh3707Bw2B8X7Pfb-TisOQ=s88-c-k-c0x00ffffff-no-rj</v>
      </c>
      <c r="AL382" s="81">
        <v>66360</v>
      </c>
      <c r="AM382" s="81">
        <v>0</v>
      </c>
      <c r="AN382" s="81">
        <v>143</v>
      </c>
      <c r="AO382" s="81" t="b">
        <v>0</v>
      </c>
      <c r="AP382" s="81">
        <v>84</v>
      </c>
      <c r="AQ382" s="81"/>
      <c r="AR382" s="81"/>
      <c r="AS382" s="81" t="s">
        <v>2571</v>
      </c>
      <c r="AT382" s="83" t="str">
        <f>HYPERLINK("https://www.youtube.com/channel/UCYqbNADZ0w0faeBfWbph0Cw")</f>
        <v>https://www.youtube.com/channel/UCYqbNADZ0w0faeBfWbph0Cw</v>
      </c>
      <c r="AU382" s="81">
        <v>1</v>
      </c>
      <c r="AV382" s="49">
        <v>0</v>
      </c>
      <c r="AW382" s="50">
        <v>0</v>
      </c>
      <c r="AX382" s="49">
        <v>0</v>
      </c>
      <c r="AY382" s="50">
        <v>0</v>
      </c>
      <c r="AZ382" s="49">
        <v>0</v>
      </c>
      <c r="BA382" s="50">
        <v>0</v>
      </c>
      <c r="BB382" s="49">
        <v>1</v>
      </c>
      <c r="BC382" s="50">
        <v>25</v>
      </c>
      <c r="BD382" s="49">
        <v>4</v>
      </c>
      <c r="BE382" s="49"/>
      <c r="BF382" s="49"/>
      <c r="BG382" s="49"/>
      <c r="BH382" s="49"/>
      <c r="BI382" s="49"/>
      <c r="BJ382" s="49"/>
      <c r="BK382" s="115" t="s">
        <v>2912</v>
      </c>
      <c r="BL382" s="115" t="s">
        <v>2912</v>
      </c>
      <c r="BM382" s="115" t="s">
        <v>4477</v>
      </c>
      <c r="BN382" s="115" t="s">
        <v>4477</v>
      </c>
      <c r="BO382" s="2"/>
      <c r="BP382" s="3"/>
      <c r="BQ382" s="3"/>
      <c r="BR382" s="3"/>
      <c r="BS382" s="3"/>
    </row>
    <row r="383" spans="1:71" ht="15">
      <c r="A383" s="66" t="s">
        <v>600</v>
      </c>
      <c r="B383" s="67"/>
      <c r="C383" s="67"/>
      <c r="D383" s="68">
        <v>150</v>
      </c>
      <c r="E383" s="70"/>
      <c r="F383" s="102" t="str">
        <f>HYPERLINK("https://yt3.ggpht.com/ytc/AOPolaTORSLupeFYPS8Swt0NDkvYLm5N7Ic7v9Q_wRsQtg=s88-c-k-c0x00ffffff-no-rj")</f>
        <v>https://yt3.ggpht.com/ytc/AOPolaTORSLupeFYPS8Swt0NDkvYLm5N7Ic7v9Q_wRsQtg=s88-c-k-c0x00ffffff-no-rj</v>
      </c>
      <c r="G383" s="67"/>
      <c r="H383" s="71" t="s">
        <v>1673</v>
      </c>
      <c r="I383" s="72"/>
      <c r="J383" s="72" t="s">
        <v>159</v>
      </c>
      <c r="K383" s="71" t="s">
        <v>1673</v>
      </c>
      <c r="L383" s="75">
        <v>1</v>
      </c>
      <c r="M383" s="76">
        <v>1591.956787109375</v>
      </c>
      <c r="N383" s="76">
        <v>8448.224609375</v>
      </c>
      <c r="O383" s="77"/>
      <c r="P383" s="78"/>
      <c r="Q383" s="78"/>
      <c r="R383" s="88"/>
      <c r="S383" s="49">
        <v>0</v>
      </c>
      <c r="T383" s="49">
        <v>1</v>
      </c>
      <c r="U383" s="50">
        <v>0</v>
      </c>
      <c r="V383" s="50">
        <v>0.177728</v>
      </c>
      <c r="W383" s="50">
        <v>0.049759</v>
      </c>
      <c r="X383" s="50">
        <v>0.001579</v>
      </c>
      <c r="Y383" s="50">
        <v>0</v>
      </c>
      <c r="Z383" s="50">
        <v>0</v>
      </c>
      <c r="AA383" s="73">
        <v>383</v>
      </c>
      <c r="AB383" s="73"/>
      <c r="AC383" s="74"/>
      <c r="AD383" s="81" t="s">
        <v>1673</v>
      </c>
      <c r="AE383" s="81" t="s">
        <v>1985</v>
      </c>
      <c r="AF383" s="81"/>
      <c r="AG383" s="81"/>
      <c r="AH383" s="81"/>
      <c r="AI383" s="81" t="s">
        <v>2399</v>
      </c>
      <c r="AJ383" s="85">
        <v>39162.25084490741</v>
      </c>
      <c r="AK383" s="83" t="str">
        <f>HYPERLINK("https://yt3.ggpht.com/ytc/AOPolaTORSLupeFYPS8Swt0NDkvYLm5N7Ic7v9Q_wRsQtg=s88-c-k-c0x00ffffff-no-rj")</f>
        <v>https://yt3.ggpht.com/ytc/AOPolaTORSLupeFYPS8Swt0NDkvYLm5N7Ic7v9Q_wRsQtg=s88-c-k-c0x00ffffff-no-rj</v>
      </c>
      <c r="AL383" s="81">
        <v>1105</v>
      </c>
      <c r="AM383" s="81">
        <v>0</v>
      </c>
      <c r="AN383" s="81">
        <v>76</v>
      </c>
      <c r="AO383" s="81" t="b">
        <v>0</v>
      </c>
      <c r="AP383" s="81">
        <v>6</v>
      </c>
      <c r="AQ383" s="81"/>
      <c r="AR383" s="81"/>
      <c r="AS383" s="81" t="s">
        <v>2571</v>
      </c>
      <c r="AT383" s="83" t="str">
        <f>HYPERLINK("https://www.youtube.com/channel/UCfmWVk8_0BkOXYRK2VU0Bkw")</f>
        <v>https://www.youtube.com/channel/UCfmWVk8_0BkOXYRK2VU0Bkw</v>
      </c>
      <c r="AU383" s="81">
        <v>1</v>
      </c>
      <c r="AV383" s="49">
        <v>0</v>
      </c>
      <c r="AW383" s="50">
        <v>0</v>
      </c>
      <c r="AX383" s="49">
        <v>1</v>
      </c>
      <c r="AY383" s="50">
        <v>50</v>
      </c>
      <c r="AZ383" s="49">
        <v>0</v>
      </c>
      <c r="BA383" s="50">
        <v>0</v>
      </c>
      <c r="BB383" s="49">
        <v>1</v>
      </c>
      <c r="BC383" s="50">
        <v>50</v>
      </c>
      <c r="BD383" s="49">
        <v>2</v>
      </c>
      <c r="BE383" s="49"/>
      <c r="BF383" s="49"/>
      <c r="BG383" s="49"/>
      <c r="BH383" s="49"/>
      <c r="BI383" s="49"/>
      <c r="BJ383" s="49"/>
      <c r="BK383" s="115" t="s">
        <v>2913</v>
      </c>
      <c r="BL383" s="115" t="s">
        <v>2913</v>
      </c>
      <c r="BM383" s="115" t="s">
        <v>3365</v>
      </c>
      <c r="BN383" s="115" t="s">
        <v>3365</v>
      </c>
      <c r="BO383" s="2"/>
      <c r="BP383" s="3"/>
      <c r="BQ383" s="3"/>
      <c r="BR383" s="3"/>
      <c r="BS383" s="3"/>
    </row>
    <row r="384" spans="1:71" ht="15">
      <c r="A384" s="66" t="s">
        <v>601</v>
      </c>
      <c r="B384" s="67"/>
      <c r="C384" s="67"/>
      <c r="D384" s="68">
        <v>150</v>
      </c>
      <c r="E384" s="70"/>
      <c r="F384" s="102" t="str">
        <f>HYPERLINK("https://yt3.ggpht.com/ytc/AOPolaTrhCxpZkN0FLkuezyZLpdJYaMD2geHdVJuwWR8E0gey86VNW0MoINNOCARKBvQ=s88-c-k-c0x00ffffff-no-rj")</f>
        <v>https://yt3.ggpht.com/ytc/AOPolaTrhCxpZkN0FLkuezyZLpdJYaMD2geHdVJuwWR8E0gey86VNW0MoINNOCARKBvQ=s88-c-k-c0x00ffffff-no-rj</v>
      </c>
      <c r="G384" s="67"/>
      <c r="H384" s="71" t="s">
        <v>1674</v>
      </c>
      <c r="I384" s="72"/>
      <c r="J384" s="72" t="s">
        <v>159</v>
      </c>
      <c r="K384" s="71" t="s">
        <v>1674</v>
      </c>
      <c r="L384" s="75">
        <v>1</v>
      </c>
      <c r="M384" s="76">
        <v>2061.766357421875</v>
      </c>
      <c r="N384" s="76">
        <v>9295.5009765625</v>
      </c>
      <c r="O384" s="77"/>
      <c r="P384" s="78"/>
      <c r="Q384" s="78"/>
      <c r="R384" s="88"/>
      <c r="S384" s="49">
        <v>0</v>
      </c>
      <c r="T384" s="49">
        <v>1</v>
      </c>
      <c r="U384" s="50">
        <v>0</v>
      </c>
      <c r="V384" s="50">
        <v>0.177728</v>
      </c>
      <c r="W384" s="50">
        <v>0.049759</v>
      </c>
      <c r="X384" s="50">
        <v>0.001579</v>
      </c>
      <c r="Y384" s="50">
        <v>0</v>
      </c>
      <c r="Z384" s="50">
        <v>0</v>
      </c>
      <c r="AA384" s="73">
        <v>384</v>
      </c>
      <c r="AB384" s="73"/>
      <c r="AC384" s="74"/>
      <c r="AD384" s="81" t="s">
        <v>1674</v>
      </c>
      <c r="AE384" s="81"/>
      <c r="AF384" s="81"/>
      <c r="AG384" s="81"/>
      <c r="AH384" s="81"/>
      <c r="AI384" s="81" t="s">
        <v>2400</v>
      </c>
      <c r="AJ384" s="85">
        <v>44794.356886574074</v>
      </c>
      <c r="AK384" s="83" t="str">
        <f>HYPERLINK("https://yt3.ggpht.com/ytc/AOPolaTrhCxpZkN0FLkuezyZLpdJYaMD2geHdVJuwWR8E0gey86VNW0MoINNOCARKBvQ=s88-c-k-c0x00ffffff-no-rj")</f>
        <v>https://yt3.ggpht.com/ytc/AOPolaTrhCxpZkN0FLkuezyZLpdJYaMD2geHdVJuwWR8E0gey86VNW0MoINNOCARKBvQ=s88-c-k-c0x00ffffff-no-rj</v>
      </c>
      <c r="AL384" s="81">
        <v>0</v>
      </c>
      <c r="AM384" s="81">
        <v>0</v>
      </c>
      <c r="AN384" s="81">
        <v>0</v>
      </c>
      <c r="AO384" s="81" t="b">
        <v>0</v>
      </c>
      <c r="AP384" s="81">
        <v>0</v>
      </c>
      <c r="AQ384" s="81"/>
      <c r="AR384" s="81"/>
      <c r="AS384" s="81" t="s">
        <v>2571</v>
      </c>
      <c r="AT384" s="83" t="str">
        <f>HYPERLINK("https://www.youtube.com/channel/UCKjNRS6dalpCuazYZBSp3eg")</f>
        <v>https://www.youtube.com/channel/UCKjNRS6dalpCuazYZBSp3eg</v>
      </c>
      <c r="AU384" s="81">
        <v>1</v>
      </c>
      <c r="AV384" s="49">
        <v>0</v>
      </c>
      <c r="AW384" s="50">
        <v>0</v>
      </c>
      <c r="AX384" s="49">
        <v>1</v>
      </c>
      <c r="AY384" s="50">
        <v>16.666666666666668</v>
      </c>
      <c r="AZ384" s="49">
        <v>0</v>
      </c>
      <c r="BA384" s="50">
        <v>0</v>
      </c>
      <c r="BB384" s="49">
        <v>2</v>
      </c>
      <c r="BC384" s="50">
        <v>33.333333333333336</v>
      </c>
      <c r="BD384" s="49">
        <v>6</v>
      </c>
      <c r="BE384" s="49"/>
      <c r="BF384" s="49"/>
      <c r="BG384" s="49"/>
      <c r="BH384" s="49"/>
      <c r="BI384" s="49"/>
      <c r="BJ384" s="49"/>
      <c r="BK384" s="115" t="s">
        <v>2914</v>
      </c>
      <c r="BL384" s="115" t="s">
        <v>2914</v>
      </c>
      <c r="BM384" s="115" t="s">
        <v>3366</v>
      </c>
      <c r="BN384" s="115" t="s">
        <v>3366</v>
      </c>
      <c r="BO384" s="2"/>
      <c r="BP384" s="3"/>
      <c r="BQ384" s="3"/>
      <c r="BR384" s="3"/>
      <c r="BS384" s="3"/>
    </row>
    <row r="385" spans="1:71" ht="15">
      <c r="A385" s="66" t="s">
        <v>602</v>
      </c>
      <c r="B385" s="67"/>
      <c r="C385" s="67"/>
      <c r="D385" s="68">
        <v>150</v>
      </c>
      <c r="E385" s="70"/>
      <c r="F385" s="102" t="str">
        <f>HYPERLINK("https://yt3.ggpht.com/ytc/AOPolaQXyVO_AiV7oLxB-GWYZlv2JoY4GtRqAU93vg=s88-c-k-c0x00ffffff-no-rj")</f>
        <v>https://yt3.ggpht.com/ytc/AOPolaQXyVO_AiV7oLxB-GWYZlv2JoY4GtRqAU93vg=s88-c-k-c0x00ffffff-no-rj</v>
      </c>
      <c r="G385" s="67"/>
      <c r="H385" s="71" t="s">
        <v>1675</v>
      </c>
      <c r="I385" s="72"/>
      <c r="J385" s="72" t="s">
        <v>159</v>
      </c>
      <c r="K385" s="71" t="s">
        <v>1675</v>
      </c>
      <c r="L385" s="75">
        <v>1</v>
      </c>
      <c r="M385" s="76">
        <v>1925.637939453125</v>
      </c>
      <c r="N385" s="76">
        <v>9260.9013671875</v>
      </c>
      <c r="O385" s="77"/>
      <c r="P385" s="78"/>
      <c r="Q385" s="78"/>
      <c r="R385" s="88"/>
      <c r="S385" s="49">
        <v>0</v>
      </c>
      <c r="T385" s="49">
        <v>1</v>
      </c>
      <c r="U385" s="50">
        <v>0</v>
      </c>
      <c r="V385" s="50">
        <v>0.177728</v>
      </c>
      <c r="W385" s="50">
        <v>0.049759</v>
      </c>
      <c r="X385" s="50">
        <v>0.001579</v>
      </c>
      <c r="Y385" s="50">
        <v>0</v>
      </c>
      <c r="Z385" s="50">
        <v>0</v>
      </c>
      <c r="AA385" s="73">
        <v>385</v>
      </c>
      <c r="AB385" s="73"/>
      <c r="AC385" s="74"/>
      <c r="AD385" s="81" t="s">
        <v>1675</v>
      </c>
      <c r="AE385" s="81"/>
      <c r="AF385" s="81"/>
      <c r="AG385" s="81"/>
      <c r="AH385" s="81"/>
      <c r="AI385" s="81" t="s">
        <v>2401</v>
      </c>
      <c r="AJ385" s="85">
        <v>41972.2187037037</v>
      </c>
      <c r="AK385" s="83" t="str">
        <f>HYPERLINK("https://yt3.ggpht.com/ytc/AOPolaQXyVO_AiV7oLxB-GWYZlv2JoY4GtRqAU93vg=s88-c-k-c0x00ffffff-no-rj")</f>
        <v>https://yt3.ggpht.com/ytc/AOPolaQXyVO_AiV7oLxB-GWYZlv2JoY4GtRqAU93vg=s88-c-k-c0x00ffffff-no-rj</v>
      </c>
      <c r="AL385" s="81">
        <v>0</v>
      </c>
      <c r="AM385" s="81">
        <v>0</v>
      </c>
      <c r="AN385" s="81">
        <v>1</v>
      </c>
      <c r="AO385" s="81" t="b">
        <v>0</v>
      </c>
      <c r="AP385" s="81">
        <v>0</v>
      </c>
      <c r="AQ385" s="81"/>
      <c r="AR385" s="81"/>
      <c r="AS385" s="81" t="s">
        <v>2571</v>
      </c>
      <c r="AT385" s="83" t="str">
        <f>HYPERLINK("https://www.youtube.com/channel/UCYxc3jUaC_advAw2utm_-KQ")</f>
        <v>https://www.youtube.com/channel/UCYxc3jUaC_advAw2utm_-KQ</v>
      </c>
      <c r="AU385" s="81">
        <v>1</v>
      </c>
      <c r="AV385" s="49">
        <v>0</v>
      </c>
      <c r="AW385" s="50">
        <v>0</v>
      </c>
      <c r="AX385" s="49">
        <v>1</v>
      </c>
      <c r="AY385" s="50">
        <v>5.882352941176471</v>
      </c>
      <c r="AZ385" s="49">
        <v>0</v>
      </c>
      <c r="BA385" s="50">
        <v>0</v>
      </c>
      <c r="BB385" s="49">
        <v>5</v>
      </c>
      <c r="BC385" s="50">
        <v>29.41176470588235</v>
      </c>
      <c r="BD385" s="49">
        <v>17</v>
      </c>
      <c r="BE385" s="49"/>
      <c r="BF385" s="49"/>
      <c r="BG385" s="49"/>
      <c r="BH385" s="49"/>
      <c r="BI385" s="49"/>
      <c r="BJ385" s="49"/>
      <c r="BK385" s="115" t="s">
        <v>2915</v>
      </c>
      <c r="BL385" s="115" t="s">
        <v>2915</v>
      </c>
      <c r="BM385" s="115" t="s">
        <v>3367</v>
      </c>
      <c r="BN385" s="115" t="s">
        <v>3367</v>
      </c>
      <c r="BO385" s="2"/>
      <c r="BP385" s="3"/>
      <c r="BQ385" s="3"/>
      <c r="BR385" s="3"/>
      <c r="BS385" s="3"/>
    </row>
    <row r="386" spans="1:71" ht="15">
      <c r="A386" s="66" t="s">
        <v>603</v>
      </c>
      <c r="B386" s="67"/>
      <c r="C386" s="67"/>
      <c r="D386" s="68">
        <v>150</v>
      </c>
      <c r="E386" s="70"/>
      <c r="F386" s="102" t="str">
        <f>HYPERLINK("https://yt3.ggpht.com/bkuab9YVgxt-4rfsJLP2_fOWdKiIOFdJpJSfn8l03o_AcbjrGcn54VoxLTouAYu6f1lwWZ5a=s88-c-k-c0x00ffffff-no-rj")</f>
        <v>https://yt3.ggpht.com/bkuab9YVgxt-4rfsJLP2_fOWdKiIOFdJpJSfn8l03o_AcbjrGcn54VoxLTouAYu6f1lwWZ5a=s88-c-k-c0x00ffffff-no-rj</v>
      </c>
      <c r="G386" s="67"/>
      <c r="H386" s="71" t="s">
        <v>1676</v>
      </c>
      <c r="I386" s="72"/>
      <c r="J386" s="72" t="s">
        <v>159</v>
      </c>
      <c r="K386" s="71" t="s">
        <v>1676</v>
      </c>
      <c r="L386" s="75">
        <v>1</v>
      </c>
      <c r="M386" s="76">
        <v>911.4752197265625</v>
      </c>
      <c r="N386" s="76">
        <v>8401.3671875</v>
      </c>
      <c r="O386" s="77"/>
      <c r="P386" s="78"/>
      <c r="Q386" s="78"/>
      <c r="R386" s="88"/>
      <c r="S386" s="49">
        <v>0</v>
      </c>
      <c r="T386" s="49">
        <v>1</v>
      </c>
      <c r="U386" s="50">
        <v>0</v>
      </c>
      <c r="V386" s="50">
        <v>0.177728</v>
      </c>
      <c r="W386" s="50">
        <v>0.049759</v>
      </c>
      <c r="X386" s="50">
        <v>0.001579</v>
      </c>
      <c r="Y386" s="50">
        <v>0</v>
      </c>
      <c r="Z386" s="50">
        <v>0</v>
      </c>
      <c r="AA386" s="73">
        <v>386</v>
      </c>
      <c r="AB386" s="73"/>
      <c r="AC386" s="74"/>
      <c r="AD386" s="81" t="s">
        <v>1676</v>
      </c>
      <c r="AE386" s="81"/>
      <c r="AF386" s="81"/>
      <c r="AG386" s="81"/>
      <c r="AH386" s="81"/>
      <c r="AI386" s="81" t="s">
        <v>2402</v>
      </c>
      <c r="AJ386" s="85">
        <v>44961.888391203705</v>
      </c>
      <c r="AK386" s="83" t="str">
        <f>HYPERLINK("https://yt3.ggpht.com/bkuab9YVgxt-4rfsJLP2_fOWdKiIOFdJpJSfn8l03o_AcbjrGcn54VoxLTouAYu6f1lwWZ5a=s88-c-k-c0x00ffffff-no-rj")</f>
        <v>https://yt3.ggpht.com/bkuab9YVgxt-4rfsJLP2_fOWdKiIOFdJpJSfn8l03o_AcbjrGcn54VoxLTouAYu6f1lwWZ5a=s88-c-k-c0x00ffffff-no-rj</v>
      </c>
      <c r="AL386" s="81">
        <v>0</v>
      </c>
      <c r="AM386" s="81">
        <v>0</v>
      </c>
      <c r="AN386" s="81">
        <v>0</v>
      </c>
      <c r="AO386" s="81" t="b">
        <v>0</v>
      </c>
      <c r="AP386" s="81">
        <v>0</v>
      </c>
      <c r="AQ386" s="81"/>
      <c r="AR386" s="81"/>
      <c r="AS386" s="81" t="s">
        <v>2571</v>
      </c>
      <c r="AT386" s="83" t="str">
        <f>HYPERLINK("https://www.youtube.com/channel/UChANq4tvKdU1QdScYMd40Yg")</f>
        <v>https://www.youtube.com/channel/UChANq4tvKdU1QdScYMd40Yg</v>
      </c>
      <c r="AU386" s="81">
        <v>1</v>
      </c>
      <c r="AV386" s="49">
        <v>0</v>
      </c>
      <c r="AW386" s="50">
        <v>0</v>
      </c>
      <c r="AX386" s="49">
        <v>1</v>
      </c>
      <c r="AY386" s="50">
        <v>16.666666666666668</v>
      </c>
      <c r="AZ386" s="49">
        <v>0</v>
      </c>
      <c r="BA386" s="50">
        <v>0</v>
      </c>
      <c r="BB386" s="49">
        <v>4</v>
      </c>
      <c r="BC386" s="50">
        <v>66.66666666666667</v>
      </c>
      <c r="BD386" s="49">
        <v>6</v>
      </c>
      <c r="BE386" s="49"/>
      <c r="BF386" s="49"/>
      <c r="BG386" s="49"/>
      <c r="BH386" s="49"/>
      <c r="BI386" s="49"/>
      <c r="BJ386" s="49"/>
      <c r="BK386" s="115" t="s">
        <v>2916</v>
      </c>
      <c r="BL386" s="115" t="s">
        <v>2916</v>
      </c>
      <c r="BM386" s="115" t="s">
        <v>3368</v>
      </c>
      <c r="BN386" s="115" t="s">
        <v>3368</v>
      </c>
      <c r="BO386" s="2"/>
      <c r="BP386" s="3"/>
      <c r="BQ386" s="3"/>
      <c r="BR386" s="3"/>
      <c r="BS386" s="3"/>
    </row>
    <row r="387" spans="1:71" ht="15">
      <c r="A387" s="66" t="s">
        <v>604</v>
      </c>
      <c r="B387" s="67"/>
      <c r="C387" s="67"/>
      <c r="D387" s="68">
        <v>150</v>
      </c>
      <c r="E387" s="70"/>
      <c r="F387" s="102" t="str">
        <f>HYPERLINK("https://yt3.ggpht.com/ytc/AOPolaR5kobmthdCGs4JbQawLnAZBxPQ2VjbUhVDAw=s88-c-k-c0x00ffffff-no-rj")</f>
        <v>https://yt3.ggpht.com/ytc/AOPolaR5kobmthdCGs4JbQawLnAZBxPQ2VjbUhVDAw=s88-c-k-c0x00ffffff-no-rj</v>
      </c>
      <c r="G387" s="67"/>
      <c r="H387" s="71" t="s">
        <v>1677</v>
      </c>
      <c r="I387" s="72"/>
      <c r="J387" s="72" t="s">
        <v>159</v>
      </c>
      <c r="K387" s="71" t="s">
        <v>1677</v>
      </c>
      <c r="L387" s="75">
        <v>1</v>
      </c>
      <c r="M387" s="76">
        <v>350.7778625488281</v>
      </c>
      <c r="N387" s="76">
        <v>7184.79248046875</v>
      </c>
      <c r="O387" s="77"/>
      <c r="P387" s="78"/>
      <c r="Q387" s="78"/>
      <c r="R387" s="88"/>
      <c r="S387" s="49">
        <v>0</v>
      </c>
      <c r="T387" s="49">
        <v>1</v>
      </c>
      <c r="U387" s="50">
        <v>0</v>
      </c>
      <c r="V387" s="50">
        <v>0.177728</v>
      </c>
      <c r="W387" s="50">
        <v>0.049759</v>
      </c>
      <c r="X387" s="50">
        <v>0.001579</v>
      </c>
      <c r="Y387" s="50">
        <v>0</v>
      </c>
      <c r="Z387" s="50">
        <v>0</v>
      </c>
      <c r="AA387" s="73">
        <v>387</v>
      </c>
      <c r="AB387" s="73"/>
      <c r="AC387" s="74"/>
      <c r="AD387" s="81" t="s">
        <v>1677</v>
      </c>
      <c r="AE387" s="81"/>
      <c r="AF387" s="81"/>
      <c r="AG387" s="81"/>
      <c r="AH387" s="81"/>
      <c r="AI387" s="81" t="s">
        <v>2403</v>
      </c>
      <c r="AJ387" s="85">
        <v>44143.63679398148</v>
      </c>
      <c r="AK387" s="83" t="str">
        <f>HYPERLINK("https://yt3.ggpht.com/ytc/AOPolaR5kobmthdCGs4JbQawLnAZBxPQ2VjbUhVDAw=s88-c-k-c0x00ffffff-no-rj")</f>
        <v>https://yt3.ggpht.com/ytc/AOPolaR5kobmthdCGs4JbQawLnAZBxPQ2VjbUhVDAw=s88-c-k-c0x00ffffff-no-rj</v>
      </c>
      <c r="AL387" s="81">
        <v>0</v>
      </c>
      <c r="AM387" s="81">
        <v>0</v>
      </c>
      <c r="AN387" s="81">
        <v>3</v>
      </c>
      <c r="AO387" s="81" t="b">
        <v>0</v>
      </c>
      <c r="AP387" s="81">
        <v>0</v>
      </c>
      <c r="AQ387" s="81"/>
      <c r="AR387" s="81"/>
      <c r="AS387" s="81" t="s">
        <v>2571</v>
      </c>
      <c r="AT387" s="83" t="str">
        <f>HYPERLINK("https://www.youtube.com/channel/UC-b5bld7GfVrvnXlfEJq43w")</f>
        <v>https://www.youtube.com/channel/UC-b5bld7GfVrvnXlfEJq43w</v>
      </c>
      <c r="AU387" s="81">
        <v>1</v>
      </c>
      <c r="AV387" s="49">
        <v>0</v>
      </c>
      <c r="AW387" s="50">
        <v>0</v>
      </c>
      <c r="AX387" s="49">
        <v>0</v>
      </c>
      <c r="AY387" s="50">
        <v>0</v>
      </c>
      <c r="AZ387" s="49">
        <v>0</v>
      </c>
      <c r="BA387" s="50">
        <v>0</v>
      </c>
      <c r="BB387" s="49">
        <v>1</v>
      </c>
      <c r="BC387" s="50">
        <v>100</v>
      </c>
      <c r="BD387" s="49">
        <v>1</v>
      </c>
      <c r="BE387" s="49"/>
      <c r="BF387" s="49"/>
      <c r="BG387" s="49"/>
      <c r="BH387" s="49"/>
      <c r="BI387" s="49"/>
      <c r="BJ387" s="49"/>
      <c r="BK387" s="115" t="s">
        <v>2917</v>
      </c>
      <c r="BL387" s="115" t="s">
        <v>2917</v>
      </c>
      <c r="BM387" s="115" t="s">
        <v>4477</v>
      </c>
      <c r="BN387" s="115" t="s">
        <v>4477</v>
      </c>
      <c r="BO387" s="2"/>
      <c r="BP387" s="3"/>
      <c r="BQ387" s="3"/>
      <c r="BR387" s="3"/>
      <c r="BS387" s="3"/>
    </row>
    <row r="388" spans="1:71" ht="15">
      <c r="A388" s="66" t="s">
        <v>605</v>
      </c>
      <c r="B388" s="67"/>
      <c r="C388" s="67"/>
      <c r="D388" s="68">
        <v>150</v>
      </c>
      <c r="E388" s="70"/>
      <c r="F388" s="102" t="str">
        <f>HYPERLINK("https://yt3.ggpht.com/ytc/AOPolaSQ1o7t3wXglyj1IpHBod5lSQ87ZNaISmH_rryLvQ=s88-c-k-c0x00ffffff-no-rj")</f>
        <v>https://yt3.ggpht.com/ytc/AOPolaSQ1o7t3wXglyj1IpHBod5lSQ87ZNaISmH_rryLvQ=s88-c-k-c0x00ffffff-no-rj</v>
      </c>
      <c r="G388" s="67"/>
      <c r="H388" s="71" t="s">
        <v>1678</v>
      </c>
      <c r="I388" s="72"/>
      <c r="J388" s="72" t="s">
        <v>159</v>
      </c>
      <c r="K388" s="71" t="s">
        <v>1678</v>
      </c>
      <c r="L388" s="75">
        <v>1</v>
      </c>
      <c r="M388" s="76">
        <v>4698.6044921875</v>
      </c>
      <c r="N388" s="76">
        <v>7376.560546875</v>
      </c>
      <c r="O388" s="77"/>
      <c r="P388" s="78"/>
      <c r="Q388" s="78"/>
      <c r="R388" s="88"/>
      <c r="S388" s="49">
        <v>0</v>
      </c>
      <c r="T388" s="49">
        <v>1</v>
      </c>
      <c r="U388" s="50">
        <v>0</v>
      </c>
      <c r="V388" s="50">
        <v>0.177728</v>
      </c>
      <c r="W388" s="50">
        <v>0.049759</v>
      </c>
      <c r="X388" s="50">
        <v>0.001579</v>
      </c>
      <c r="Y388" s="50">
        <v>0</v>
      </c>
      <c r="Z388" s="50">
        <v>0</v>
      </c>
      <c r="AA388" s="73">
        <v>388</v>
      </c>
      <c r="AB388" s="73"/>
      <c r="AC388" s="74"/>
      <c r="AD388" s="81" t="s">
        <v>1678</v>
      </c>
      <c r="AE388" s="81"/>
      <c r="AF388" s="81"/>
      <c r="AG388" s="81"/>
      <c r="AH388" s="81"/>
      <c r="AI388" s="81" t="s">
        <v>2404</v>
      </c>
      <c r="AJ388" s="85">
        <v>42615.715949074074</v>
      </c>
      <c r="AK388" s="83" t="str">
        <f>HYPERLINK("https://yt3.ggpht.com/ytc/AOPolaSQ1o7t3wXglyj1IpHBod5lSQ87ZNaISmH_rryLvQ=s88-c-k-c0x00ffffff-no-rj")</f>
        <v>https://yt3.ggpht.com/ytc/AOPolaSQ1o7t3wXglyj1IpHBod5lSQ87ZNaISmH_rryLvQ=s88-c-k-c0x00ffffff-no-rj</v>
      </c>
      <c r="AL388" s="81">
        <v>0</v>
      </c>
      <c r="AM388" s="81">
        <v>0</v>
      </c>
      <c r="AN388" s="81">
        <v>1</v>
      </c>
      <c r="AO388" s="81" t="b">
        <v>0</v>
      </c>
      <c r="AP388" s="81">
        <v>0</v>
      </c>
      <c r="AQ388" s="81"/>
      <c r="AR388" s="81"/>
      <c r="AS388" s="81" t="s">
        <v>2571</v>
      </c>
      <c r="AT388" s="83" t="str">
        <f>HYPERLINK("https://www.youtube.com/channel/UC6-sshOU8XVke5x-hcBeiAg")</f>
        <v>https://www.youtube.com/channel/UC6-sshOU8XVke5x-hcBeiAg</v>
      </c>
      <c r="AU388" s="81">
        <v>1</v>
      </c>
      <c r="AV388" s="49">
        <v>2</v>
      </c>
      <c r="AW388" s="50">
        <v>7.142857142857143</v>
      </c>
      <c r="AX388" s="49">
        <v>0</v>
      </c>
      <c r="AY388" s="50">
        <v>0</v>
      </c>
      <c r="AZ388" s="49">
        <v>0</v>
      </c>
      <c r="BA388" s="50">
        <v>0</v>
      </c>
      <c r="BB388" s="49">
        <v>5</v>
      </c>
      <c r="BC388" s="50">
        <v>17.857142857142858</v>
      </c>
      <c r="BD388" s="49">
        <v>28</v>
      </c>
      <c r="BE388" s="49"/>
      <c r="BF388" s="49"/>
      <c r="BG388" s="49"/>
      <c r="BH388" s="49"/>
      <c r="BI388" s="49"/>
      <c r="BJ388" s="49"/>
      <c r="BK388" s="115" t="s">
        <v>2918</v>
      </c>
      <c r="BL388" s="115" t="s">
        <v>2918</v>
      </c>
      <c r="BM388" s="115" t="s">
        <v>3369</v>
      </c>
      <c r="BN388" s="115" t="s">
        <v>3369</v>
      </c>
      <c r="BO388" s="2"/>
      <c r="BP388" s="3"/>
      <c r="BQ388" s="3"/>
      <c r="BR388" s="3"/>
      <c r="BS388" s="3"/>
    </row>
    <row r="389" spans="1:71" ht="15">
      <c r="A389" s="66" t="s">
        <v>606</v>
      </c>
      <c r="B389" s="67"/>
      <c r="C389" s="67"/>
      <c r="D389" s="68">
        <v>150</v>
      </c>
      <c r="E389" s="70"/>
      <c r="F389" s="102" t="str">
        <f>HYPERLINK("https://yt3.ggpht.com/ebl5v17SkwdsqGwWcHm86TO-fBLwO56ZoXLjfL9UYLZvXXae61zfxQZIxciIgGHha56Zkcqvzg=s88-c-k-c0x00ffffff-no-rj")</f>
        <v>https://yt3.ggpht.com/ebl5v17SkwdsqGwWcHm86TO-fBLwO56ZoXLjfL9UYLZvXXae61zfxQZIxciIgGHha56Zkcqvzg=s88-c-k-c0x00ffffff-no-rj</v>
      </c>
      <c r="G389" s="67"/>
      <c r="H389" s="71" t="s">
        <v>1679</v>
      </c>
      <c r="I389" s="72"/>
      <c r="J389" s="72" t="s">
        <v>159</v>
      </c>
      <c r="K389" s="71" t="s">
        <v>1679</v>
      </c>
      <c r="L389" s="75">
        <v>1</v>
      </c>
      <c r="M389" s="76">
        <v>1818.6988525390625</v>
      </c>
      <c r="N389" s="76">
        <v>8793.6005859375</v>
      </c>
      <c r="O389" s="77"/>
      <c r="P389" s="78"/>
      <c r="Q389" s="78"/>
      <c r="R389" s="88"/>
      <c r="S389" s="49">
        <v>0</v>
      </c>
      <c r="T389" s="49">
        <v>1</v>
      </c>
      <c r="U389" s="50">
        <v>0</v>
      </c>
      <c r="V389" s="50">
        <v>0.177728</v>
      </c>
      <c r="W389" s="50">
        <v>0.049759</v>
      </c>
      <c r="X389" s="50">
        <v>0.001579</v>
      </c>
      <c r="Y389" s="50">
        <v>0</v>
      </c>
      <c r="Z389" s="50">
        <v>0</v>
      </c>
      <c r="AA389" s="73">
        <v>389</v>
      </c>
      <c r="AB389" s="73"/>
      <c r="AC389" s="74"/>
      <c r="AD389" s="81" t="s">
        <v>1679</v>
      </c>
      <c r="AE389" s="81"/>
      <c r="AF389" s="81"/>
      <c r="AG389" s="81"/>
      <c r="AH389" s="81"/>
      <c r="AI389" s="81" t="s">
        <v>2405</v>
      </c>
      <c r="AJ389" s="85">
        <v>43986.52820601852</v>
      </c>
      <c r="AK389" s="83" t="str">
        <f>HYPERLINK("https://yt3.ggpht.com/ebl5v17SkwdsqGwWcHm86TO-fBLwO56ZoXLjfL9UYLZvXXae61zfxQZIxciIgGHha56Zkcqvzg=s88-c-k-c0x00ffffff-no-rj")</f>
        <v>https://yt3.ggpht.com/ebl5v17SkwdsqGwWcHm86TO-fBLwO56ZoXLjfL9UYLZvXXae61zfxQZIxciIgGHha56Zkcqvzg=s88-c-k-c0x00ffffff-no-rj</v>
      </c>
      <c r="AL389" s="81">
        <v>6829</v>
      </c>
      <c r="AM389" s="81">
        <v>0</v>
      </c>
      <c r="AN389" s="81">
        <v>485</v>
      </c>
      <c r="AO389" s="81" t="b">
        <v>0</v>
      </c>
      <c r="AP389" s="81">
        <v>3</v>
      </c>
      <c r="AQ389" s="81"/>
      <c r="AR389" s="81"/>
      <c r="AS389" s="81" t="s">
        <v>2571</v>
      </c>
      <c r="AT389" s="83" t="str">
        <f>HYPERLINK("https://www.youtube.com/channel/UCg3vNLph88TBkW0azZeDCrg")</f>
        <v>https://www.youtube.com/channel/UCg3vNLph88TBkW0azZeDCrg</v>
      </c>
      <c r="AU389" s="81">
        <v>1</v>
      </c>
      <c r="AV389" s="49">
        <v>0</v>
      </c>
      <c r="AW389" s="50">
        <v>0</v>
      </c>
      <c r="AX389" s="49">
        <v>0</v>
      </c>
      <c r="AY389" s="50">
        <v>0</v>
      </c>
      <c r="AZ389" s="49">
        <v>0</v>
      </c>
      <c r="BA389" s="50">
        <v>0</v>
      </c>
      <c r="BB389" s="49">
        <v>2</v>
      </c>
      <c r="BC389" s="50">
        <v>50</v>
      </c>
      <c r="BD389" s="49">
        <v>4</v>
      </c>
      <c r="BE389" s="49"/>
      <c r="BF389" s="49"/>
      <c r="BG389" s="49"/>
      <c r="BH389" s="49"/>
      <c r="BI389" s="49"/>
      <c r="BJ389" s="49"/>
      <c r="BK389" s="115" t="s">
        <v>2919</v>
      </c>
      <c r="BL389" s="115" t="s">
        <v>2919</v>
      </c>
      <c r="BM389" s="115" t="s">
        <v>3370</v>
      </c>
      <c r="BN389" s="115" t="s">
        <v>3370</v>
      </c>
      <c r="BO389" s="2"/>
      <c r="BP389" s="3"/>
      <c r="BQ389" s="3"/>
      <c r="BR389" s="3"/>
      <c r="BS389" s="3"/>
    </row>
    <row r="390" spans="1:71" ht="15">
      <c r="A390" s="66" t="s">
        <v>607</v>
      </c>
      <c r="B390" s="67"/>
      <c r="C390" s="67"/>
      <c r="D390" s="68">
        <v>150</v>
      </c>
      <c r="E390" s="70"/>
      <c r="F390" s="102" t="str">
        <f>HYPERLINK("https://yt3.ggpht.com/ytc/AOPolaS25xRwxBcrE0a9fkmoSq6-es9rhCq_sn1pCE59dCMyA06hlpNK_QB0GBCJkCD_=s88-c-k-c0x00ffffff-no-rj")</f>
        <v>https://yt3.ggpht.com/ytc/AOPolaS25xRwxBcrE0a9fkmoSq6-es9rhCq_sn1pCE59dCMyA06hlpNK_QB0GBCJkCD_=s88-c-k-c0x00ffffff-no-rj</v>
      </c>
      <c r="G390" s="67"/>
      <c r="H390" s="71" t="s">
        <v>1680</v>
      </c>
      <c r="I390" s="72"/>
      <c r="J390" s="72" t="s">
        <v>159</v>
      </c>
      <c r="K390" s="71" t="s">
        <v>1680</v>
      </c>
      <c r="L390" s="75">
        <v>1</v>
      </c>
      <c r="M390" s="76">
        <v>1409.9425048828125</v>
      </c>
      <c r="N390" s="76">
        <v>9137.255859375</v>
      </c>
      <c r="O390" s="77"/>
      <c r="P390" s="78"/>
      <c r="Q390" s="78"/>
      <c r="R390" s="88"/>
      <c r="S390" s="49">
        <v>0</v>
      </c>
      <c r="T390" s="49">
        <v>1</v>
      </c>
      <c r="U390" s="50">
        <v>0</v>
      </c>
      <c r="V390" s="50">
        <v>0.177728</v>
      </c>
      <c r="W390" s="50">
        <v>0.049759</v>
      </c>
      <c r="X390" s="50">
        <v>0.001579</v>
      </c>
      <c r="Y390" s="50">
        <v>0</v>
      </c>
      <c r="Z390" s="50">
        <v>0</v>
      </c>
      <c r="AA390" s="73">
        <v>390</v>
      </c>
      <c r="AB390" s="73"/>
      <c r="AC390" s="74"/>
      <c r="AD390" s="81" t="s">
        <v>1680</v>
      </c>
      <c r="AE390" s="81"/>
      <c r="AF390" s="81"/>
      <c r="AG390" s="81"/>
      <c r="AH390" s="81"/>
      <c r="AI390" s="81" t="s">
        <v>2406</v>
      </c>
      <c r="AJ390" s="85">
        <v>44553.09144675926</v>
      </c>
      <c r="AK390" s="83" t="str">
        <f>HYPERLINK("https://yt3.ggpht.com/ytc/AOPolaS25xRwxBcrE0a9fkmoSq6-es9rhCq_sn1pCE59dCMyA06hlpNK_QB0GBCJkCD_=s88-c-k-c0x00ffffff-no-rj")</f>
        <v>https://yt3.ggpht.com/ytc/AOPolaS25xRwxBcrE0a9fkmoSq6-es9rhCq_sn1pCE59dCMyA06hlpNK_QB0GBCJkCD_=s88-c-k-c0x00ffffff-no-rj</v>
      </c>
      <c r="AL390" s="81">
        <v>0</v>
      </c>
      <c r="AM390" s="81">
        <v>0</v>
      </c>
      <c r="AN390" s="81">
        <v>8</v>
      </c>
      <c r="AO390" s="81" t="b">
        <v>0</v>
      </c>
      <c r="AP390" s="81">
        <v>0</v>
      </c>
      <c r="AQ390" s="81"/>
      <c r="AR390" s="81"/>
      <c r="AS390" s="81" t="s">
        <v>2571</v>
      </c>
      <c r="AT390" s="83" t="str">
        <f>HYPERLINK("https://www.youtube.com/channel/UCoCaIO-DdddRTRYNZdtFkEw")</f>
        <v>https://www.youtube.com/channel/UCoCaIO-DdddRTRYNZdtFkEw</v>
      </c>
      <c r="AU390" s="81">
        <v>1</v>
      </c>
      <c r="AV390" s="49">
        <v>4</v>
      </c>
      <c r="AW390" s="50">
        <v>11.11111111111111</v>
      </c>
      <c r="AX390" s="49">
        <v>0</v>
      </c>
      <c r="AY390" s="50">
        <v>0</v>
      </c>
      <c r="AZ390" s="49">
        <v>0</v>
      </c>
      <c r="BA390" s="50">
        <v>0</v>
      </c>
      <c r="BB390" s="49">
        <v>6</v>
      </c>
      <c r="BC390" s="50">
        <v>16.666666666666668</v>
      </c>
      <c r="BD390" s="49">
        <v>36</v>
      </c>
      <c r="BE390" s="49"/>
      <c r="BF390" s="49"/>
      <c r="BG390" s="49"/>
      <c r="BH390" s="49"/>
      <c r="BI390" s="49"/>
      <c r="BJ390" s="49"/>
      <c r="BK390" s="115" t="s">
        <v>2920</v>
      </c>
      <c r="BL390" s="115" t="s">
        <v>2920</v>
      </c>
      <c r="BM390" s="115" t="s">
        <v>3371</v>
      </c>
      <c r="BN390" s="115" t="s">
        <v>3371</v>
      </c>
      <c r="BO390" s="2"/>
      <c r="BP390" s="3"/>
      <c r="BQ390" s="3"/>
      <c r="BR390" s="3"/>
      <c r="BS390" s="3"/>
    </row>
    <row r="391" spans="1:71" ht="15">
      <c r="A391" s="66" t="s">
        <v>608</v>
      </c>
      <c r="B391" s="67"/>
      <c r="C391" s="67"/>
      <c r="D391" s="68">
        <v>150</v>
      </c>
      <c r="E391" s="70"/>
      <c r="F391" s="102" t="str">
        <f>HYPERLINK("https://yt3.ggpht.com/ytc/AOPolaTN8DhLbTAMGV-sX6hoVPqkgReIVEfZrMvkmg=s88-c-k-c0x00ffffff-no-rj")</f>
        <v>https://yt3.ggpht.com/ytc/AOPolaTN8DhLbTAMGV-sX6hoVPqkgReIVEfZrMvkmg=s88-c-k-c0x00ffffff-no-rj</v>
      </c>
      <c r="G391" s="67"/>
      <c r="H391" s="71" t="s">
        <v>1681</v>
      </c>
      <c r="I391" s="72"/>
      <c r="J391" s="72" t="s">
        <v>159</v>
      </c>
      <c r="K391" s="71" t="s">
        <v>1681</v>
      </c>
      <c r="L391" s="75">
        <v>1</v>
      </c>
      <c r="M391" s="76">
        <v>4617.09716796875</v>
      </c>
      <c r="N391" s="76">
        <v>7075.22802734375</v>
      </c>
      <c r="O391" s="77"/>
      <c r="P391" s="78"/>
      <c r="Q391" s="78"/>
      <c r="R391" s="88"/>
      <c r="S391" s="49">
        <v>0</v>
      </c>
      <c r="T391" s="49">
        <v>1</v>
      </c>
      <c r="U391" s="50">
        <v>0</v>
      </c>
      <c r="V391" s="50">
        <v>0.177728</v>
      </c>
      <c r="W391" s="50">
        <v>0.049759</v>
      </c>
      <c r="X391" s="50">
        <v>0.001579</v>
      </c>
      <c r="Y391" s="50">
        <v>0</v>
      </c>
      <c r="Z391" s="50">
        <v>0</v>
      </c>
      <c r="AA391" s="73">
        <v>391</v>
      </c>
      <c r="AB391" s="73"/>
      <c r="AC391" s="74"/>
      <c r="AD391" s="81" t="s">
        <v>1681</v>
      </c>
      <c r="AE391" s="81"/>
      <c r="AF391" s="81"/>
      <c r="AG391" s="81"/>
      <c r="AH391" s="81"/>
      <c r="AI391" s="81" t="s">
        <v>2407</v>
      </c>
      <c r="AJ391" s="85">
        <v>40270.027280092596</v>
      </c>
      <c r="AK391" s="83" t="str">
        <f>HYPERLINK("https://yt3.ggpht.com/ytc/AOPolaTN8DhLbTAMGV-sX6hoVPqkgReIVEfZrMvkmg=s88-c-k-c0x00ffffff-no-rj")</f>
        <v>https://yt3.ggpht.com/ytc/AOPolaTN8DhLbTAMGV-sX6hoVPqkgReIVEfZrMvkmg=s88-c-k-c0x00ffffff-no-rj</v>
      </c>
      <c r="AL391" s="81">
        <v>2142</v>
      </c>
      <c r="AM391" s="81">
        <v>0</v>
      </c>
      <c r="AN391" s="81">
        <v>1</v>
      </c>
      <c r="AO391" s="81" t="b">
        <v>0</v>
      </c>
      <c r="AP391" s="81">
        <v>2</v>
      </c>
      <c r="AQ391" s="81"/>
      <c r="AR391" s="81"/>
      <c r="AS391" s="81" t="s">
        <v>2571</v>
      </c>
      <c r="AT391" s="83" t="str">
        <f>HYPERLINK("https://www.youtube.com/channel/UCRfK4-iCXd6kUqe63s6TlhA")</f>
        <v>https://www.youtube.com/channel/UCRfK4-iCXd6kUqe63s6TlhA</v>
      </c>
      <c r="AU391" s="81">
        <v>1</v>
      </c>
      <c r="AV391" s="49">
        <v>1</v>
      </c>
      <c r="AW391" s="50">
        <v>4.166666666666667</v>
      </c>
      <c r="AX391" s="49">
        <v>1</v>
      </c>
      <c r="AY391" s="50">
        <v>4.166666666666667</v>
      </c>
      <c r="AZ391" s="49">
        <v>0</v>
      </c>
      <c r="BA391" s="50">
        <v>0</v>
      </c>
      <c r="BB391" s="49">
        <v>6</v>
      </c>
      <c r="BC391" s="50">
        <v>25</v>
      </c>
      <c r="BD391" s="49">
        <v>24</v>
      </c>
      <c r="BE391" s="49"/>
      <c r="BF391" s="49"/>
      <c r="BG391" s="49"/>
      <c r="BH391" s="49"/>
      <c r="BI391" s="49"/>
      <c r="BJ391" s="49"/>
      <c r="BK391" s="115" t="s">
        <v>2921</v>
      </c>
      <c r="BL391" s="115" t="s">
        <v>2921</v>
      </c>
      <c r="BM391" s="115" t="s">
        <v>3372</v>
      </c>
      <c r="BN391" s="115" t="s">
        <v>3372</v>
      </c>
      <c r="BO391" s="2"/>
      <c r="BP391" s="3"/>
      <c r="BQ391" s="3"/>
      <c r="BR391" s="3"/>
      <c r="BS391" s="3"/>
    </row>
    <row r="392" spans="1:71" ht="15">
      <c r="A392" s="66" t="s">
        <v>609</v>
      </c>
      <c r="B392" s="67"/>
      <c r="C392" s="67"/>
      <c r="D392" s="68">
        <v>150</v>
      </c>
      <c r="E392" s="70"/>
      <c r="F392" s="102" t="str">
        <f>HYPERLINK("https://yt3.ggpht.com/ytc/AOPolaSQGhiNKaSkjBqD-3e92A0c2A3WnLT-gEig3w=s88-c-k-c0x00ffffff-no-rj")</f>
        <v>https://yt3.ggpht.com/ytc/AOPolaSQGhiNKaSkjBqD-3e92A0c2A3WnLT-gEig3w=s88-c-k-c0x00ffffff-no-rj</v>
      </c>
      <c r="G392" s="67"/>
      <c r="H392" s="71" t="s">
        <v>1682</v>
      </c>
      <c r="I392" s="72"/>
      <c r="J392" s="72" t="s">
        <v>159</v>
      </c>
      <c r="K392" s="71" t="s">
        <v>1682</v>
      </c>
      <c r="L392" s="75">
        <v>1</v>
      </c>
      <c r="M392" s="76">
        <v>1010.4459228515625</v>
      </c>
      <c r="N392" s="76">
        <v>9007.8193359375</v>
      </c>
      <c r="O392" s="77"/>
      <c r="P392" s="78"/>
      <c r="Q392" s="78"/>
      <c r="R392" s="88"/>
      <c r="S392" s="49">
        <v>0</v>
      </c>
      <c r="T392" s="49">
        <v>1</v>
      </c>
      <c r="U392" s="50">
        <v>0</v>
      </c>
      <c r="V392" s="50">
        <v>0.177728</v>
      </c>
      <c r="W392" s="50">
        <v>0.049759</v>
      </c>
      <c r="X392" s="50">
        <v>0.001579</v>
      </c>
      <c r="Y392" s="50">
        <v>0</v>
      </c>
      <c r="Z392" s="50">
        <v>0</v>
      </c>
      <c r="AA392" s="73">
        <v>392</v>
      </c>
      <c r="AB392" s="73"/>
      <c r="AC392" s="74"/>
      <c r="AD392" s="81" t="s">
        <v>1682</v>
      </c>
      <c r="AE392" s="81"/>
      <c r="AF392" s="81"/>
      <c r="AG392" s="81"/>
      <c r="AH392" s="81"/>
      <c r="AI392" s="81" t="s">
        <v>2408</v>
      </c>
      <c r="AJ392" s="85">
        <v>40789.11740740741</v>
      </c>
      <c r="AK392" s="83" t="str">
        <f>HYPERLINK("https://yt3.ggpht.com/ytc/AOPolaSQGhiNKaSkjBqD-3e92A0c2A3WnLT-gEig3w=s88-c-k-c0x00ffffff-no-rj")</f>
        <v>https://yt3.ggpht.com/ytc/AOPolaSQGhiNKaSkjBqD-3e92A0c2A3WnLT-gEig3w=s88-c-k-c0x00ffffff-no-rj</v>
      </c>
      <c r="AL392" s="81">
        <v>0</v>
      </c>
      <c r="AM392" s="81">
        <v>0</v>
      </c>
      <c r="AN392" s="81">
        <v>3</v>
      </c>
      <c r="AO392" s="81" t="b">
        <v>0</v>
      </c>
      <c r="AP392" s="81">
        <v>0</v>
      </c>
      <c r="AQ392" s="81"/>
      <c r="AR392" s="81"/>
      <c r="AS392" s="81" t="s">
        <v>2571</v>
      </c>
      <c r="AT392" s="83" t="str">
        <f>HYPERLINK("https://www.youtube.com/channel/UCRbpHc-o1zXXfeqMbQXeV3w")</f>
        <v>https://www.youtube.com/channel/UCRbpHc-o1zXXfeqMbQXeV3w</v>
      </c>
      <c r="AU392" s="81">
        <v>1</v>
      </c>
      <c r="AV392" s="49">
        <v>0</v>
      </c>
      <c r="AW392" s="50">
        <v>0</v>
      </c>
      <c r="AX392" s="49">
        <v>0</v>
      </c>
      <c r="AY392" s="50">
        <v>0</v>
      </c>
      <c r="AZ392" s="49">
        <v>0</v>
      </c>
      <c r="BA392" s="50">
        <v>0</v>
      </c>
      <c r="BB392" s="49">
        <v>1</v>
      </c>
      <c r="BC392" s="50">
        <v>100</v>
      </c>
      <c r="BD392" s="49">
        <v>1</v>
      </c>
      <c r="BE392" s="49"/>
      <c r="BF392" s="49"/>
      <c r="BG392" s="49"/>
      <c r="BH392" s="49"/>
      <c r="BI392" s="49"/>
      <c r="BJ392" s="49"/>
      <c r="BK392" s="115" t="s">
        <v>2922</v>
      </c>
      <c r="BL392" s="115" t="s">
        <v>2922</v>
      </c>
      <c r="BM392" s="115" t="s">
        <v>4477</v>
      </c>
      <c r="BN392" s="115" t="s">
        <v>4477</v>
      </c>
      <c r="BO392" s="2"/>
      <c r="BP392" s="3"/>
      <c r="BQ392" s="3"/>
      <c r="BR392" s="3"/>
      <c r="BS392" s="3"/>
    </row>
    <row r="393" spans="1:71" ht="15">
      <c r="A393" s="66" t="s">
        <v>610</v>
      </c>
      <c r="B393" s="67"/>
      <c r="C393" s="67"/>
      <c r="D393" s="68">
        <v>150</v>
      </c>
      <c r="E393" s="70"/>
      <c r="F393" s="102" t="str">
        <f>HYPERLINK("https://yt3.ggpht.com/ytc/AOPolaQ0ZA9VliMOwSejpM_bHPF3r5E8PCAQ5Cz-UHwZXB8iSH5RJH8O9VK0Ff_4WsdQ=s88-c-k-c0x00ffffff-no-rj")</f>
        <v>https://yt3.ggpht.com/ytc/AOPolaQ0ZA9VliMOwSejpM_bHPF3r5E8PCAQ5Cz-UHwZXB8iSH5RJH8O9VK0Ff_4WsdQ=s88-c-k-c0x00ffffff-no-rj</v>
      </c>
      <c r="G393" s="67"/>
      <c r="H393" s="71" t="s">
        <v>1683</v>
      </c>
      <c r="I393" s="72"/>
      <c r="J393" s="72" t="s">
        <v>159</v>
      </c>
      <c r="K393" s="71" t="s">
        <v>1683</v>
      </c>
      <c r="L393" s="75">
        <v>1</v>
      </c>
      <c r="M393" s="76">
        <v>5270.1142578125</v>
      </c>
      <c r="N393" s="76">
        <v>5331.666015625</v>
      </c>
      <c r="O393" s="77"/>
      <c r="P393" s="78"/>
      <c r="Q393" s="78"/>
      <c r="R393" s="88"/>
      <c r="S393" s="49">
        <v>0</v>
      </c>
      <c r="T393" s="49">
        <v>1</v>
      </c>
      <c r="U393" s="50">
        <v>0</v>
      </c>
      <c r="V393" s="50">
        <v>0.177728</v>
      </c>
      <c r="W393" s="50">
        <v>0.049759</v>
      </c>
      <c r="X393" s="50">
        <v>0.001579</v>
      </c>
      <c r="Y393" s="50">
        <v>0</v>
      </c>
      <c r="Z393" s="50">
        <v>0</v>
      </c>
      <c r="AA393" s="73">
        <v>393</v>
      </c>
      <c r="AB393" s="73"/>
      <c r="AC393" s="74"/>
      <c r="AD393" s="81" t="s">
        <v>1683</v>
      </c>
      <c r="AE393" s="81"/>
      <c r="AF393" s="81"/>
      <c r="AG393" s="81"/>
      <c r="AH393" s="81"/>
      <c r="AI393" s="81" t="s">
        <v>2409</v>
      </c>
      <c r="AJ393" s="85">
        <v>45096.59929398148</v>
      </c>
      <c r="AK393" s="83" t="str">
        <f>HYPERLINK("https://yt3.ggpht.com/ytc/AOPolaQ0ZA9VliMOwSejpM_bHPF3r5E8PCAQ5Cz-UHwZXB8iSH5RJH8O9VK0Ff_4WsdQ=s88-c-k-c0x00ffffff-no-rj")</f>
        <v>https://yt3.ggpht.com/ytc/AOPolaQ0ZA9VliMOwSejpM_bHPF3r5E8PCAQ5Cz-UHwZXB8iSH5RJH8O9VK0Ff_4WsdQ=s88-c-k-c0x00ffffff-no-rj</v>
      </c>
      <c r="AL393" s="81">
        <v>0</v>
      </c>
      <c r="AM393" s="81">
        <v>0</v>
      </c>
      <c r="AN393" s="81">
        <v>0</v>
      </c>
      <c r="AO393" s="81" t="b">
        <v>0</v>
      </c>
      <c r="AP393" s="81">
        <v>0</v>
      </c>
      <c r="AQ393" s="81"/>
      <c r="AR393" s="81"/>
      <c r="AS393" s="81" t="s">
        <v>2571</v>
      </c>
      <c r="AT393" s="83" t="str">
        <f>HYPERLINK("https://www.youtube.com/channel/UCw2zFkGgV9x7h56OWzIhsQw")</f>
        <v>https://www.youtube.com/channel/UCw2zFkGgV9x7h56OWzIhsQw</v>
      </c>
      <c r="AU393" s="81">
        <v>1</v>
      </c>
      <c r="AV393" s="49">
        <v>1</v>
      </c>
      <c r="AW393" s="50">
        <v>3.0303030303030303</v>
      </c>
      <c r="AX393" s="49">
        <v>3</v>
      </c>
      <c r="AY393" s="50">
        <v>9.090909090909092</v>
      </c>
      <c r="AZ393" s="49">
        <v>0</v>
      </c>
      <c r="BA393" s="50">
        <v>0</v>
      </c>
      <c r="BB393" s="49">
        <v>9</v>
      </c>
      <c r="BC393" s="50">
        <v>27.272727272727273</v>
      </c>
      <c r="BD393" s="49">
        <v>33</v>
      </c>
      <c r="BE393" s="49"/>
      <c r="BF393" s="49"/>
      <c r="BG393" s="49"/>
      <c r="BH393" s="49"/>
      <c r="BI393" s="49"/>
      <c r="BJ393" s="49"/>
      <c r="BK393" s="115" t="s">
        <v>2923</v>
      </c>
      <c r="BL393" s="115" t="s">
        <v>2923</v>
      </c>
      <c r="BM393" s="115" t="s">
        <v>3373</v>
      </c>
      <c r="BN393" s="115" t="s">
        <v>3373</v>
      </c>
      <c r="BO393" s="2"/>
      <c r="BP393" s="3"/>
      <c r="BQ393" s="3"/>
      <c r="BR393" s="3"/>
      <c r="BS393" s="3"/>
    </row>
    <row r="394" spans="1:71" ht="15">
      <c r="A394" s="66" t="s">
        <v>611</v>
      </c>
      <c r="B394" s="67"/>
      <c r="C394" s="67"/>
      <c r="D394" s="68">
        <v>150</v>
      </c>
      <c r="E394" s="70"/>
      <c r="F394" s="102" t="str">
        <f>HYPERLINK("https://yt3.ggpht.com/ytc/AOPolaRfEZdTFAaXLoIfcpP-5thwRb08Vbmqdz-cIEseqg=s88-c-k-c0x00ffffff-no-rj")</f>
        <v>https://yt3.ggpht.com/ytc/AOPolaRfEZdTFAaXLoIfcpP-5thwRb08Vbmqdz-cIEseqg=s88-c-k-c0x00ffffff-no-rj</v>
      </c>
      <c r="G394" s="67"/>
      <c r="H394" s="71" t="s">
        <v>1684</v>
      </c>
      <c r="I394" s="72"/>
      <c r="J394" s="72" t="s">
        <v>159</v>
      </c>
      <c r="K394" s="71" t="s">
        <v>1684</v>
      </c>
      <c r="L394" s="75">
        <v>1</v>
      </c>
      <c r="M394" s="76">
        <v>2666.148681640625</v>
      </c>
      <c r="N394" s="76">
        <v>6800.76806640625</v>
      </c>
      <c r="O394" s="77"/>
      <c r="P394" s="78"/>
      <c r="Q394" s="78"/>
      <c r="R394" s="88"/>
      <c r="S394" s="49">
        <v>0</v>
      </c>
      <c r="T394" s="49">
        <v>1</v>
      </c>
      <c r="U394" s="50">
        <v>0</v>
      </c>
      <c r="V394" s="50">
        <v>0.177728</v>
      </c>
      <c r="W394" s="50">
        <v>0.049759</v>
      </c>
      <c r="X394" s="50">
        <v>0.001579</v>
      </c>
      <c r="Y394" s="50">
        <v>0</v>
      </c>
      <c r="Z394" s="50">
        <v>0</v>
      </c>
      <c r="AA394" s="73">
        <v>394</v>
      </c>
      <c r="AB394" s="73"/>
      <c r="AC394" s="74"/>
      <c r="AD394" s="81" t="s">
        <v>1684</v>
      </c>
      <c r="AE394" s="81" t="s">
        <v>1986</v>
      </c>
      <c r="AF394" s="81"/>
      <c r="AG394" s="81"/>
      <c r="AH394" s="81"/>
      <c r="AI394" s="81" t="s">
        <v>2410</v>
      </c>
      <c r="AJ394" s="85">
        <v>42892.84340277778</v>
      </c>
      <c r="AK394" s="83" t="str">
        <f>HYPERLINK("https://yt3.ggpht.com/ytc/AOPolaRfEZdTFAaXLoIfcpP-5thwRb08Vbmqdz-cIEseqg=s88-c-k-c0x00ffffff-no-rj")</f>
        <v>https://yt3.ggpht.com/ytc/AOPolaRfEZdTFAaXLoIfcpP-5thwRb08Vbmqdz-cIEseqg=s88-c-k-c0x00ffffff-no-rj</v>
      </c>
      <c r="AL394" s="81">
        <v>81391</v>
      </c>
      <c r="AM394" s="81">
        <v>0</v>
      </c>
      <c r="AN394" s="81">
        <v>443</v>
      </c>
      <c r="AO394" s="81" t="b">
        <v>0</v>
      </c>
      <c r="AP394" s="81">
        <v>26</v>
      </c>
      <c r="AQ394" s="81"/>
      <c r="AR394" s="81"/>
      <c r="AS394" s="81" t="s">
        <v>2571</v>
      </c>
      <c r="AT394" s="83" t="str">
        <f>HYPERLINK("https://www.youtube.com/channel/UCO2xUZoK5RDyNukqo6gxuYw")</f>
        <v>https://www.youtube.com/channel/UCO2xUZoK5RDyNukqo6gxuYw</v>
      </c>
      <c r="AU394" s="81">
        <v>1</v>
      </c>
      <c r="AV394" s="49">
        <v>0</v>
      </c>
      <c r="AW394" s="50">
        <v>0</v>
      </c>
      <c r="AX394" s="49">
        <v>0</v>
      </c>
      <c r="AY394" s="50">
        <v>0</v>
      </c>
      <c r="AZ394" s="49">
        <v>0</v>
      </c>
      <c r="BA394" s="50">
        <v>0</v>
      </c>
      <c r="BB394" s="49">
        <v>2</v>
      </c>
      <c r="BC394" s="50">
        <v>100</v>
      </c>
      <c r="BD394" s="49">
        <v>2</v>
      </c>
      <c r="BE394" s="49"/>
      <c r="BF394" s="49"/>
      <c r="BG394" s="49"/>
      <c r="BH394" s="49"/>
      <c r="BI394" s="49"/>
      <c r="BJ394" s="49"/>
      <c r="BK394" s="115" t="s">
        <v>2924</v>
      </c>
      <c r="BL394" s="115" t="s">
        <v>2924</v>
      </c>
      <c r="BM394" s="115" t="s">
        <v>3374</v>
      </c>
      <c r="BN394" s="115" t="s">
        <v>3374</v>
      </c>
      <c r="BO394" s="2"/>
      <c r="BP394" s="3"/>
      <c r="BQ394" s="3"/>
      <c r="BR394" s="3"/>
      <c r="BS394" s="3"/>
    </row>
    <row r="395" spans="1:71" ht="15">
      <c r="A395" s="66" t="s">
        <v>612</v>
      </c>
      <c r="B395" s="67"/>
      <c r="C395" s="67"/>
      <c r="D395" s="68">
        <v>150</v>
      </c>
      <c r="E395" s="70"/>
      <c r="F395" s="102" t="str">
        <f>HYPERLINK("https://yt3.ggpht.com/ytc/AOPolaSCAyTUyB7_D2lQRSrkXyO8_5UTpaMPoOAnOSUbUw=s88-c-k-c0x00ffffff-no-rj")</f>
        <v>https://yt3.ggpht.com/ytc/AOPolaSCAyTUyB7_D2lQRSrkXyO8_5UTpaMPoOAnOSUbUw=s88-c-k-c0x00ffffff-no-rj</v>
      </c>
      <c r="G395" s="67"/>
      <c r="H395" s="71" t="s">
        <v>1685</v>
      </c>
      <c r="I395" s="72"/>
      <c r="J395" s="72" t="s">
        <v>159</v>
      </c>
      <c r="K395" s="71" t="s">
        <v>1685</v>
      </c>
      <c r="L395" s="75">
        <v>1</v>
      </c>
      <c r="M395" s="76">
        <v>2882.88232421875</v>
      </c>
      <c r="N395" s="76">
        <v>7462.9150390625</v>
      </c>
      <c r="O395" s="77"/>
      <c r="P395" s="78"/>
      <c r="Q395" s="78"/>
      <c r="R395" s="88"/>
      <c r="S395" s="49">
        <v>0</v>
      </c>
      <c r="T395" s="49">
        <v>1</v>
      </c>
      <c r="U395" s="50">
        <v>0</v>
      </c>
      <c r="V395" s="50">
        <v>0.177728</v>
      </c>
      <c r="W395" s="50">
        <v>0.049759</v>
      </c>
      <c r="X395" s="50">
        <v>0.001579</v>
      </c>
      <c r="Y395" s="50">
        <v>0</v>
      </c>
      <c r="Z395" s="50">
        <v>0</v>
      </c>
      <c r="AA395" s="73">
        <v>395</v>
      </c>
      <c r="AB395" s="73"/>
      <c r="AC395" s="74"/>
      <c r="AD395" s="81" t="s">
        <v>1685</v>
      </c>
      <c r="AE395" s="81"/>
      <c r="AF395" s="81"/>
      <c r="AG395" s="81"/>
      <c r="AH395" s="81"/>
      <c r="AI395" s="81" t="s">
        <v>2411</v>
      </c>
      <c r="AJ395" s="85">
        <v>40860.05594907407</v>
      </c>
      <c r="AK395" s="83" t="str">
        <f>HYPERLINK("https://yt3.ggpht.com/ytc/AOPolaSCAyTUyB7_D2lQRSrkXyO8_5UTpaMPoOAnOSUbUw=s88-c-k-c0x00ffffff-no-rj")</f>
        <v>https://yt3.ggpht.com/ytc/AOPolaSCAyTUyB7_D2lQRSrkXyO8_5UTpaMPoOAnOSUbUw=s88-c-k-c0x00ffffff-no-rj</v>
      </c>
      <c r="AL395" s="81">
        <v>0</v>
      </c>
      <c r="AM395" s="81">
        <v>0</v>
      </c>
      <c r="AN395" s="81">
        <v>2</v>
      </c>
      <c r="AO395" s="81" t="b">
        <v>0</v>
      </c>
      <c r="AP395" s="81">
        <v>0</v>
      </c>
      <c r="AQ395" s="81"/>
      <c r="AR395" s="81"/>
      <c r="AS395" s="81" t="s">
        <v>2571</v>
      </c>
      <c r="AT395" s="83" t="str">
        <f>HYPERLINK("https://www.youtube.com/channel/UCDCiRw1N5YI3MvkPzOMM0iA")</f>
        <v>https://www.youtube.com/channel/UCDCiRw1N5YI3MvkPzOMM0iA</v>
      </c>
      <c r="AU395" s="81">
        <v>1</v>
      </c>
      <c r="AV395" s="49">
        <v>0</v>
      </c>
      <c r="AW395" s="50">
        <v>0</v>
      </c>
      <c r="AX395" s="49">
        <v>1</v>
      </c>
      <c r="AY395" s="50">
        <v>10</v>
      </c>
      <c r="AZ395" s="49">
        <v>0</v>
      </c>
      <c r="BA395" s="50">
        <v>0</v>
      </c>
      <c r="BB395" s="49">
        <v>3</v>
      </c>
      <c r="BC395" s="50">
        <v>30</v>
      </c>
      <c r="BD395" s="49">
        <v>10</v>
      </c>
      <c r="BE395" s="49"/>
      <c r="BF395" s="49"/>
      <c r="BG395" s="49"/>
      <c r="BH395" s="49"/>
      <c r="BI395" s="49"/>
      <c r="BJ395" s="49"/>
      <c r="BK395" s="115" t="s">
        <v>2925</v>
      </c>
      <c r="BL395" s="115" t="s">
        <v>2925</v>
      </c>
      <c r="BM395" s="115" t="s">
        <v>3375</v>
      </c>
      <c r="BN395" s="115" t="s">
        <v>3375</v>
      </c>
      <c r="BO395" s="2"/>
      <c r="BP395" s="3"/>
      <c r="BQ395" s="3"/>
      <c r="BR395" s="3"/>
      <c r="BS395" s="3"/>
    </row>
    <row r="396" spans="1:71" ht="15">
      <c r="A396" s="66" t="s">
        <v>613</v>
      </c>
      <c r="B396" s="67"/>
      <c r="C396" s="67"/>
      <c r="D396" s="68">
        <v>150</v>
      </c>
      <c r="E396" s="70"/>
      <c r="F396" s="102" t="str">
        <f>HYPERLINK("https://yt3.ggpht.com/ytc/AOPolaRogaBOor0CcTAUfXeOZuWbjg179qFhnp5jI1BOMw=s88-c-k-c0x00ffffff-no-rj")</f>
        <v>https://yt3.ggpht.com/ytc/AOPolaRogaBOor0CcTAUfXeOZuWbjg179qFhnp5jI1BOMw=s88-c-k-c0x00ffffff-no-rj</v>
      </c>
      <c r="G396" s="67"/>
      <c r="H396" s="71" t="s">
        <v>1686</v>
      </c>
      <c r="I396" s="72"/>
      <c r="J396" s="72" t="s">
        <v>159</v>
      </c>
      <c r="K396" s="71" t="s">
        <v>1686</v>
      </c>
      <c r="L396" s="75">
        <v>1</v>
      </c>
      <c r="M396" s="76">
        <v>1437.0880126953125</v>
      </c>
      <c r="N396" s="76">
        <v>6982.99609375</v>
      </c>
      <c r="O396" s="77"/>
      <c r="P396" s="78"/>
      <c r="Q396" s="78"/>
      <c r="R396" s="88"/>
      <c r="S396" s="49">
        <v>0</v>
      </c>
      <c r="T396" s="49">
        <v>1</v>
      </c>
      <c r="U396" s="50">
        <v>0</v>
      </c>
      <c r="V396" s="50">
        <v>0.177728</v>
      </c>
      <c r="W396" s="50">
        <v>0.049759</v>
      </c>
      <c r="X396" s="50">
        <v>0.001579</v>
      </c>
      <c r="Y396" s="50">
        <v>0</v>
      </c>
      <c r="Z396" s="50">
        <v>0</v>
      </c>
      <c r="AA396" s="73">
        <v>396</v>
      </c>
      <c r="AB396" s="73"/>
      <c r="AC396" s="74"/>
      <c r="AD396" s="81" t="s">
        <v>1686</v>
      </c>
      <c r="AE396" s="81"/>
      <c r="AF396" s="81"/>
      <c r="AG396" s="81"/>
      <c r="AH396" s="81"/>
      <c r="AI396" s="81" t="s">
        <v>2412</v>
      </c>
      <c r="AJ396" s="85">
        <v>41998.69556712963</v>
      </c>
      <c r="AK396" s="83" t="str">
        <f>HYPERLINK("https://yt3.ggpht.com/ytc/AOPolaRogaBOor0CcTAUfXeOZuWbjg179qFhnp5jI1BOMw=s88-c-k-c0x00ffffff-no-rj")</f>
        <v>https://yt3.ggpht.com/ytc/AOPolaRogaBOor0CcTAUfXeOZuWbjg179qFhnp5jI1BOMw=s88-c-k-c0x00ffffff-no-rj</v>
      </c>
      <c r="AL396" s="81">
        <v>0</v>
      </c>
      <c r="AM396" s="81">
        <v>0</v>
      </c>
      <c r="AN396" s="81">
        <v>1</v>
      </c>
      <c r="AO396" s="81" t="b">
        <v>0</v>
      </c>
      <c r="AP396" s="81">
        <v>0</v>
      </c>
      <c r="AQ396" s="81"/>
      <c r="AR396" s="81"/>
      <c r="AS396" s="81" t="s">
        <v>2571</v>
      </c>
      <c r="AT396" s="83" t="str">
        <f>HYPERLINK("https://www.youtube.com/channel/UCWbtHCdm7dHwaxI3apWk0tQ")</f>
        <v>https://www.youtube.com/channel/UCWbtHCdm7dHwaxI3apWk0tQ</v>
      </c>
      <c r="AU396" s="81">
        <v>1</v>
      </c>
      <c r="AV396" s="49">
        <v>0</v>
      </c>
      <c r="AW396" s="50">
        <v>0</v>
      </c>
      <c r="AX396" s="49">
        <v>0</v>
      </c>
      <c r="AY396" s="50">
        <v>0</v>
      </c>
      <c r="AZ396" s="49">
        <v>0</v>
      </c>
      <c r="BA396" s="50">
        <v>0</v>
      </c>
      <c r="BB396" s="49">
        <v>3</v>
      </c>
      <c r="BC396" s="50">
        <v>30</v>
      </c>
      <c r="BD396" s="49">
        <v>10</v>
      </c>
      <c r="BE396" s="49"/>
      <c r="BF396" s="49"/>
      <c r="BG396" s="49"/>
      <c r="BH396" s="49"/>
      <c r="BI396" s="49"/>
      <c r="BJ396" s="49"/>
      <c r="BK396" s="115" t="s">
        <v>2926</v>
      </c>
      <c r="BL396" s="115" t="s">
        <v>2926</v>
      </c>
      <c r="BM396" s="115" t="s">
        <v>3376</v>
      </c>
      <c r="BN396" s="115" t="s">
        <v>3376</v>
      </c>
      <c r="BO396" s="2"/>
      <c r="BP396" s="3"/>
      <c r="BQ396" s="3"/>
      <c r="BR396" s="3"/>
      <c r="BS396" s="3"/>
    </row>
    <row r="397" spans="1:71" ht="15">
      <c r="A397" s="66" t="s">
        <v>614</v>
      </c>
      <c r="B397" s="67"/>
      <c r="C397" s="67"/>
      <c r="D397" s="68">
        <v>150</v>
      </c>
      <c r="E397" s="70"/>
      <c r="F397" s="102" t="str">
        <f>HYPERLINK("https://yt3.ggpht.com/ytc/AOPolaRQpyF3cJz7rJwiSfKP9hMv6lw3i9FneVc87w=s88-c-k-c0x00ffffff-no-rj")</f>
        <v>https://yt3.ggpht.com/ytc/AOPolaRQpyF3cJz7rJwiSfKP9hMv6lw3i9FneVc87w=s88-c-k-c0x00ffffff-no-rj</v>
      </c>
      <c r="G397" s="67"/>
      <c r="H397" s="71" t="s">
        <v>1687</v>
      </c>
      <c r="I397" s="72"/>
      <c r="J397" s="72" t="s">
        <v>159</v>
      </c>
      <c r="K397" s="71" t="s">
        <v>1687</v>
      </c>
      <c r="L397" s="75">
        <v>1</v>
      </c>
      <c r="M397" s="76">
        <v>5700.0146484375</v>
      </c>
      <c r="N397" s="76">
        <v>6897.4755859375</v>
      </c>
      <c r="O397" s="77"/>
      <c r="P397" s="78"/>
      <c r="Q397" s="78"/>
      <c r="R397" s="88"/>
      <c r="S397" s="49">
        <v>0</v>
      </c>
      <c r="T397" s="49">
        <v>1</v>
      </c>
      <c r="U397" s="50">
        <v>0</v>
      </c>
      <c r="V397" s="50">
        <v>0.177728</v>
      </c>
      <c r="W397" s="50">
        <v>0.049759</v>
      </c>
      <c r="X397" s="50">
        <v>0.001579</v>
      </c>
      <c r="Y397" s="50">
        <v>0</v>
      </c>
      <c r="Z397" s="50">
        <v>0</v>
      </c>
      <c r="AA397" s="73">
        <v>397</v>
      </c>
      <c r="AB397" s="73"/>
      <c r="AC397" s="74"/>
      <c r="AD397" s="81" t="s">
        <v>1687</v>
      </c>
      <c r="AE397" s="81"/>
      <c r="AF397" s="81"/>
      <c r="AG397" s="81"/>
      <c r="AH397" s="81"/>
      <c r="AI397" s="81" t="s">
        <v>2413</v>
      </c>
      <c r="AJ397" s="85">
        <v>39001.385775462964</v>
      </c>
      <c r="AK397" s="83" t="str">
        <f>HYPERLINK("https://yt3.ggpht.com/ytc/AOPolaRQpyF3cJz7rJwiSfKP9hMv6lw3i9FneVc87w=s88-c-k-c0x00ffffff-no-rj")</f>
        <v>https://yt3.ggpht.com/ytc/AOPolaRQpyF3cJz7rJwiSfKP9hMv6lw3i9FneVc87w=s88-c-k-c0x00ffffff-no-rj</v>
      </c>
      <c r="AL397" s="81">
        <v>0</v>
      </c>
      <c r="AM397" s="81">
        <v>0</v>
      </c>
      <c r="AN397" s="81">
        <v>5</v>
      </c>
      <c r="AO397" s="81" t="b">
        <v>0</v>
      </c>
      <c r="AP397" s="81">
        <v>0</v>
      </c>
      <c r="AQ397" s="81"/>
      <c r="AR397" s="81"/>
      <c r="AS397" s="81" t="s">
        <v>2571</v>
      </c>
      <c r="AT397" s="83" t="str">
        <f>HYPERLINK("https://www.youtube.com/channel/UCKcoMTqxz7Qj8WdRIF6r7iA")</f>
        <v>https://www.youtube.com/channel/UCKcoMTqxz7Qj8WdRIF6r7iA</v>
      </c>
      <c r="AU397" s="81">
        <v>1</v>
      </c>
      <c r="AV397" s="49">
        <v>0</v>
      </c>
      <c r="AW397" s="50">
        <v>0</v>
      </c>
      <c r="AX397" s="49">
        <v>0</v>
      </c>
      <c r="AY397" s="50">
        <v>0</v>
      </c>
      <c r="AZ397" s="49">
        <v>0</v>
      </c>
      <c r="BA397" s="50">
        <v>0</v>
      </c>
      <c r="BB397" s="49">
        <v>1</v>
      </c>
      <c r="BC397" s="50">
        <v>33.333333333333336</v>
      </c>
      <c r="BD397" s="49">
        <v>3</v>
      </c>
      <c r="BE397" s="49"/>
      <c r="BF397" s="49"/>
      <c r="BG397" s="49"/>
      <c r="BH397" s="49"/>
      <c r="BI397" s="49"/>
      <c r="BJ397" s="49"/>
      <c r="BK397" s="115" t="s">
        <v>2927</v>
      </c>
      <c r="BL397" s="115" t="s">
        <v>2927</v>
      </c>
      <c r="BM397" s="115" t="s">
        <v>4477</v>
      </c>
      <c r="BN397" s="115" t="s">
        <v>4477</v>
      </c>
      <c r="BO397" s="2"/>
      <c r="BP397" s="3"/>
      <c r="BQ397" s="3"/>
      <c r="BR397" s="3"/>
      <c r="BS397" s="3"/>
    </row>
    <row r="398" spans="1:71" ht="15">
      <c r="A398" s="66" t="s">
        <v>615</v>
      </c>
      <c r="B398" s="67"/>
      <c r="C398" s="67"/>
      <c r="D398" s="68">
        <v>150</v>
      </c>
      <c r="E398" s="70"/>
      <c r="F398" s="102" t="str">
        <f>HYPERLINK("https://yt3.ggpht.com/ytc/AOPolaT4ljmw-SS9n9kMNkUxC3rllhouWMOqxgly43mmpA=s88-c-k-c0x00ffffff-no-rj")</f>
        <v>https://yt3.ggpht.com/ytc/AOPolaT4ljmw-SS9n9kMNkUxC3rllhouWMOqxgly43mmpA=s88-c-k-c0x00ffffff-no-rj</v>
      </c>
      <c r="G398" s="67"/>
      <c r="H398" s="71" t="s">
        <v>1688</v>
      </c>
      <c r="I398" s="72"/>
      <c r="J398" s="72" t="s">
        <v>159</v>
      </c>
      <c r="K398" s="71" t="s">
        <v>1688</v>
      </c>
      <c r="L398" s="75">
        <v>1</v>
      </c>
      <c r="M398" s="76">
        <v>3762.602294921875</v>
      </c>
      <c r="N398" s="76">
        <v>4850.64501953125</v>
      </c>
      <c r="O398" s="77"/>
      <c r="P398" s="78"/>
      <c r="Q398" s="78"/>
      <c r="R398" s="88"/>
      <c r="S398" s="49">
        <v>0</v>
      </c>
      <c r="T398" s="49">
        <v>1</v>
      </c>
      <c r="U398" s="50">
        <v>0</v>
      </c>
      <c r="V398" s="50">
        <v>0.177728</v>
      </c>
      <c r="W398" s="50">
        <v>0.049759</v>
      </c>
      <c r="X398" s="50">
        <v>0.001579</v>
      </c>
      <c r="Y398" s="50">
        <v>0</v>
      </c>
      <c r="Z398" s="50">
        <v>0</v>
      </c>
      <c r="AA398" s="73">
        <v>398</v>
      </c>
      <c r="AB398" s="73"/>
      <c r="AC398" s="74"/>
      <c r="AD398" s="81" t="s">
        <v>1688</v>
      </c>
      <c r="AE398" s="81"/>
      <c r="AF398" s="81"/>
      <c r="AG398" s="81"/>
      <c r="AH398" s="81"/>
      <c r="AI398" s="81" t="s">
        <v>2414</v>
      </c>
      <c r="AJ398" s="85">
        <v>42236.246469907404</v>
      </c>
      <c r="AK398" s="83" t="str">
        <f>HYPERLINK("https://yt3.ggpht.com/ytc/AOPolaT4ljmw-SS9n9kMNkUxC3rllhouWMOqxgly43mmpA=s88-c-k-c0x00ffffff-no-rj")</f>
        <v>https://yt3.ggpht.com/ytc/AOPolaT4ljmw-SS9n9kMNkUxC3rllhouWMOqxgly43mmpA=s88-c-k-c0x00ffffff-no-rj</v>
      </c>
      <c r="AL398" s="81">
        <v>0</v>
      </c>
      <c r="AM398" s="81">
        <v>0</v>
      </c>
      <c r="AN398" s="81">
        <v>0</v>
      </c>
      <c r="AO398" s="81" t="b">
        <v>0</v>
      </c>
      <c r="AP398" s="81">
        <v>0</v>
      </c>
      <c r="AQ398" s="81"/>
      <c r="AR398" s="81"/>
      <c r="AS398" s="81" t="s">
        <v>2571</v>
      </c>
      <c r="AT398" s="83" t="str">
        <f>HYPERLINK("https://www.youtube.com/channel/UCLbwznb7IXELp0YxtULXpMQ")</f>
        <v>https://www.youtube.com/channel/UCLbwznb7IXELp0YxtULXpMQ</v>
      </c>
      <c r="AU398" s="81">
        <v>1</v>
      </c>
      <c r="AV398" s="49">
        <v>0</v>
      </c>
      <c r="AW398" s="50">
        <v>0</v>
      </c>
      <c r="AX398" s="49">
        <v>0</v>
      </c>
      <c r="AY398" s="50">
        <v>0</v>
      </c>
      <c r="AZ398" s="49">
        <v>0</v>
      </c>
      <c r="BA398" s="50">
        <v>0</v>
      </c>
      <c r="BB398" s="49">
        <v>1</v>
      </c>
      <c r="BC398" s="50">
        <v>12.5</v>
      </c>
      <c r="BD398" s="49">
        <v>8</v>
      </c>
      <c r="BE398" s="49"/>
      <c r="BF398" s="49"/>
      <c r="BG398" s="49"/>
      <c r="BH398" s="49"/>
      <c r="BI398" s="49"/>
      <c r="BJ398" s="49"/>
      <c r="BK398" s="115" t="s">
        <v>2928</v>
      </c>
      <c r="BL398" s="115" t="s">
        <v>2928</v>
      </c>
      <c r="BM398" s="115" t="s">
        <v>4477</v>
      </c>
      <c r="BN398" s="115" t="s">
        <v>4477</v>
      </c>
      <c r="BO398" s="2"/>
      <c r="BP398" s="3"/>
      <c r="BQ398" s="3"/>
      <c r="BR398" s="3"/>
      <c r="BS398" s="3"/>
    </row>
    <row r="399" spans="1:71" ht="15">
      <c r="A399" s="66" t="s">
        <v>616</v>
      </c>
      <c r="B399" s="67"/>
      <c r="C399" s="67"/>
      <c r="D399" s="68">
        <v>150</v>
      </c>
      <c r="E399" s="70"/>
      <c r="F399" s="102" t="str">
        <f>HYPERLINK("https://yt3.ggpht.com/ytc/AOPolaQ6nyzuhJleJUA4R9UH4KmevD_pZOkHuXkbvthkA0vfIgPToRLfS_-CDdQzwE0Q=s88-c-k-c0x00ffffff-no-rj")</f>
        <v>https://yt3.ggpht.com/ytc/AOPolaQ6nyzuhJleJUA4R9UH4KmevD_pZOkHuXkbvthkA0vfIgPToRLfS_-CDdQzwE0Q=s88-c-k-c0x00ffffff-no-rj</v>
      </c>
      <c r="G399" s="67"/>
      <c r="H399" s="71" t="s">
        <v>1689</v>
      </c>
      <c r="I399" s="72"/>
      <c r="J399" s="72" t="s">
        <v>159</v>
      </c>
      <c r="K399" s="71" t="s">
        <v>1689</v>
      </c>
      <c r="L399" s="75">
        <v>1</v>
      </c>
      <c r="M399" s="76">
        <v>2431.78173828125</v>
      </c>
      <c r="N399" s="76">
        <v>6457.6630859375</v>
      </c>
      <c r="O399" s="77"/>
      <c r="P399" s="78"/>
      <c r="Q399" s="78"/>
      <c r="R399" s="88"/>
      <c r="S399" s="49">
        <v>0</v>
      </c>
      <c r="T399" s="49">
        <v>1</v>
      </c>
      <c r="U399" s="50">
        <v>0</v>
      </c>
      <c r="V399" s="50">
        <v>0.177728</v>
      </c>
      <c r="W399" s="50">
        <v>0.049759</v>
      </c>
      <c r="X399" s="50">
        <v>0.001579</v>
      </c>
      <c r="Y399" s="50">
        <v>0</v>
      </c>
      <c r="Z399" s="50">
        <v>0</v>
      </c>
      <c r="AA399" s="73">
        <v>399</v>
      </c>
      <c r="AB399" s="73"/>
      <c r="AC399" s="74"/>
      <c r="AD399" s="81" t="s">
        <v>1689</v>
      </c>
      <c r="AE399" s="81"/>
      <c r="AF399" s="81"/>
      <c r="AG399" s="81"/>
      <c r="AH399" s="81"/>
      <c r="AI399" s="81" t="s">
        <v>2415</v>
      </c>
      <c r="AJ399" s="85">
        <v>44826.778657407405</v>
      </c>
      <c r="AK399" s="83" t="str">
        <f>HYPERLINK("https://yt3.ggpht.com/ytc/AOPolaQ6nyzuhJleJUA4R9UH4KmevD_pZOkHuXkbvthkA0vfIgPToRLfS_-CDdQzwE0Q=s88-c-k-c0x00ffffff-no-rj")</f>
        <v>https://yt3.ggpht.com/ytc/AOPolaQ6nyzuhJleJUA4R9UH4KmevD_pZOkHuXkbvthkA0vfIgPToRLfS_-CDdQzwE0Q=s88-c-k-c0x00ffffff-no-rj</v>
      </c>
      <c r="AL399" s="81">
        <v>25</v>
      </c>
      <c r="AM399" s="81">
        <v>0</v>
      </c>
      <c r="AN399" s="81">
        <v>0</v>
      </c>
      <c r="AO399" s="81" t="b">
        <v>0</v>
      </c>
      <c r="AP399" s="81">
        <v>1</v>
      </c>
      <c r="AQ399" s="81"/>
      <c r="AR399" s="81"/>
      <c r="AS399" s="81" t="s">
        <v>2571</v>
      </c>
      <c r="AT399" s="83" t="str">
        <f>HYPERLINK("https://www.youtube.com/channel/UCqbTtfu9tQTvXsYsSfFFhzw")</f>
        <v>https://www.youtube.com/channel/UCqbTtfu9tQTvXsYsSfFFhzw</v>
      </c>
      <c r="AU399" s="81">
        <v>1</v>
      </c>
      <c r="AV399" s="49">
        <v>1</v>
      </c>
      <c r="AW399" s="50">
        <v>25</v>
      </c>
      <c r="AX399" s="49">
        <v>0</v>
      </c>
      <c r="AY399" s="50">
        <v>0</v>
      </c>
      <c r="AZ399" s="49">
        <v>0</v>
      </c>
      <c r="BA399" s="50">
        <v>0</v>
      </c>
      <c r="BB399" s="49">
        <v>1</v>
      </c>
      <c r="BC399" s="50">
        <v>25</v>
      </c>
      <c r="BD399" s="49">
        <v>4</v>
      </c>
      <c r="BE399" s="49"/>
      <c r="BF399" s="49"/>
      <c r="BG399" s="49"/>
      <c r="BH399" s="49"/>
      <c r="BI399" s="49"/>
      <c r="BJ399" s="49"/>
      <c r="BK399" s="115" t="s">
        <v>2929</v>
      </c>
      <c r="BL399" s="115" t="s">
        <v>2929</v>
      </c>
      <c r="BM399" s="115" t="s">
        <v>3377</v>
      </c>
      <c r="BN399" s="115" t="s">
        <v>3377</v>
      </c>
      <c r="BO399" s="2"/>
      <c r="BP399" s="3"/>
      <c r="BQ399" s="3"/>
      <c r="BR399" s="3"/>
      <c r="BS399" s="3"/>
    </row>
    <row r="400" spans="1:71" ht="15">
      <c r="A400" s="66" t="s">
        <v>617</v>
      </c>
      <c r="B400" s="67"/>
      <c r="C400" s="67"/>
      <c r="D400" s="68">
        <v>150</v>
      </c>
      <c r="E400" s="70"/>
      <c r="F400" s="102" t="str">
        <f>HYPERLINK("https://yt3.ggpht.com/GWLG5maIdizf9pBTCfprzChm8SYurFhY5QIPTw36iigNMgzixFuXUYws8fiyQfexZv0EHFsywA=s88-c-k-c0x00ffffff-no-rj")</f>
        <v>https://yt3.ggpht.com/GWLG5maIdizf9pBTCfprzChm8SYurFhY5QIPTw36iigNMgzixFuXUYws8fiyQfexZv0EHFsywA=s88-c-k-c0x00ffffff-no-rj</v>
      </c>
      <c r="G400" s="67"/>
      <c r="H400" s="71" t="s">
        <v>1690</v>
      </c>
      <c r="I400" s="72"/>
      <c r="J400" s="72" t="s">
        <v>159</v>
      </c>
      <c r="K400" s="71" t="s">
        <v>1690</v>
      </c>
      <c r="L400" s="75">
        <v>1</v>
      </c>
      <c r="M400" s="76">
        <v>3495.38330078125</v>
      </c>
      <c r="N400" s="76">
        <v>4468.67138671875</v>
      </c>
      <c r="O400" s="77"/>
      <c r="P400" s="78"/>
      <c r="Q400" s="78"/>
      <c r="R400" s="88"/>
      <c r="S400" s="49">
        <v>0</v>
      </c>
      <c r="T400" s="49">
        <v>1</v>
      </c>
      <c r="U400" s="50">
        <v>0</v>
      </c>
      <c r="V400" s="50">
        <v>0.177728</v>
      </c>
      <c r="W400" s="50">
        <v>0.049759</v>
      </c>
      <c r="X400" s="50">
        <v>0.001579</v>
      </c>
      <c r="Y400" s="50">
        <v>0</v>
      </c>
      <c r="Z400" s="50">
        <v>0</v>
      </c>
      <c r="AA400" s="73">
        <v>400</v>
      </c>
      <c r="AB400" s="73"/>
      <c r="AC400" s="74"/>
      <c r="AD400" s="81" t="s">
        <v>1690</v>
      </c>
      <c r="AE400" s="81"/>
      <c r="AF400" s="81"/>
      <c r="AG400" s="81"/>
      <c r="AH400" s="81"/>
      <c r="AI400" s="81" t="s">
        <v>2416</v>
      </c>
      <c r="AJ400" s="85">
        <v>38999.48607638889</v>
      </c>
      <c r="AK400" s="83" t="str">
        <f>HYPERLINK("https://yt3.ggpht.com/GWLG5maIdizf9pBTCfprzChm8SYurFhY5QIPTw36iigNMgzixFuXUYws8fiyQfexZv0EHFsywA=s88-c-k-c0x00ffffff-no-rj")</f>
        <v>https://yt3.ggpht.com/GWLG5maIdizf9pBTCfprzChm8SYurFhY5QIPTw36iigNMgzixFuXUYws8fiyQfexZv0EHFsywA=s88-c-k-c0x00ffffff-no-rj</v>
      </c>
      <c r="AL400" s="81">
        <v>374637</v>
      </c>
      <c r="AM400" s="81">
        <v>0</v>
      </c>
      <c r="AN400" s="81">
        <v>288</v>
      </c>
      <c r="AO400" s="81" t="b">
        <v>0</v>
      </c>
      <c r="AP400" s="81">
        <v>65</v>
      </c>
      <c r="AQ400" s="81"/>
      <c r="AR400" s="81"/>
      <c r="AS400" s="81" t="s">
        <v>2571</v>
      </c>
      <c r="AT400" s="83" t="str">
        <f>HYPERLINK("https://www.youtube.com/channel/UCIlsvXr6slgsp3xfEfzB8gg")</f>
        <v>https://www.youtube.com/channel/UCIlsvXr6slgsp3xfEfzB8gg</v>
      </c>
      <c r="AU400" s="81">
        <v>1</v>
      </c>
      <c r="AV400" s="49">
        <v>4</v>
      </c>
      <c r="AW400" s="50">
        <v>3.8095238095238093</v>
      </c>
      <c r="AX400" s="49">
        <v>2</v>
      </c>
      <c r="AY400" s="50">
        <v>1.9047619047619047</v>
      </c>
      <c r="AZ400" s="49">
        <v>0</v>
      </c>
      <c r="BA400" s="50">
        <v>0</v>
      </c>
      <c r="BB400" s="49">
        <v>24</v>
      </c>
      <c r="BC400" s="50">
        <v>22.857142857142858</v>
      </c>
      <c r="BD400" s="49">
        <v>105</v>
      </c>
      <c r="BE400" s="49"/>
      <c r="BF400" s="49"/>
      <c r="BG400" s="49"/>
      <c r="BH400" s="49"/>
      <c r="BI400" s="49"/>
      <c r="BJ400" s="49"/>
      <c r="BK400" s="115" t="s">
        <v>2930</v>
      </c>
      <c r="BL400" s="115" t="s">
        <v>2930</v>
      </c>
      <c r="BM400" s="115" t="s">
        <v>3378</v>
      </c>
      <c r="BN400" s="115" t="s">
        <v>3378</v>
      </c>
      <c r="BO400" s="2"/>
      <c r="BP400" s="3"/>
      <c r="BQ400" s="3"/>
      <c r="BR400" s="3"/>
      <c r="BS400" s="3"/>
    </row>
    <row r="401" spans="1:71" ht="15">
      <c r="A401" s="66" t="s">
        <v>618</v>
      </c>
      <c r="B401" s="67"/>
      <c r="C401" s="67"/>
      <c r="D401" s="68">
        <v>150</v>
      </c>
      <c r="E401" s="70"/>
      <c r="F401" s="102" t="str">
        <f>HYPERLINK("https://yt3.ggpht.com/ytc/AOPolaRxDQfHiJw0IDcxxU9rz1TiOa5s0MniB0VMQA=s88-c-k-c0x00ffffff-no-rj")</f>
        <v>https://yt3.ggpht.com/ytc/AOPolaRxDQfHiJw0IDcxxU9rz1TiOa5s0MniB0VMQA=s88-c-k-c0x00ffffff-no-rj</v>
      </c>
      <c r="G401" s="67"/>
      <c r="H401" s="71" t="s">
        <v>1691</v>
      </c>
      <c r="I401" s="72"/>
      <c r="J401" s="72" t="s">
        <v>159</v>
      </c>
      <c r="K401" s="71" t="s">
        <v>1691</v>
      </c>
      <c r="L401" s="75">
        <v>1</v>
      </c>
      <c r="M401" s="76">
        <v>2520.08740234375</v>
      </c>
      <c r="N401" s="76">
        <v>9245.6474609375</v>
      </c>
      <c r="O401" s="77"/>
      <c r="P401" s="78"/>
      <c r="Q401" s="78"/>
      <c r="R401" s="88"/>
      <c r="S401" s="49">
        <v>0</v>
      </c>
      <c r="T401" s="49">
        <v>1</v>
      </c>
      <c r="U401" s="50">
        <v>0</v>
      </c>
      <c r="V401" s="50">
        <v>0.177728</v>
      </c>
      <c r="W401" s="50">
        <v>0.049759</v>
      </c>
      <c r="X401" s="50">
        <v>0.001579</v>
      </c>
      <c r="Y401" s="50">
        <v>0</v>
      </c>
      <c r="Z401" s="50">
        <v>0</v>
      </c>
      <c r="AA401" s="73">
        <v>401</v>
      </c>
      <c r="AB401" s="73"/>
      <c r="AC401" s="74"/>
      <c r="AD401" s="81" t="s">
        <v>1691</v>
      </c>
      <c r="AE401" s="81"/>
      <c r="AF401" s="81"/>
      <c r="AG401" s="81"/>
      <c r="AH401" s="81"/>
      <c r="AI401" s="81" t="s">
        <v>2417</v>
      </c>
      <c r="AJ401" s="85">
        <v>41179.22222222222</v>
      </c>
      <c r="AK401" s="83" t="str">
        <f>HYPERLINK("https://yt3.ggpht.com/ytc/AOPolaRxDQfHiJw0IDcxxU9rz1TiOa5s0MniB0VMQA=s88-c-k-c0x00ffffff-no-rj")</f>
        <v>https://yt3.ggpht.com/ytc/AOPolaRxDQfHiJw0IDcxxU9rz1TiOa5s0MniB0VMQA=s88-c-k-c0x00ffffff-no-rj</v>
      </c>
      <c r="AL401" s="81">
        <v>0</v>
      </c>
      <c r="AM401" s="81">
        <v>0</v>
      </c>
      <c r="AN401" s="81">
        <v>0</v>
      </c>
      <c r="AO401" s="81" t="b">
        <v>0</v>
      </c>
      <c r="AP401" s="81">
        <v>0</v>
      </c>
      <c r="AQ401" s="81"/>
      <c r="AR401" s="81"/>
      <c r="AS401" s="81" t="s">
        <v>2571</v>
      </c>
      <c r="AT401" s="83" t="str">
        <f>HYPERLINK("https://www.youtube.com/channel/UCjIiEH0pLLOD70rgztI7-tw")</f>
        <v>https://www.youtube.com/channel/UCjIiEH0pLLOD70rgztI7-tw</v>
      </c>
      <c r="AU401" s="81">
        <v>1</v>
      </c>
      <c r="AV401" s="49">
        <v>1</v>
      </c>
      <c r="AW401" s="50">
        <v>7.142857142857143</v>
      </c>
      <c r="AX401" s="49">
        <v>1</v>
      </c>
      <c r="AY401" s="50">
        <v>7.142857142857143</v>
      </c>
      <c r="AZ401" s="49">
        <v>0</v>
      </c>
      <c r="BA401" s="50">
        <v>0</v>
      </c>
      <c r="BB401" s="49">
        <v>3</v>
      </c>
      <c r="BC401" s="50">
        <v>21.428571428571427</v>
      </c>
      <c r="BD401" s="49">
        <v>14</v>
      </c>
      <c r="BE401" s="49"/>
      <c r="BF401" s="49"/>
      <c r="BG401" s="49"/>
      <c r="BH401" s="49"/>
      <c r="BI401" s="49"/>
      <c r="BJ401" s="49"/>
      <c r="BK401" s="115" t="s">
        <v>2931</v>
      </c>
      <c r="BL401" s="115" t="s">
        <v>2931</v>
      </c>
      <c r="BM401" s="115" t="s">
        <v>3379</v>
      </c>
      <c r="BN401" s="115" t="s">
        <v>3379</v>
      </c>
      <c r="BO401" s="2"/>
      <c r="BP401" s="3"/>
      <c r="BQ401" s="3"/>
      <c r="BR401" s="3"/>
      <c r="BS401" s="3"/>
    </row>
    <row r="402" spans="1:71" ht="15">
      <c r="A402" s="66" t="s">
        <v>619</v>
      </c>
      <c r="B402" s="67"/>
      <c r="C402" s="67"/>
      <c r="D402" s="68">
        <v>150</v>
      </c>
      <c r="E402" s="70"/>
      <c r="F402" s="102" t="str">
        <f>HYPERLINK("https://yt3.ggpht.com/VfxbrdA6jJ9BZGJXefDYhAXqkrdGkU2MSFJm_po6I9UcgKaZ4Gu_MfEWnPLCCvT7HQuq7CUSJ04=s88-c-k-c0x00ffffff-no-rj")</f>
        <v>https://yt3.ggpht.com/VfxbrdA6jJ9BZGJXefDYhAXqkrdGkU2MSFJm_po6I9UcgKaZ4Gu_MfEWnPLCCvT7HQuq7CUSJ04=s88-c-k-c0x00ffffff-no-rj</v>
      </c>
      <c r="G402" s="67"/>
      <c r="H402" s="71" t="s">
        <v>1692</v>
      </c>
      <c r="I402" s="72"/>
      <c r="J402" s="72" t="s">
        <v>159</v>
      </c>
      <c r="K402" s="71" t="s">
        <v>1692</v>
      </c>
      <c r="L402" s="75">
        <v>1</v>
      </c>
      <c r="M402" s="76">
        <v>759.4677734375</v>
      </c>
      <c r="N402" s="76">
        <v>8510.1533203125</v>
      </c>
      <c r="O402" s="77"/>
      <c r="P402" s="78"/>
      <c r="Q402" s="78"/>
      <c r="R402" s="88"/>
      <c r="S402" s="49">
        <v>0</v>
      </c>
      <c r="T402" s="49">
        <v>1</v>
      </c>
      <c r="U402" s="50">
        <v>0</v>
      </c>
      <c r="V402" s="50">
        <v>0.177728</v>
      </c>
      <c r="W402" s="50">
        <v>0.049759</v>
      </c>
      <c r="X402" s="50">
        <v>0.001579</v>
      </c>
      <c r="Y402" s="50">
        <v>0</v>
      </c>
      <c r="Z402" s="50">
        <v>0</v>
      </c>
      <c r="AA402" s="73">
        <v>402</v>
      </c>
      <c r="AB402" s="73"/>
      <c r="AC402" s="74"/>
      <c r="AD402" s="81" t="s">
        <v>1692</v>
      </c>
      <c r="AE402" s="81"/>
      <c r="AF402" s="81"/>
      <c r="AG402" s="81"/>
      <c r="AH402" s="81"/>
      <c r="AI402" s="81" t="s">
        <v>2418</v>
      </c>
      <c r="AJ402" s="85">
        <v>41610.98971064815</v>
      </c>
      <c r="AK402" s="83" t="str">
        <f>HYPERLINK("https://yt3.ggpht.com/VfxbrdA6jJ9BZGJXefDYhAXqkrdGkU2MSFJm_po6I9UcgKaZ4Gu_MfEWnPLCCvT7HQuq7CUSJ04=s88-c-k-c0x00ffffff-no-rj")</f>
        <v>https://yt3.ggpht.com/VfxbrdA6jJ9BZGJXefDYhAXqkrdGkU2MSFJm_po6I9UcgKaZ4Gu_MfEWnPLCCvT7HQuq7CUSJ04=s88-c-k-c0x00ffffff-no-rj</v>
      </c>
      <c r="AL402" s="81">
        <v>0</v>
      </c>
      <c r="AM402" s="81">
        <v>0</v>
      </c>
      <c r="AN402" s="81">
        <v>5</v>
      </c>
      <c r="AO402" s="81" t="b">
        <v>0</v>
      </c>
      <c r="AP402" s="81">
        <v>0</v>
      </c>
      <c r="AQ402" s="81"/>
      <c r="AR402" s="81"/>
      <c r="AS402" s="81" t="s">
        <v>2571</v>
      </c>
      <c r="AT402" s="83" t="str">
        <f>HYPERLINK("https://www.youtube.com/channel/UCy5alV9seV9cbMwIhrSghaQ")</f>
        <v>https://www.youtube.com/channel/UCy5alV9seV9cbMwIhrSghaQ</v>
      </c>
      <c r="AU402" s="81">
        <v>1</v>
      </c>
      <c r="AV402" s="49">
        <v>0</v>
      </c>
      <c r="AW402" s="50">
        <v>0</v>
      </c>
      <c r="AX402" s="49">
        <v>2</v>
      </c>
      <c r="AY402" s="50">
        <v>11.764705882352942</v>
      </c>
      <c r="AZ402" s="49">
        <v>0</v>
      </c>
      <c r="BA402" s="50">
        <v>0</v>
      </c>
      <c r="BB402" s="49">
        <v>6</v>
      </c>
      <c r="BC402" s="50">
        <v>35.294117647058826</v>
      </c>
      <c r="BD402" s="49">
        <v>17</v>
      </c>
      <c r="BE402" s="49"/>
      <c r="BF402" s="49"/>
      <c r="BG402" s="49"/>
      <c r="BH402" s="49"/>
      <c r="BI402" s="49"/>
      <c r="BJ402" s="49"/>
      <c r="BK402" s="115" t="s">
        <v>2932</v>
      </c>
      <c r="BL402" s="115" t="s">
        <v>2932</v>
      </c>
      <c r="BM402" s="115" t="s">
        <v>3380</v>
      </c>
      <c r="BN402" s="115" t="s">
        <v>3380</v>
      </c>
      <c r="BO402" s="2"/>
      <c r="BP402" s="3"/>
      <c r="BQ402" s="3"/>
      <c r="BR402" s="3"/>
      <c r="BS402" s="3"/>
    </row>
    <row r="403" spans="1:71" ht="15">
      <c r="A403" s="66" t="s">
        <v>620</v>
      </c>
      <c r="B403" s="67"/>
      <c r="C403" s="67"/>
      <c r="D403" s="68">
        <v>150</v>
      </c>
      <c r="E403" s="70"/>
      <c r="F403" s="102" t="str">
        <f>HYPERLINK("https://yt3.ggpht.com/ytc/AOPolaQDEIO_-KGw47oVa40CXde3A3cwE-UV1tOSAQ=s88-c-k-c0x00ffffff-no-rj")</f>
        <v>https://yt3.ggpht.com/ytc/AOPolaQDEIO_-KGw47oVa40CXde3A3cwE-UV1tOSAQ=s88-c-k-c0x00ffffff-no-rj</v>
      </c>
      <c r="G403" s="67"/>
      <c r="H403" s="71" t="s">
        <v>1693</v>
      </c>
      <c r="I403" s="72"/>
      <c r="J403" s="72" t="s">
        <v>159</v>
      </c>
      <c r="K403" s="71" t="s">
        <v>1693</v>
      </c>
      <c r="L403" s="75">
        <v>1</v>
      </c>
      <c r="M403" s="76">
        <v>945.144287109375</v>
      </c>
      <c r="N403" s="76">
        <v>5617.66748046875</v>
      </c>
      <c r="O403" s="77"/>
      <c r="P403" s="78"/>
      <c r="Q403" s="78"/>
      <c r="R403" s="88"/>
      <c r="S403" s="49">
        <v>0</v>
      </c>
      <c r="T403" s="49">
        <v>1</v>
      </c>
      <c r="U403" s="50">
        <v>0</v>
      </c>
      <c r="V403" s="50">
        <v>0.177728</v>
      </c>
      <c r="W403" s="50">
        <v>0.049759</v>
      </c>
      <c r="X403" s="50">
        <v>0.001579</v>
      </c>
      <c r="Y403" s="50">
        <v>0</v>
      </c>
      <c r="Z403" s="50">
        <v>0</v>
      </c>
      <c r="AA403" s="73">
        <v>403</v>
      </c>
      <c r="AB403" s="73"/>
      <c r="AC403" s="74"/>
      <c r="AD403" s="81" t="s">
        <v>1693</v>
      </c>
      <c r="AE403" s="81"/>
      <c r="AF403" s="81"/>
      <c r="AG403" s="81"/>
      <c r="AH403" s="81"/>
      <c r="AI403" s="81" t="s">
        <v>2419</v>
      </c>
      <c r="AJ403" s="85">
        <v>43371.340474537035</v>
      </c>
      <c r="AK403" s="83" t="str">
        <f>HYPERLINK("https://yt3.ggpht.com/ytc/AOPolaQDEIO_-KGw47oVa40CXde3A3cwE-UV1tOSAQ=s88-c-k-c0x00ffffff-no-rj")</f>
        <v>https://yt3.ggpht.com/ytc/AOPolaQDEIO_-KGw47oVa40CXde3A3cwE-UV1tOSAQ=s88-c-k-c0x00ffffff-no-rj</v>
      </c>
      <c r="AL403" s="81">
        <v>0</v>
      </c>
      <c r="AM403" s="81">
        <v>0</v>
      </c>
      <c r="AN403" s="81">
        <v>0</v>
      </c>
      <c r="AO403" s="81" t="b">
        <v>0</v>
      </c>
      <c r="AP403" s="81">
        <v>0</v>
      </c>
      <c r="AQ403" s="81"/>
      <c r="AR403" s="81"/>
      <c r="AS403" s="81" t="s">
        <v>2571</v>
      </c>
      <c r="AT403" s="83" t="str">
        <f>HYPERLINK("https://www.youtube.com/channel/UC8CF8mRiWUxpq8P7YawQMgg")</f>
        <v>https://www.youtube.com/channel/UC8CF8mRiWUxpq8P7YawQMgg</v>
      </c>
      <c r="AU403" s="81">
        <v>1</v>
      </c>
      <c r="AV403" s="49">
        <v>0</v>
      </c>
      <c r="AW403" s="50">
        <v>0</v>
      </c>
      <c r="AX403" s="49">
        <v>0</v>
      </c>
      <c r="AY403" s="50">
        <v>0</v>
      </c>
      <c r="AZ403" s="49">
        <v>0</v>
      </c>
      <c r="BA403" s="50">
        <v>0</v>
      </c>
      <c r="BB403" s="49">
        <v>6</v>
      </c>
      <c r="BC403" s="50">
        <v>75</v>
      </c>
      <c r="BD403" s="49">
        <v>8</v>
      </c>
      <c r="BE403" s="49"/>
      <c r="BF403" s="49"/>
      <c r="BG403" s="49"/>
      <c r="BH403" s="49"/>
      <c r="BI403" s="49"/>
      <c r="BJ403" s="49"/>
      <c r="BK403" s="115" t="s">
        <v>2933</v>
      </c>
      <c r="BL403" s="115" t="s">
        <v>2933</v>
      </c>
      <c r="BM403" s="115" t="s">
        <v>3381</v>
      </c>
      <c r="BN403" s="115" t="s">
        <v>3381</v>
      </c>
      <c r="BO403" s="2"/>
      <c r="BP403" s="3"/>
      <c r="BQ403" s="3"/>
      <c r="BR403" s="3"/>
      <c r="BS403" s="3"/>
    </row>
    <row r="404" spans="1:71" ht="15">
      <c r="A404" s="66" t="s">
        <v>621</v>
      </c>
      <c r="B404" s="67"/>
      <c r="C404" s="67"/>
      <c r="D404" s="68">
        <v>150</v>
      </c>
      <c r="E404" s="70"/>
      <c r="F404" s="102" t="str">
        <f>HYPERLINK("https://yt3.ggpht.com/ytc/AOPolaSX-gw2ZWhJKAV1ih39699ZvunzP0doXKFQNDb8jWo=s88-c-k-c0x00ffffff-no-rj")</f>
        <v>https://yt3.ggpht.com/ytc/AOPolaSX-gw2ZWhJKAV1ih39699ZvunzP0doXKFQNDb8jWo=s88-c-k-c0x00ffffff-no-rj</v>
      </c>
      <c r="G404" s="67"/>
      <c r="H404" s="71" t="s">
        <v>1694</v>
      </c>
      <c r="I404" s="72"/>
      <c r="J404" s="72" t="s">
        <v>159</v>
      </c>
      <c r="K404" s="71" t="s">
        <v>1694</v>
      </c>
      <c r="L404" s="75">
        <v>1</v>
      </c>
      <c r="M404" s="76">
        <v>3198.920166015625</v>
      </c>
      <c r="N404" s="76">
        <v>4582.89013671875</v>
      </c>
      <c r="O404" s="77"/>
      <c r="P404" s="78"/>
      <c r="Q404" s="78"/>
      <c r="R404" s="88"/>
      <c r="S404" s="49">
        <v>0</v>
      </c>
      <c r="T404" s="49">
        <v>1</v>
      </c>
      <c r="U404" s="50">
        <v>0</v>
      </c>
      <c r="V404" s="50">
        <v>0.177728</v>
      </c>
      <c r="W404" s="50">
        <v>0.049759</v>
      </c>
      <c r="X404" s="50">
        <v>0.001579</v>
      </c>
      <c r="Y404" s="50">
        <v>0</v>
      </c>
      <c r="Z404" s="50">
        <v>0</v>
      </c>
      <c r="AA404" s="73">
        <v>404</v>
      </c>
      <c r="AB404" s="73"/>
      <c r="AC404" s="74"/>
      <c r="AD404" s="81" t="s">
        <v>1694</v>
      </c>
      <c r="AE404" s="81" t="s">
        <v>1987</v>
      </c>
      <c r="AF404" s="81"/>
      <c r="AG404" s="81"/>
      <c r="AH404" s="81"/>
      <c r="AI404" s="81" t="s">
        <v>2420</v>
      </c>
      <c r="AJ404" s="85">
        <v>42263.56</v>
      </c>
      <c r="AK404" s="83" t="str">
        <f>HYPERLINK("https://yt3.ggpht.com/ytc/AOPolaSX-gw2ZWhJKAV1ih39699ZvunzP0doXKFQNDb8jWo=s88-c-k-c0x00ffffff-no-rj")</f>
        <v>https://yt3.ggpht.com/ytc/AOPolaSX-gw2ZWhJKAV1ih39699ZvunzP0doXKFQNDb8jWo=s88-c-k-c0x00ffffff-no-rj</v>
      </c>
      <c r="AL404" s="81">
        <v>2857</v>
      </c>
      <c r="AM404" s="81">
        <v>0</v>
      </c>
      <c r="AN404" s="81">
        <v>44</v>
      </c>
      <c r="AO404" s="81" t="b">
        <v>0</v>
      </c>
      <c r="AP404" s="81">
        <v>198</v>
      </c>
      <c r="AQ404" s="81"/>
      <c r="AR404" s="81"/>
      <c r="AS404" s="81" t="s">
        <v>2571</v>
      </c>
      <c r="AT404" s="83" t="str">
        <f>HYPERLINK("https://www.youtube.com/channel/UCqX177w_PiXGgkfXfnW4wtw")</f>
        <v>https://www.youtube.com/channel/UCqX177w_PiXGgkfXfnW4wtw</v>
      </c>
      <c r="AU404" s="81">
        <v>1</v>
      </c>
      <c r="AV404" s="49">
        <v>0</v>
      </c>
      <c r="AW404" s="50">
        <v>0</v>
      </c>
      <c r="AX404" s="49">
        <v>0</v>
      </c>
      <c r="AY404" s="50">
        <v>0</v>
      </c>
      <c r="AZ404" s="49">
        <v>0</v>
      </c>
      <c r="BA404" s="50">
        <v>0</v>
      </c>
      <c r="BB404" s="49">
        <v>3</v>
      </c>
      <c r="BC404" s="50">
        <v>30</v>
      </c>
      <c r="BD404" s="49">
        <v>10</v>
      </c>
      <c r="BE404" s="49"/>
      <c r="BF404" s="49"/>
      <c r="BG404" s="49"/>
      <c r="BH404" s="49"/>
      <c r="BI404" s="49"/>
      <c r="BJ404" s="49"/>
      <c r="BK404" s="115" t="s">
        <v>2934</v>
      </c>
      <c r="BL404" s="115" t="s">
        <v>2934</v>
      </c>
      <c r="BM404" s="115" t="s">
        <v>3382</v>
      </c>
      <c r="BN404" s="115" t="s">
        <v>3382</v>
      </c>
      <c r="BO404" s="2"/>
      <c r="BP404" s="3"/>
      <c r="BQ404" s="3"/>
      <c r="BR404" s="3"/>
      <c r="BS404" s="3"/>
    </row>
    <row r="405" spans="1:71" ht="15">
      <c r="A405" s="66" t="s">
        <v>622</v>
      </c>
      <c r="B405" s="67"/>
      <c r="C405" s="67"/>
      <c r="D405" s="68">
        <v>150</v>
      </c>
      <c r="E405" s="70"/>
      <c r="F405" s="102" t="str">
        <f>HYPERLINK("https://yt3.ggpht.com/ytc/AOPolaTJsrcc06GqV4IZgYGGInfqGF0O4BwVg1xV3Q=s88-c-k-c0x00ffffff-no-rj")</f>
        <v>https://yt3.ggpht.com/ytc/AOPolaTJsrcc06GqV4IZgYGGInfqGF0O4BwVg1xV3Q=s88-c-k-c0x00ffffff-no-rj</v>
      </c>
      <c r="G405" s="67"/>
      <c r="H405" s="71" t="s">
        <v>1695</v>
      </c>
      <c r="I405" s="72"/>
      <c r="J405" s="72" t="s">
        <v>159</v>
      </c>
      <c r="K405" s="71" t="s">
        <v>1695</v>
      </c>
      <c r="L405" s="75">
        <v>1</v>
      </c>
      <c r="M405" s="76">
        <v>5462.02587890625</v>
      </c>
      <c r="N405" s="76">
        <v>8330.568359375</v>
      </c>
      <c r="O405" s="77"/>
      <c r="P405" s="78"/>
      <c r="Q405" s="78"/>
      <c r="R405" s="88"/>
      <c r="S405" s="49">
        <v>0</v>
      </c>
      <c r="T405" s="49">
        <v>1</v>
      </c>
      <c r="U405" s="50">
        <v>0</v>
      </c>
      <c r="V405" s="50">
        <v>0.177728</v>
      </c>
      <c r="W405" s="50">
        <v>0.049759</v>
      </c>
      <c r="X405" s="50">
        <v>0.001579</v>
      </c>
      <c r="Y405" s="50">
        <v>0</v>
      </c>
      <c r="Z405" s="50">
        <v>0</v>
      </c>
      <c r="AA405" s="73">
        <v>405</v>
      </c>
      <c r="AB405" s="73"/>
      <c r="AC405" s="74"/>
      <c r="AD405" s="81" t="s">
        <v>1695</v>
      </c>
      <c r="AE405" s="81"/>
      <c r="AF405" s="81"/>
      <c r="AG405" s="81"/>
      <c r="AH405" s="81"/>
      <c r="AI405" s="81" t="s">
        <v>2421</v>
      </c>
      <c r="AJ405" s="85">
        <v>44084.482824074075</v>
      </c>
      <c r="AK405" s="83" t="str">
        <f>HYPERLINK("https://yt3.ggpht.com/ytc/AOPolaTJsrcc06GqV4IZgYGGInfqGF0O4BwVg1xV3Q=s88-c-k-c0x00ffffff-no-rj")</f>
        <v>https://yt3.ggpht.com/ytc/AOPolaTJsrcc06GqV4IZgYGGInfqGF0O4BwVg1xV3Q=s88-c-k-c0x00ffffff-no-rj</v>
      </c>
      <c r="AL405" s="81">
        <v>0</v>
      </c>
      <c r="AM405" s="81">
        <v>0</v>
      </c>
      <c r="AN405" s="81">
        <v>0</v>
      </c>
      <c r="AO405" s="81" t="b">
        <v>0</v>
      </c>
      <c r="AP405" s="81">
        <v>0</v>
      </c>
      <c r="AQ405" s="81"/>
      <c r="AR405" s="81"/>
      <c r="AS405" s="81" t="s">
        <v>2571</v>
      </c>
      <c r="AT405" s="83" t="str">
        <f>HYPERLINK("https://www.youtube.com/channel/UCwiD2VBz53qs5CzkKaYLVuw")</f>
        <v>https://www.youtube.com/channel/UCwiD2VBz53qs5CzkKaYLVuw</v>
      </c>
      <c r="AU405" s="81">
        <v>1</v>
      </c>
      <c r="AV405" s="49">
        <v>0</v>
      </c>
      <c r="AW405" s="50">
        <v>0</v>
      </c>
      <c r="AX405" s="49">
        <v>0</v>
      </c>
      <c r="AY405" s="50">
        <v>0</v>
      </c>
      <c r="AZ405" s="49">
        <v>0</v>
      </c>
      <c r="BA405" s="50">
        <v>0</v>
      </c>
      <c r="BB405" s="49">
        <v>2</v>
      </c>
      <c r="BC405" s="50">
        <v>50</v>
      </c>
      <c r="BD405" s="49">
        <v>4</v>
      </c>
      <c r="BE405" s="49"/>
      <c r="BF405" s="49"/>
      <c r="BG405" s="49"/>
      <c r="BH405" s="49"/>
      <c r="BI405" s="49"/>
      <c r="BJ405" s="49"/>
      <c r="BK405" s="115" t="s">
        <v>3054</v>
      </c>
      <c r="BL405" s="115" t="s">
        <v>3054</v>
      </c>
      <c r="BM405" s="115" t="s">
        <v>3383</v>
      </c>
      <c r="BN405" s="115" t="s">
        <v>3383</v>
      </c>
      <c r="BO405" s="2"/>
      <c r="BP405" s="3"/>
      <c r="BQ405" s="3"/>
      <c r="BR405" s="3"/>
      <c r="BS405" s="3"/>
    </row>
    <row r="406" spans="1:71" ht="15">
      <c r="A406" s="66" t="s">
        <v>623</v>
      </c>
      <c r="B406" s="67"/>
      <c r="C406" s="67"/>
      <c r="D406" s="68">
        <v>150</v>
      </c>
      <c r="E406" s="70"/>
      <c r="F406" s="102" t="str">
        <f>HYPERLINK("https://yt3.ggpht.com/8ayj1hTcTFwQS_53TVYeGNlPsNjYsnJxfscL-D04W6-yQeH6vQ9-y-G-9FuaCYgh6gJ0AbqGn-g=s88-c-k-c0x00ffffff-no-rj")</f>
        <v>https://yt3.ggpht.com/8ayj1hTcTFwQS_53TVYeGNlPsNjYsnJxfscL-D04W6-yQeH6vQ9-y-G-9FuaCYgh6gJ0AbqGn-g=s88-c-k-c0x00ffffff-no-rj</v>
      </c>
      <c r="G406" s="67"/>
      <c r="H406" s="71" t="s">
        <v>1696</v>
      </c>
      <c r="I406" s="72"/>
      <c r="J406" s="72" t="s">
        <v>159</v>
      </c>
      <c r="K406" s="71" t="s">
        <v>1696</v>
      </c>
      <c r="L406" s="75">
        <v>1</v>
      </c>
      <c r="M406" s="76">
        <v>740.870849609375</v>
      </c>
      <c r="N406" s="76">
        <v>6256.728515625</v>
      </c>
      <c r="O406" s="77"/>
      <c r="P406" s="78"/>
      <c r="Q406" s="78"/>
      <c r="R406" s="88"/>
      <c r="S406" s="49">
        <v>0</v>
      </c>
      <c r="T406" s="49">
        <v>1</v>
      </c>
      <c r="U406" s="50">
        <v>0</v>
      </c>
      <c r="V406" s="50">
        <v>0.177728</v>
      </c>
      <c r="W406" s="50">
        <v>0.049759</v>
      </c>
      <c r="X406" s="50">
        <v>0.001579</v>
      </c>
      <c r="Y406" s="50">
        <v>0</v>
      </c>
      <c r="Z406" s="50">
        <v>0</v>
      </c>
      <c r="AA406" s="73">
        <v>406</v>
      </c>
      <c r="AB406" s="73"/>
      <c r="AC406" s="74"/>
      <c r="AD406" s="81" t="s">
        <v>1696</v>
      </c>
      <c r="AE406" s="81"/>
      <c r="AF406" s="81"/>
      <c r="AG406" s="81"/>
      <c r="AH406" s="81"/>
      <c r="AI406" s="81" t="s">
        <v>2422</v>
      </c>
      <c r="AJ406" s="85">
        <v>44422.60755787037</v>
      </c>
      <c r="AK406" s="83" t="str">
        <f>HYPERLINK("https://yt3.ggpht.com/8ayj1hTcTFwQS_53TVYeGNlPsNjYsnJxfscL-D04W6-yQeH6vQ9-y-G-9FuaCYgh6gJ0AbqGn-g=s88-c-k-c0x00ffffff-no-rj")</f>
        <v>https://yt3.ggpht.com/8ayj1hTcTFwQS_53TVYeGNlPsNjYsnJxfscL-D04W6-yQeH6vQ9-y-G-9FuaCYgh6gJ0AbqGn-g=s88-c-k-c0x00ffffff-no-rj</v>
      </c>
      <c r="AL406" s="81">
        <v>0</v>
      </c>
      <c r="AM406" s="81">
        <v>0</v>
      </c>
      <c r="AN406" s="81">
        <v>1</v>
      </c>
      <c r="AO406" s="81" t="b">
        <v>0</v>
      </c>
      <c r="AP406" s="81">
        <v>0</v>
      </c>
      <c r="AQ406" s="81"/>
      <c r="AR406" s="81"/>
      <c r="AS406" s="81" t="s">
        <v>2571</v>
      </c>
      <c r="AT406" s="83" t="str">
        <f>HYPERLINK("https://www.youtube.com/channel/UC29ufL-6rZlQq74mCGo4qCA")</f>
        <v>https://www.youtube.com/channel/UC29ufL-6rZlQq74mCGo4qCA</v>
      </c>
      <c r="AU406" s="81">
        <v>1</v>
      </c>
      <c r="AV406" s="49">
        <v>0</v>
      </c>
      <c r="AW406" s="50">
        <v>0</v>
      </c>
      <c r="AX406" s="49">
        <v>0</v>
      </c>
      <c r="AY406" s="50">
        <v>0</v>
      </c>
      <c r="AZ406" s="49">
        <v>0</v>
      </c>
      <c r="BA406" s="50">
        <v>0</v>
      </c>
      <c r="BB406" s="49">
        <v>6</v>
      </c>
      <c r="BC406" s="50">
        <v>54.54545454545455</v>
      </c>
      <c r="BD406" s="49">
        <v>11</v>
      </c>
      <c r="BE406" s="49"/>
      <c r="BF406" s="49"/>
      <c r="BG406" s="49"/>
      <c r="BH406" s="49"/>
      <c r="BI406" s="49"/>
      <c r="BJ406" s="49"/>
      <c r="BK406" s="115" t="s">
        <v>2935</v>
      </c>
      <c r="BL406" s="115" t="s">
        <v>2935</v>
      </c>
      <c r="BM406" s="115" t="s">
        <v>3384</v>
      </c>
      <c r="BN406" s="115" t="s">
        <v>3384</v>
      </c>
      <c r="BO406" s="2"/>
      <c r="BP406" s="3"/>
      <c r="BQ406" s="3"/>
      <c r="BR406" s="3"/>
      <c r="BS406" s="3"/>
    </row>
    <row r="407" spans="1:71" ht="15">
      <c r="A407" s="66" t="s">
        <v>624</v>
      </c>
      <c r="B407" s="67"/>
      <c r="C407" s="67"/>
      <c r="D407" s="68">
        <v>150</v>
      </c>
      <c r="E407" s="70"/>
      <c r="F407" s="102" t="str">
        <f>HYPERLINK("https://yt3.ggpht.com/ytc/AOPolaTtSrEgzKOOlKc0hyqi_dyrpb6gUN-Cb5EGFg=s88-c-k-c0x00ffffff-no-rj")</f>
        <v>https://yt3.ggpht.com/ytc/AOPolaTtSrEgzKOOlKc0hyqi_dyrpb6gUN-Cb5EGFg=s88-c-k-c0x00ffffff-no-rj</v>
      </c>
      <c r="G407" s="67"/>
      <c r="H407" s="71" t="s">
        <v>1697</v>
      </c>
      <c r="I407" s="72"/>
      <c r="J407" s="72" t="s">
        <v>159</v>
      </c>
      <c r="K407" s="71" t="s">
        <v>1697</v>
      </c>
      <c r="L407" s="75">
        <v>1</v>
      </c>
      <c r="M407" s="76">
        <v>2788.354248046875</v>
      </c>
      <c r="N407" s="76">
        <v>9409.4384765625</v>
      </c>
      <c r="O407" s="77"/>
      <c r="P407" s="78"/>
      <c r="Q407" s="78"/>
      <c r="R407" s="88"/>
      <c r="S407" s="49">
        <v>0</v>
      </c>
      <c r="T407" s="49">
        <v>1</v>
      </c>
      <c r="U407" s="50">
        <v>0</v>
      </c>
      <c r="V407" s="50">
        <v>0.177728</v>
      </c>
      <c r="W407" s="50">
        <v>0.049759</v>
      </c>
      <c r="X407" s="50">
        <v>0.001579</v>
      </c>
      <c r="Y407" s="50">
        <v>0</v>
      </c>
      <c r="Z407" s="50">
        <v>0</v>
      </c>
      <c r="AA407" s="73">
        <v>407</v>
      </c>
      <c r="AB407" s="73"/>
      <c r="AC407" s="74"/>
      <c r="AD407" s="81" t="s">
        <v>1697</v>
      </c>
      <c r="AE407" s="81"/>
      <c r="AF407" s="81"/>
      <c r="AG407" s="81"/>
      <c r="AH407" s="81"/>
      <c r="AI407" s="81" t="s">
        <v>2423</v>
      </c>
      <c r="AJ407" s="85">
        <v>41466.90645833333</v>
      </c>
      <c r="AK407" s="83" t="str">
        <f>HYPERLINK("https://yt3.ggpht.com/ytc/AOPolaTtSrEgzKOOlKc0hyqi_dyrpb6gUN-Cb5EGFg=s88-c-k-c0x00ffffff-no-rj")</f>
        <v>https://yt3.ggpht.com/ytc/AOPolaTtSrEgzKOOlKc0hyqi_dyrpb6gUN-Cb5EGFg=s88-c-k-c0x00ffffff-no-rj</v>
      </c>
      <c r="AL407" s="81">
        <v>0</v>
      </c>
      <c r="AM407" s="81">
        <v>0</v>
      </c>
      <c r="AN407" s="81">
        <v>3</v>
      </c>
      <c r="AO407" s="81" t="b">
        <v>0</v>
      </c>
      <c r="AP407" s="81">
        <v>0</v>
      </c>
      <c r="AQ407" s="81"/>
      <c r="AR407" s="81"/>
      <c r="AS407" s="81" t="s">
        <v>2571</v>
      </c>
      <c r="AT407" s="83" t="str">
        <f>HYPERLINK("https://www.youtube.com/channel/UCc-G6FYQXHiTE0f7-ZkFV5Q")</f>
        <v>https://www.youtube.com/channel/UCc-G6FYQXHiTE0f7-ZkFV5Q</v>
      </c>
      <c r="AU407" s="81">
        <v>1</v>
      </c>
      <c r="AV407" s="49">
        <v>1</v>
      </c>
      <c r="AW407" s="50">
        <v>6.25</v>
      </c>
      <c r="AX407" s="49">
        <v>1</v>
      </c>
      <c r="AY407" s="50">
        <v>6.25</v>
      </c>
      <c r="AZ407" s="49">
        <v>0</v>
      </c>
      <c r="BA407" s="50">
        <v>0</v>
      </c>
      <c r="BB407" s="49">
        <v>5</v>
      </c>
      <c r="BC407" s="50">
        <v>31.25</v>
      </c>
      <c r="BD407" s="49">
        <v>16</v>
      </c>
      <c r="BE407" s="49"/>
      <c r="BF407" s="49"/>
      <c r="BG407" s="49"/>
      <c r="BH407" s="49"/>
      <c r="BI407" s="49"/>
      <c r="BJ407" s="49"/>
      <c r="BK407" s="115" t="s">
        <v>2936</v>
      </c>
      <c r="BL407" s="115" t="s">
        <v>2936</v>
      </c>
      <c r="BM407" s="115" t="s">
        <v>3385</v>
      </c>
      <c r="BN407" s="115" t="s">
        <v>3385</v>
      </c>
      <c r="BO407" s="2"/>
      <c r="BP407" s="3"/>
      <c r="BQ407" s="3"/>
      <c r="BR407" s="3"/>
      <c r="BS407" s="3"/>
    </row>
    <row r="408" spans="1:71" ht="15">
      <c r="A408" s="66" t="s">
        <v>625</v>
      </c>
      <c r="B408" s="67"/>
      <c r="C408" s="67"/>
      <c r="D408" s="68">
        <v>150</v>
      </c>
      <c r="E408" s="70"/>
      <c r="F408" s="102" t="str">
        <f>HYPERLINK("https://yt3.ggpht.com/ytc/AOPolaSX2nuc-6W2Iq9jy5VMh2qmKyxOX0NM94xnFi17lw=s88-c-k-c0x00ffffff-no-rj")</f>
        <v>https://yt3.ggpht.com/ytc/AOPolaSX2nuc-6W2Iq9jy5VMh2qmKyxOX0NM94xnFi17lw=s88-c-k-c0x00ffffff-no-rj</v>
      </c>
      <c r="G408" s="67"/>
      <c r="H408" s="71" t="s">
        <v>1698</v>
      </c>
      <c r="I408" s="72"/>
      <c r="J408" s="72" t="s">
        <v>159</v>
      </c>
      <c r="K408" s="71" t="s">
        <v>1698</v>
      </c>
      <c r="L408" s="75">
        <v>1</v>
      </c>
      <c r="M408" s="76">
        <v>5467.13232421875</v>
      </c>
      <c r="N408" s="76">
        <v>7446.84033203125</v>
      </c>
      <c r="O408" s="77"/>
      <c r="P408" s="78"/>
      <c r="Q408" s="78"/>
      <c r="R408" s="88"/>
      <c r="S408" s="49">
        <v>0</v>
      </c>
      <c r="T408" s="49">
        <v>1</v>
      </c>
      <c r="U408" s="50">
        <v>0</v>
      </c>
      <c r="V408" s="50">
        <v>0.177728</v>
      </c>
      <c r="W408" s="50">
        <v>0.049759</v>
      </c>
      <c r="X408" s="50">
        <v>0.001579</v>
      </c>
      <c r="Y408" s="50">
        <v>0</v>
      </c>
      <c r="Z408" s="50">
        <v>0</v>
      </c>
      <c r="AA408" s="73">
        <v>408</v>
      </c>
      <c r="AB408" s="73"/>
      <c r="AC408" s="74"/>
      <c r="AD408" s="81" t="s">
        <v>1698</v>
      </c>
      <c r="AE408" s="81"/>
      <c r="AF408" s="81"/>
      <c r="AG408" s="81"/>
      <c r="AH408" s="81"/>
      <c r="AI408" s="81" t="s">
        <v>2424</v>
      </c>
      <c r="AJ408" s="85">
        <v>43970.299259259256</v>
      </c>
      <c r="AK408" s="83" t="str">
        <f>HYPERLINK("https://yt3.ggpht.com/ytc/AOPolaSX2nuc-6W2Iq9jy5VMh2qmKyxOX0NM94xnFi17lw=s88-c-k-c0x00ffffff-no-rj")</f>
        <v>https://yt3.ggpht.com/ytc/AOPolaSX2nuc-6W2Iq9jy5VMh2qmKyxOX0NM94xnFi17lw=s88-c-k-c0x00ffffff-no-rj</v>
      </c>
      <c r="AL408" s="81">
        <v>0</v>
      </c>
      <c r="AM408" s="81">
        <v>0</v>
      </c>
      <c r="AN408" s="81">
        <v>0</v>
      </c>
      <c r="AO408" s="81" t="b">
        <v>0</v>
      </c>
      <c r="AP408" s="81">
        <v>0</v>
      </c>
      <c r="AQ408" s="81"/>
      <c r="AR408" s="81"/>
      <c r="AS408" s="81" t="s">
        <v>2571</v>
      </c>
      <c r="AT408" s="83" t="str">
        <f>HYPERLINK("https://www.youtube.com/channel/UCdh0Do1iYOiMKV-grkbjcjQ")</f>
        <v>https://www.youtube.com/channel/UCdh0Do1iYOiMKV-grkbjcjQ</v>
      </c>
      <c r="AU408" s="81">
        <v>1</v>
      </c>
      <c r="AV408" s="49">
        <v>0</v>
      </c>
      <c r="AW408" s="50">
        <v>0</v>
      </c>
      <c r="AX408" s="49">
        <v>0</v>
      </c>
      <c r="AY408" s="50">
        <v>0</v>
      </c>
      <c r="AZ408" s="49">
        <v>0</v>
      </c>
      <c r="BA408" s="50">
        <v>0</v>
      </c>
      <c r="BB408" s="49">
        <v>1</v>
      </c>
      <c r="BC408" s="50">
        <v>50</v>
      </c>
      <c r="BD408" s="49">
        <v>2</v>
      </c>
      <c r="BE408" s="49"/>
      <c r="BF408" s="49"/>
      <c r="BG408" s="49"/>
      <c r="BH408" s="49"/>
      <c r="BI408" s="49"/>
      <c r="BJ408" s="49"/>
      <c r="BK408" s="115" t="s">
        <v>2937</v>
      </c>
      <c r="BL408" s="115" t="s">
        <v>2937</v>
      </c>
      <c r="BM408" s="115" t="s">
        <v>4477</v>
      </c>
      <c r="BN408" s="115" t="s">
        <v>4477</v>
      </c>
      <c r="BO408" s="2"/>
      <c r="BP408" s="3"/>
      <c r="BQ408" s="3"/>
      <c r="BR408" s="3"/>
      <c r="BS408" s="3"/>
    </row>
    <row r="409" spans="1:71" ht="15">
      <c r="A409" s="66" t="s">
        <v>626</v>
      </c>
      <c r="B409" s="67"/>
      <c r="C409" s="67"/>
      <c r="D409" s="68">
        <v>150</v>
      </c>
      <c r="E409" s="70"/>
      <c r="F409" s="102" t="str">
        <f>HYPERLINK("https://yt3.ggpht.com/sDJl8v35JYN31thIxO5JTc0rnWwbhukf0cHYXyEDPetrIDvbeEKocAOw84Zo-XapBAGWXK0uW1o=s88-c-k-c0x00ffffff-no-rj")</f>
        <v>https://yt3.ggpht.com/sDJl8v35JYN31thIxO5JTc0rnWwbhukf0cHYXyEDPetrIDvbeEKocAOw84Zo-XapBAGWXK0uW1o=s88-c-k-c0x00ffffff-no-rj</v>
      </c>
      <c r="G409" s="67"/>
      <c r="H409" s="71" t="s">
        <v>1699</v>
      </c>
      <c r="I409" s="72"/>
      <c r="J409" s="72" t="s">
        <v>159</v>
      </c>
      <c r="K409" s="71" t="s">
        <v>1699</v>
      </c>
      <c r="L409" s="75">
        <v>1</v>
      </c>
      <c r="M409" s="76">
        <v>2874.41650390625</v>
      </c>
      <c r="N409" s="76">
        <v>4457.3564453125</v>
      </c>
      <c r="O409" s="77"/>
      <c r="P409" s="78"/>
      <c r="Q409" s="78"/>
      <c r="R409" s="88"/>
      <c r="S409" s="49">
        <v>0</v>
      </c>
      <c r="T409" s="49">
        <v>1</v>
      </c>
      <c r="U409" s="50">
        <v>0</v>
      </c>
      <c r="V409" s="50">
        <v>0.177728</v>
      </c>
      <c r="W409" s="50">
        <v>0.049759</v>
      </c>
      <c r="X409" s="50">
        <v>0.001579</v>
      </c>
      <c r="Y409" s="50">
        <v>0</v>
      </c>
      <c r="Z409" s="50">
        <v>0</v>
      </c>
      <c r="AA409" s="73">
        <v>409</v>
      </c>
      <c r="AB409" s="73"/>
      <c r="AC409" s="74"/>
      <c r="AD409" s="81" t="s">
        <v>1699</v>
      </c>
      <c r="AE409" s="81"/>
      <c r="AF409" s="81"/>
      <c r="AG409" s="81"/>
      <c r="AH409" s="81"/>
      <c r="AI409" s="81" t="s">
        <v>2425</v>
      </c>
      <c r="AJ409" s="85">
        <v>43932.904328703706</v>
      </c>
      <c r="AK409" s="83" t="str">
        <f>HYPERLINK("https://yt3.ggpht.com/sDJl8v35JYN31thIxO5JTc0rnWwbhukf0cHYXyEDPetrIDvbeEKocAOw84Zo-XapBAGWXK0uW1o=s88-c-k-c0x00ffffff-no-rj")</f>
        <v>https://yt3.ggpht.com/sDJl8v35JYN31thIxO5JTc0rnWwbhukf0cHYXyEDPetrIDvbeEKocAOw84Zo-XapBAGWXK0uW1o=s88-c-k-c0x00ffffff-no-rj</v>
      </c>
      <c r="AL409" s="81">
        <v>213767</v>
      </c>
      <c r="AM409" s="81">
        <v>0</v>
      </c>
      <c r="AN409" s="81">
        <v>197</v>
      </c>
      <c r="AO409" s="81" t="b">
        <v>0</v>
      </c>
      <c r="AP409" s="81">
        <v>48</v>
      </c>
      <c r="AQ409" s="81"/>
      <c r="AR409" s="81"/>
      <c r="AS409" s="81" t="s">
        <v>2571</v>
      </c>
      <c r="AT409" s="83" t="str">
        <f>HYPERLINK("https://www.youtube.com/channel/UCq_cL6-MVd7lmoT8GcqkGew")</f>
        <v>https://www.youtube.com/channel/UCq_cL6-MVd7lmoT8GcqkGew</v>
      </c>
      <c r="AU409" s="81">
        <v>1</v>
      </c>
      <c r="AV409" s="49">
        <v>0</v>
      </c>
      <c r="AW409" s="50">
        <v>0</v>
      </c>
      <c r="AX409" s="49">
        <v>0</v>
      </c>
      <c r="AY409" s="50">
        <v>0</v>
      </c>
      <c r="AZ409" s="49">
        <v>0</v>
      </c>
      <c r="BA409" s="50">
        <v>0</v>
      </c>
      <c r="BB409" s="49">
        <v>8</v>
      </c>
      <c r="BC409" s="50">
        <v>34.78260869565217</v>
      </c>
      <c r="BD409" s="49">
        <v>23</v>
      </c>
      <c r="BE409" s="49"/>
      <c r="BF409" s="49"/>
      <c r="BG409" s="49"/>
      <c r="BH409" s="49"/>
      <c r="BI409" s="49"/>
      <c r="BJ409" s="49"/>
      <c r="BK409" s="115" t="s">
        <v>2938</v>
      </c>
      <c r="BL409" s="115" t="s">
        <v>2938</v>
      </c>
      <c r="BM409" s="115" t="s">
        <v>3386</v>
      </c>
      <c r="BN409" s="115" t="s">
        <v>3386</v>
      </c>
      <c r="BO409" s="2"/>
      <c r="BP409" s="3"/>
      <c r="BQ409" s="3"/>
      <c r="BR409" s="3"/>
      <c r="BS409" s="3"/>
    </row>
    <row r="410" spans="1:71" ht="15">
      <c r="A410" s="66" t="s">
        <v>627</v>
      </c>
      <c r="B410" s="67"/>
      <c r="C410" s="67"/>
      <c r="D410" s="68">
        <v>150</v>
      </c>
      <c r="E410" s="70"/>
      <c r="F410" s="102" t="str">
        <f>HYPERLINK("https://yt3.ggpht.com/ytc/AOPolaQtfUp8xrB2oxz8L98pK_LWMOmk9RWN3PvJ4QCl=s88-c-k-c0x00ffffff-no-rj")</f>
        <v>https://yt3.ggpht.com/ytc/AOPolaQtfUp8xrB2oxz8L98pK_LWMOmk9RWN3PvJ4QCl=s88-c-k-c0x00ffffff-no-rj</v>
      </c>
      <c r="G410" s="67"/>
      <c r="H410" s="71" t="s">
        <v>1700</v>
      </c>
      <c r="I410" s="72"/>
      <c r="J410" s="72" t="s">
        <v>159</v>
      </c>
      <c r="K410" s="71" t="s">
        <v>1700</v>
      </c>
      <c r="L410" s="75">
        <v>1</v>
      </c>
      <c r="M410" s="76">
        <v>4099.60302734375</v>
      </c>
      <c r="N410" s="76">
        <v>7408.20263671875</v>
      </c>
      <c r="O410" s="77"/>
      <c r="P410" s="78"/>
      <c r="Q410" s="78"/>
      <c r="R410" s="88"/>
      <c r="S410" s="49">
        <v>0</v>
      </c>
      <c r="T410" s="49">
        <v>1</v>
      </c>
      <c r="U410" s="50">
        <v>0</v>
      </c>
      <c r="V410" s="50">
        <v>0.177728</v>
      </c>
      <c r="W410" s="50">
        <v>0.049759</v>
      </c>
      <c r="X410" s="50">
        <v>0.001579</v>
      </c>
      <c r="Y410" s="50">
        <v>0</v>
      </c>
      <c r="Z410" s="50">
        <v>0</v>
      </c>
      <c r="AA410" s="73">
        <v>410</v>
      </c>
      <c r="AB410" s="73"/>
      <c r="AC410" s="74"/>
      <c r="AD410" s="81" t="s">
        <v>1700</v>
      </c>
      <c r="AE410" s="81"/>
      <c r="AF410" s="81"/>
      <c r="AG410" s="81"/>
      <c r="AH410" s="81"/>
      <c r="AI410" s="81" t="s">
        <v>2426</v>
      </c>
      <c r="AJ410" s="85">
        <v>43978.210069444445</v>
      </c>
      <c r="AK410" s="83" t="str">
        <f>HYPERLINK("https://yt3.ggpht.com/ytc/AOPolaQtfUp8xrB2oxz8L98pK_LWMOmk9RWN3PvJ4QCl=s88-c-k-c0x00ffffff-no-rj")</f>
        <v>https://yt3.ggpht.com/ytc/AOPolaQtfUp8xrB2oxz8L98pK_LWMOmk9RWN3PvJ4QCl=s88-c-k-c0x00ffffff-no-rj</v>
      </c>
      <c r="AL410" s="81">
        <v>0</v>
      </c>
      <c r="AM410" s="81">
        <v>0</v>
      </c>
      <c r="AN410" s="81">
        <v>1</v>
      </c>
      <c r="AO410" s="81" t="b">
        <v>0</v>
      </c>
      <c r="AP410" s="81">
        <v>0</v>
      </c>
      <c r="AQ410" s="81"/>
      <c r="AR410" s="81"/>
      <c r="AS410" s="81" t="s">
        <v>2571</v>
      </c>
      <c r="AT410" s="83" t="str">
        <f>HYPERLINK("https://www.youtube.com/channel/UCOl9T2briN9rXOhHtA-2UVQ")</f>
        <v>https://www.youtube.com/channel/UCOl9T2briN9rXOhHtA-2UVQ</v>
      </c>
      <c r="AU410" s="81">
        <v>1</v>
      </c>
      <c r="AV410" s="49">
        <v>1</v>
      </c>
      <c r="AW410" s="50">
        <v>5.2631578947368425</v>
      </c>
      <c r="AX410" s="49">
        <v>0</v>
      </c>
      <c r="AY410" s="50">
        <v>0</v>
      </c>
      <c r="AZ410" s="49">
        <v>0</v>
      </c>
      <c r="BA410" s="50">
        <v>0</v>
      </c>
      <c r="BB410" s="49">
        <v>6</v>
      </c>
      <c r="BC410" s="50">
        <v>31.57894736842105</v>
      </c>
      <c r="BD410" s="49">
        <v>19</v>
      </c>
      <c r="BE410" s="49"/>
      <c r="BF410" s="49"/>
      <c r="BG410" s="49"/>
      <c r="BH410" s="49"/>
      <c r="BI410" s="49"/>
      <c r="BJ410" s="49"/>
      <c r="BK410" s="115" t="s">
        <v>2939</v>
      </c>
      <c r="BL410" s="115" t="s">
        <v>2939</v>
      </c>
      <c r="BM410" s="115" t="s">
        <v>3387</v>
      </c>
      <c r="BN410" s="115" t="s">
        <v>3387</v>
      </c>
      <c r="BO410" s="2"/>
      <c r="BP410" s="3"/>
      <c r="BQ410" s="3"/>
      <c r="BR410" s="3"/>
      <c r="BS410" s="3"/>
    </row>
    <row r="411" spans="1:71" ht="15">
      <c r="A411" s="66" t="s">
        <v>628</v>
      </c>
      <c r="B411" s="67"/>
      <c r="C411" s="67"/>
      <c r="D411" s="68">
        <v>150</v>
      </c>
      <c r="E411" s="70"/>
      <c r="F411" s="102" t="str">
        <f>HYPERLINK("https://yt3.ggpht.com/rGG-zo-08spTifr_7apA_KWt2KT3hCmu47SXZnHYWi0aniG_2UvbVHy4u_CrwTrCmvjsu59cAA=s88-c-k-c0x00ffffff-no-rj")</f>
        <v>https://yt3.ggpht.com/rGG-zo-08spTifr_7apA_KWt2KT3hCmu47SXZnHYWi0aniG_2UvbVHy4u_CrwTrCmvjsu59cAA=s88-c-k-c0x00ffffff-no-rj</v>
      </c>
      <c r="G411" s="67"/>
      <c r="H411" s="71" t="s">
        <v>1701</v>
      </c>
      <c r="I411" s="72"/>
      <c r="J411" s="72" t="s">
        <v>159</v>
      </c>
      <c r="K411" s="71" t="s">
        <v>1701</v>
      </c>
      <c r="L411" s="75">
        <v>1</v>
      </c>
      <c r="M411" s="76">
        <v>1596.564453125</v>
      </c>
      <c r="N411" s="76">
        <v>6248.5</v>
      </c>
      <c r="O411" s="77"/>
      <c r="P411" s="78"/>
      <c r="Q411" s="78"/>
      <c r="R411" s="88"/>
      <c r="S411" s="49">
        <v>0</v>
      </c>
      <c r="T411" s="49">
        <v>1</v>
      </c>
      <c r="U411" s="50">
        <v>0</v>
      </c>
      <c r="V411" s="50">
        <v>0.177728</v>
      </c>
      <c r="W411" s="50">
        <v>0.049759</v>
      </c>
      <c r="X411" s="50">
        <v>0.001579</v>
      </c>
      <c r="Y411" s="50">
        <v>0</v>
      </c>
      <c r="Z411" s="50">
        <v>0</v>
      </c>
      <c r="AA411" s="73">
        <v>411</v>
      </c>
      <c r="AB411" s="73"/>
      <c r="AC411" s="74"/>
      <c r="AD411" s="81" t="s">
        <v>1701</v>
      </c>
      <c r="AE411" s="81"/>
      <c r="AF411" s="81"/>
      <c r="AG411" s="81"/>
      <c r="AH411" s="81"/>
      <c r="AI411" s="81" t="s">
        <v>2427</v>
      </c>
      <c r="AJ411" s="85">
        <v>41174.97917824074</v>
      </c>
      <c r="AK411" s="83" t="str">
        <f>HYPERLINK("https://yt3.ggpht.com/rGG-zo-08spTifr_7apA_KWt2KT3hCmu47SXZnHYWi0aniG_2UvbVHy4u_CrwTrCmvjsu59cAA=s88-c-k-c0x00ffffff-no-rj")</f>
        <v>https://yt3.ggpht.com/rGG-zo-08spTifr_7apA_KWt2KT3hCmu47SXZnHYWi0aniG_2UvbVHy4u_CrwTrCmvjsu59cAA=s88-c-k-c0x00ffffff-no-rj</v>
      </c>
      <c r="AL411" s="81">
        <v>0</v>
      </c>
      <c r="AM411" s="81">
        <v>0</v>
      </c>
      <c r="AN411" s="81">
        <v>4</v>
      </c>
      <c r="AO411" s="81" t="b">
        <v>0</v>
      </c>
      <c r="AP411" s="81">
        <v>0</v>
      </c>
      <c r="AQ411" s="81"/>
      <c r="AR411" s="81"/>
      <c r="AS411" s="81" t="s">
        <v>2571</v>
      </c>
      <c r="AT411" s="83" t="str">
        <f>HYPERLINK("https://www.youtube.com/channel/UCUWn49F_co-2qUwxo0pnCgA")</f>
        <v>https://www.youtube.com/channel/UCUWn49F_co-2qUwxo0pnCgA</v>
      </c>
      <c r="AU411" s="81">
        <v>1</v>
      </c>
      <c r="AV411" s="49">
        <v>0</v>
      </c>
      <c r="AW411" s="50">
        <v>0</v>
      </c>
      <c r="AX411" s="49">
        <v>1</v>
      </c>
      <c r="AY411" s="50">
        <v>7.6923076923076925</v>
      </c>
      <c r="AZ411" s="49">
        <v>0</v>
      </c>
      <c r="BA411" s="50">
        <v>0</v>
      </c>
      <c r="BB411" s="49">
        <v>5</v>
      </c>
      <c r="BC411" s="50">
        <v>38.46153846153846</v>
      </c>
      <c r="BD411" s="49">
        <v>13</v>
      </c>
      <c r="BE411" s="49"/>
      <c r="BF411" s="49"/>
      <c r="BG411" s="49"/>
      <c r="BH411" s="49"/>
      <c r="BI411" s="49"/>
      <c r="BJ411" s="49"/>
      <c r="BK411" s="115" t="s">
        <v>2940</v>
      </c>
      <c r="BL411" s="115" t="s">
        <v>2940</v>
      </c>
      <c r="BM411" s="115" t="s">
        <v>3388</v>
      </c>
      <c r="BN411" s="115" t="s">
        <v>3388</v>
      </c>
      <c r="BO411" s="2"/>
      <c r="BP411" s="3"/>
      <c r="BQ411" s="3"/>
      <c r="BR411" s="3"/>
      <c r="BS411" s="3"/>
    </row>
    <row r="412" spans="1:71" ht="15">
      <c r="A412" s="66" t="s">
        <v>629</v>
      </c>
      <c r="B412" s="67"/>
      <c r="C412" s="67"/>
      <c r="D412" s="68">
        <v>150</v>
      </c>
      <c r="E412" s="70"/>
      <c r="F412" s="102" t="str">
        <f>HYPERLINK("https://yt3.ggpht.com/ytc/AOPolaR930ZdAYZuicaJ6tfFBfwe5nL_cUfIcJT3-Bl9jg=s88-c-k-c0x00ffffff-no-rj")</f>
        <v>https://yt3.ggpht.com/ytc/AOPolaR930ZdAYZuicaJ6tfFBfwe5nL_cUfIcJT3-Bl9jg=s88-c-k-c0x00ffffff-no-rj</v>
      </c>
      <c r="G412" s="67"/>
      <c r="H412" s="71" t="s">
        <v>1702</v>
      </c>
      <c r="I412" s="72"/>
      <c r="J412" s="72" t="s">
        <v>159</v>
      </c>
      <c r="K412" s="71" t="s">
        <v>1702</v>
      </c>
      <c r="L412" s="75">
        <v>1</v>
      </c>
      <c r="M412" s="76">
        <v>3822.517578125</v>
      </c>
      <c r="N412" s="76">
        <v>9100.7783203125</v>
      </c>
      <c r="O412" s="77"/>
      <c r="P412" s="78"/>
      <c r="Q412" s="78"/>
      <c r="R412" s="88"/>
      <c r="S412" s="49">
        <v>0</v>
      </c>
      <c r="T412" s="49">
        <v>1</v>
      </c>
      <c r="U412" s="50">
        <v>0</v>
      </c>
      <c r="V412" s="50">
        <v>0.177728</v>
      </c>
      <c r="W412" s="50">
        <v>0.049759</v>
      </c>
      <c r="X412" s="50">
        <v>0.001579</v>
      </c>
      <c r="Y412" s="50">
        <v>0</v>
      </c>
      <c r="Z412" s="50">
        <v>0</v>
      </c>
      <c r="AA412" s="73">
        <v>412</v>
      </c>
      <c r="AB412" s="73"/>
      <c r="AC412" s="74"/>
      <c r="AD412" s="81" t="s">
        <v>1702</v>
      </c>
      <c r="AE412" s="81"/>
      <c r="AF412" s="81"/>
      <c r="AG412" s="81"/>
      <c r="AH412" s="81"/>
      <c r="AI412" s="81" t="s">
        <v>2428</v>
      </c>
      <c r="AJ412" s="85">
        <v>40115.09709490741</v>
      </c>
      <c r="AK412" s="83" t="str">
        <f>HYPERLINK("https://yt3.ggpht.com/ytc/AOPolaR930ZdAYZuicaJ6tfFBfwe5nL_cUfIcJT3-Bl9jg=s88-c-k-c0x00ffffff-no-rj")</f>
        <v>https://yt3.ggpht.com/ytc/AOPolaR930ZdAYZuicaJ6tfFBfwe5nL_cUfIcJT3-Bl9jg=s88-c-k-c0x00ffffff-no-rj</v>
      </c>
      <c r="AL412" s="81">
        <v>14</v>
      </c>
      <c r="AM412" s="81">
        <v>0</v>
      </c>
      <c r="AN412" s="81">
        <v>12</v>
      </c>
      <c r="AO412" s="81" t="b">
        <v>0</v>
      </c>
      <c r="AP412" s="81">
        <v>1</v>
      </c>
      <c r="AQ412" s="81"/>
      <c r="AR412" s="81"/>
      <c r="AS412" s="81" t="s">
        <v>2571</v>
      </c>
      <c r="AT412" s="83" t="str">
        <f>HYPERLINK("https://www.youtube.com/channel/UCbItBcjAoT3zq55mgQk64zA")</f>
        <v>https://www.youtube.com/channel/UCbItBcjAoT3zq55mgQk64zA</v>
      </c>
      <c r="AU412" s="81">
        <v>1</v>
      </c>
      <c r="AV412" s="49">
        <v>0</v>
      </c>
      <c r="AW412" s="50">
        <v>0</v>
      </c>
      <c r="AX412" s="49">
        <v>0</v>
      </c>
      <c r="AY412" s="50">
        <v>0</v>
      </c>
      <c r="AZ412" s="49">
        <v>0</v>
      </c>
      <c r="BA412" s="50">
        <v>0</v>
      </c>
      <c r="BB412" s="49">
        <v>1</v>
      </c>
      <c r="BC412" s="50">
        <v>9.090909090909092</v>
      </c>
      <c r="BD412" s="49">
        <v>11</v>
      </c>
      <c r="BE412" s="49"/>
      <c r="BF412" s="49"/>
      <c r="BG412" s="49"/>
      <c r="BH412" s="49"/>
      <c r="BI412" s="49"/>
      <c r="BJ412" s="49"/>
      <c r="BK412" s="115" t="s">
        <v>2941</v>
      </c>
      <c r="BL412" s="115" t="s">
        <v>2941</v>
      </c>
      <c r="BM412" s="115" t="s">
        <v>4477</v>
      </c>
      <c r="BN412" s="115" t="s">
        <v>4477</v>
      </c>
      <c r="BO412" s="2"/>
      <c r="BP412" s="3"/>
      <c r="BQ412" s="3"/>
      <c r="BR412" s="3"/>
      <c r="BS412" s="3"/>
    </row>
    <row r="413" spans="1:71" ht="15">
      <c r="A413" s="66" t="s">
        <v>630</v>
      </c>
      <c r="B413" s="67"/>
      <c r="C413" s="67"/>
      <c r="D413" s="68">
        <v>150</v>
      </c>
      <c r="E413" s="70"/>
      <c r="F413" s="102" t="str">
        <f>HYPERLINK("https://yt3.ggpht.com/UzksxubUUqTTzPi3jtpb205tV5BavietztzkNoitylFWZqVN_DLkg6MIIgoCEFZ1XBdofa-pwWs=s88-c-k-c0x00ffffff-no-rj")</f>
        <v>https://yt3.ggpht.com/UzksxubUUqTTzPi3jtpb205tV5BavietztzkNoitylFWZqVN_DLkg6MIIgoCEFZ1XBdofa-pwWs=s88-c-k-c0x00ffffff-no-rj</v>
      </c>
      <c r="G413" s="67"/>
      <c r="H413" s="71" t="s">
        <v>1703</v>
      </c>
      <c r="I413" s="72"/>
      <c r="J413" s="72" t="s">
        <v>159</v>
      </c>
      <c r="K413" s="71" t="s">
        <v>1703</v>
      </c>
      <c r="L413" s="75">
        <v>1</v>
      </c>
      <c r="M413" s="76">
        <v>1981.860107421875</v>
      </c>
      <c r="N413" s="76">
        <v>4482.20849609375</v>
      </c>
      <c r="O413" s="77"/>
      <c r="P413" s="78"/>
      <c r="Q413" s="78"/>
      <c r="R413" s="88"/>
      <c r="S413" s="49">
        <v>0</v>
      </c>
      <c r="T413" s="49">
        <v>1</v>
      </c>
      <c r="U413" s="50">
        <v>0</v>
      </c>
      <c r="V413" s="50">
        <v>0.177728</v>
      </c>
      <c r="W413" s="50">
        <v>0.049759</v>
      </c>
      <c r="X413" s="50">
        <v>0.001579</v>
      </c>
      <c r="Y413" s="50">
        <v>0</v>
      </c>
      <c r="Z413" s="50">
        <v>0</v>
      </c>
      <c r="AA413" s="73">
        <v>413</v>
      </c>
      <c r="AB413" s="73"/>
      <c r="AC413" s="74"/>
      <c r="AD413" s="81" t="s">
        <v>1703</v>
      </c>
      <c r="AE413" s="81"/>
      <c r="AF413" s="81"/>
      <c r="AG413" s="81"/>
      <c r="AH413" s="81"/>
      <c r="AI413" s="81" t="s">
        <v>2429</v>
      </c>
      <c r="AJ413" s="85">
        <v>42969.90244212963</v>
      </c>
      <c r="AK413" s="83" t="str">
        <f>HYPERLINK("https://yt3.ggpht.com/UzksxubUUqTTzPi3jtpb205tV5BavietztzkNoitylFWZqVN_DLkg6MIIgoCEFZ1XBdofa-pwWs=s88-c-k-c0x00ffffff-no-rj")</f>
        <v>https://yt3.ggpht.com/UzksxubUUqTTzPi3jtpb205tV5BavietztzkNoitylFWZqVN_DLkg6MIIgoCEFZ1XBdofa-pwWs=s88-c-k-c0x00ffffff-no-rj</v>
      </c>
      <c r="AL413" s="81">
        <v>0</v>
      </c>
      <c r="AM413" s="81">
        <v>0</v>
      </c>
      <c r="AN413" s="81">
        <v>9</v>
      </c>
      <c r="AO413" s="81" t="b">
        <v>0</v>
      </c>
      <c r="AP413" s="81">
        <v>0</v>
      </c>
      <c r="AQ413" s="81"/>
      <c r="AR413" s="81"/>
      <c r="AS413" s="81" t="s">
        <v>2571</v>
      </c>
      <c r="AT413" s="83" t="str">
        <f>HYPERLINK("https://www.youtube.com/channel/UCQR2UEbaLONB77tVFAQd-BQ")</f>
        <v>https://www.youtube.com/channel/UCQR2UEbaLONB77tVFAQd-BQ</v>
      </c>
      <c r="AU413" s="81">
        <v>1</v>
      </c>
      <c r="AV413" s="49">
        <v>0</v>
      </c>
      <c r="AW413" s="50">
        <v>0</v>
      </c>
      <c r="AX413" s="49">
        <v>1</v>
      </c>
      <c r="AY413" s="50">
        <v>14.285714285714286</v>
      </c>
      <c r="AZ413" s="49">
        <v>0</v>
      </c>
      <c r="BA413" s="50">
        <v>0</v>
      </c>
      <c r="BB413" s="49">
        <v>0</v>
      </c>
      <c r="BC413" s="50">
        <v>0</v>
      </c>
      <c r="BD413" s="49">
        <v>7</v>
      </c>
      <c r="BE413" s="49"/>
      <c r="BF413" s="49"/>
      <c r="BG413" s="49"/>
      <c r="BH413" s="49"/>
      <c r="BI413" s="49"/>
      <c r="BJ413" s="49"/>
      <c r="BK413" s="115" t="s">
        <v>2942</v>
      </c>
      <c r="BL413" s="115" t="s">
        <v>2942</v>
      </c>
      <c r="BM413" s="115" t="s">
        <v>4477</v>
      </c>
      <c r="BN413" s="115" t="s">
        <v>4477</v>
      </c>
      <c r="BO413" s="2"/>
      <c r="BP413" s="3"/>
      <c r="BQ413" s="3"/>
      <c r="BR413" s="3"/>
      <c r="BS413" s="3"/>
    </row>
    <row r="414" spans="1:71" ht="15">
      <c r="A414" s="66" t="s">
        <v>631</v>
      </c>
      <c r="B414" s="67"/>
      <c r="C414" s="67"/>
      <c r="D414" s="68">
        <v>150</v>
      </c>
      <c r="E414" s="70"/>
      <c r="F414" s="102" t="str">
        <f>HYPERLINK("https://yt3.ggpht.com/ytc/AOPolaTimQ2CVmjKxGR2MI0frNftZ54NtaNwj9jQJjuyannTCtFfS7scotCayhkgtFV7=s88-c-k-c0x00ffffff-no-rj")</f>
        <v>https://yt3.ggpht.com/ytc/AOPolaTimQ2CVmjKxGR2MI0frNftZ54NtaNwj9jQJjuyannTCtFfS7scotCayhkgtFV7=s88-c-k-c0x00ffffff-no-rj</v>
      </c>
      <c r="G414" s="67"/>
      <c r="H414" s="71" t="s">
        <v>1704</v>
      </c>
      <c r="I414" s="72"/>
      <c r="J414" s="72" t="s">
        <v>159</v>
      </c>
      <c r="K414" s="71" t="s">
        <v>1704</v>
      </c>
      <c r="L414" s="75">
        <v>1</v>
      </c>
      <c r="M414" s="76">
        <v>2600.146240234375</v>
      </c>
      <c r="N414" s="76">
        <v>5491.65234375</v>
      </c>
      <c r="O414" s="77"/>
      <c r="P414" s="78"/>
      <c r="Q414" s="78"/>
      <c r="R414" s="88"/>
      <c r="S414" s="49">
        <v>0</v>
      </c>
      <c r="T414" s="49">
        <v>1</v>
      </c>
      <c r="U414" s="50">
        <v>0</v>
      </c>
      <c r="V414" s="50">
        <v>0.177728</v>
      </c>
      <c r="W414" s="50">
        <v>0.049759</v>
      </c>
      <c r="X414" s="50">
        <v>0.001579</v>
      </c>
      <c r="Y414" s="50">
        <v>0</v>
      </c>
      <c r="Z414" s="50">
        <v>0</v>
      </c>
      <c r="AA414" s="73">
        <v>414</v>
      </c>
      <c r="AB414" s="73"/>
      <c r="AC414" s="74"/>
      <c r="AD414" s="81" t="s">
        <v>1704</v>
      </c>
      <c r="AE414" s="81"/>
      <c r="AF414" s="81"/>
      <c r="AG414" s="81"/>
      <c r="AH414" s="81"/>
      <c r="AI414" s="81" t="s">
        <v>2430</v>
      </c>
      <c r="AJ414" s="85">
        <v>45048.947164351855</v>
      </c>
      <c r="AK414" s="83" t="str">
        <f>HYPERLINK("https://yt3.ggpht.com/ytc/AOPolaTimQ2CVmjKxGR2MI0frNftZ54NtaNwj9jQJjuyannTCtFfS7scotCayhkgtFV7=s88-c-k-c0x00ffffff-no-rj")</f>
        <v>https://yt3.ggpht.com/ytc/AOPolaTimQ2CVmjKxGR2MI0frNftZ54NtaNwj9jQJjuyannTCtFfS7scotCayhkgtFV7=s88-c-k-c0x00ffffff-no-rj</v>
      </c>
      <c r="AL414" s="81">
        <v>0</v>
      </c>
      <c r="AM414" s="81">
        <v>0</v>
      </c>
      <c r="AN414" s="81">
        <v>0</v>
      </c>
      <c r="AO414" s="81" t="b">
        <v>0</v>
      </c>
      <c r="AP414" s="81">
        <v>0</v>
      </c>
      <c r="AQ414" s="81"/>
      <c r="AR414" s="81"/>
      <c r="AS414" s="81" t="s">
        <v>2571</v>
      </c>
      <c r="AT414" s="83" t="str">
        <f>HYPERLINK("https://www.youtube.com/channel/UC2gpqDFhqNpiziVdgQVlGpg")</f>
        <v>https://www.youtube.com/channel/UC2gpqDFhqNpiziVdgQVlGpg</v>
      </c>
      <c r="AU414" s="81">
        <v>1</v>
      </c>
      <c r="AV414" s="49">
        <v>0</v>
      </c>
      <c r="AW414" s="50">
        <v>0</v>
      </c>
      <c r="AX414" s="49">
        <v>1</v>
      </c>
      <c r="AY414" s="50">
        <v>6.666666666666667</v>
      </c>
      <c r="AZ414" s="49">
        <v>0</v>
      </c>
      <c r="BA414" s="50">
        <v>0</v>
      </c>
      <c r="BB414" s="49">
        <v>6</v>
      </c>
      <c r="BC414" s="50">
        <v>40</v>
      </c>
      <c r="BD414" s="49">
        <v>15</v>
      </c>
      <c r="BE414" s="49"/>
      <c r="BF414" s="49"/>
      <c r="BG414" s="49"/>
      <c r="BH414" s="49"/>
      <c r="BI414" s="49"/>
      <c r="BJ414" s="49"/>
      <c r="BK414" s="115" t="s">
        <v>2943</v>
      </c>
      <c r="BL414" s="115" t="s">
        <v>2943</v>
      </c>
      <c r="BM414" s="115" t="s">
        <v>3389</v>
      </c>
      <c r="BN414" s="115" t="s">
        <v>3389</v>
      </c>
      <c r="BO414" s="2"/>
      <c r="BP414" s="3"/>
      <c r="BQ414" s="3"/>
      <c r="BR414" s="3"/>
      <c r="BS414" s="3"/>
    </row>
    <row r="415" spans="1:71" ht="15">
      <c r="A415" s="66" t="s">
        <v>632</v>
      </c>
      <c r="B415" s="67"/>
      <c r="C415" s="67"/>
      <c r="D415" s="68">
        <v>150</v>
      </c>
      <c r="E415" s="70"/>
      <c r="F415" s="102" t="str">
        <f>HYPERLINK("https://yt3.ggpht.com/_CYyN8xD-2oIKsBK_8kl3l3VqF7ej8xbn3hf3yJxC0p3NCyzQJ3HYZl7YDb_Tt-SLQMEXJjX=s88-c-k-c0x00ffffff-no-rj")</f>
        <v>https://yt3.ggpht.com/_CYyN8xD-2oIKsBK_8kl3l3VqF7ej8xbn3hf3yJxC0p3NCyzQJ3HYZl7YDb_Tt-SLQMEXJjX=s88-c-k-c0x00ffffff-no-rj</v>
      </c>
      <c r="G415" s="67"/>
      <c r="H415" s="71" t="s">
        <v>1705</v>
      </c>
      <c r="I415" s="72"/>
      <c r="J415" s="72" t="s">
        <v>159</v>
      </c>
      <c r="K415" s="71" t="s">
        <v>1705</v>
      </c>
      <c r="L415" s="75">
        <v>1</v>
      </c>
      <c r="M415" s="76">
        <v>3516.29345703125</v>
      </c>
      <c r="N415" s="76">
        <v>7109.9091796875</v>
      </c>
      <c r="O415" s="77"/>
      <c r="P415" s="78"/>
      <c r="Q415" s="78"/>
      <c r="R415" s="88"/>
      <c r="S415" s="49">
        <v>0</v>
      </c>
      <c r="T415" s="49">
        <v>1</v>
      </c>
      <c r="U415" s="50">
        <v>0</v>
      </c>
      <c r="V415" s="50">
        <v>0.177728</v>
      </c>
      <c r="W415" s="50">
        <v>0.049759</v>
      </c>
      <c r="X415" s="50">
        <v>0.001579</v>
      </c>
      <c r="Y415" s="50">
        <v>0</v>
      </c>
      <c r="Z415" s="50">
        <v>0</v>
      </c>
      <c r="AA415" s="73">
        <v>415</v>
      </c>
      <c r="AB415" s="73"/>
      <c r="AC415" s="74"/>
      <c r="AD415" s="81" t="s">
        <v>1705</v>
      </c>
      <c r="AE415" s="81"/>
      <c r="AF415" s="81"/>
      <c r="AG415" s="81"/>
      <c r="AH415" s="81"/>
      <c r="AI415" s="81" t="s">
        <v>2431</v>
      </c>
      <c r="AJ415" s="85">
        <v>40414.25234953704</v>
      </c>
      <c r="AK415" s="83" t="str">
        <f>HYPERLINK("https://yt3.ggpht.com/_CYyN8xD-2oIKsBK_8kl3l3VqF7ej8xbn3hf3yJxC0p3NCyzQJ3HYZl7YDb_Tt-SLQMEXJjX=s88-c-k-c0x00ffffff-no-rj")</f>
        <v>https://yt3.ggpht.com/_CYyN8xD-2oIKsBK_8kl3l3VqF7ej8xbn3hf3yJxC0p3NCyzQJ3HYZl7YDb_Tt-SLQMEXJjX=s88-c-k-c0x00ffffff-no-rj</v>
      </c>
      <c r="AL415" s="81">
        <v>1029</v>
      </c>
      <c r="AM415" s="81">
        <v>0</v>
      </c>
      <c r="AN415" s="81">
        <v>114</v>
      </c>
      <c r="AO415" s="81" t="b">
        <v>0</v>
      </c>
      <c r="AP415" s="81">
        <v>9</v>
      </c>
      <c r="AQ415" s="81"/>
      <c r="AR415" s="81"/>
      <c r="AS415" s="81" t="s">
        <v>2571</v>
      </c>
      <c r="AT415" s="83" t="str">
        <f>HYPERLINK("https://www.youtube.com/channel/UCSAiw_lOoornMF7bgO9qozg")</f>
        <v>https://www.youtube.com/channel/UCSAiw_lOoornMF7bgO9qozg</v>
      </c>
      <c r="AU415" s="81">
        <v>1</v>
      </c>
      <c r="AV415" s="49">
        <v>2</v>
      </c>
      <c r="AW415" s="50">
        <v>1.9801980198019802</v>
      </c>
      <c r="AX415" s="49">
        <v>2</v>
      </c>
      <c r="AY415" s="50">
        <v>1.9801980198019802</v>
      </c>
      <c r="AZ415" s="49">
        <v>0</v>
      </c>
      <c r="BA415" s="50">
        <v>0</v>
      </c>
      <c r="BB415" s="49">
        <v>25</v>
      </c>
      <c r="BC415" s="50">
        <v>24.752475247524753</v>
      </c>
      <c r="BD415" s="49">
        <v>101</v>
      </c>
      <c r="BE415" s="49"/>
      <c r="BF415" s="49"/>
      <c r="BG415" s="49"/>
      <c r="BH415" s="49"/>
      <c r="BI415" s="49"/>
      <c r="BJ415" s="49"/>
      <c r="BK415" s="115" t="s">
        <v>2944</v>
      </c>
      <c r="BL415" s="115" t="s">
        <v>2944</v>
      </c>
      <c r="BM415" s="115" t="s">
        <v>3390</v>
      </c>
      <c r="BN415" s="115" t="s">
        <v>3390</v>
      </c>
      <c r="BO415" s="2"/>
      <c r="BP415" s="3"/>
      <c r="BQ415" s="3"/>
      <c r="BR415" s="3"/>
      <c r="BS415" s="3"/>
    </row>
    <row r="416" spans="1:71" ht="15">
      <c r="A416" s="66" t="s">
        <v>633</v>
      </c>
      <c r="B416" s="67"/>
      <c r="C416" s="67"/>
      <c r="D416" s="68">
        <v>150</v>
      </c>
      <c r="E416" s="70"/>
      <c r="F416" s="102" t="str">
        <f>HYPERLINK("https://yt3.ggpht.com/ytc/AOPolaS76IzLZgnFT2gFAa9eAPqLTc3zwphHfUylCA=s88-c-k-c0x00ffffff-no-rj")</f>
        <v>https://yt3.ggpht.com/ytc/AOPolaS76IzLZgnFT2gFAa9eAPqLTc3zwphHfUylCA=s88-c-k-c0x00ffffff-no-rj</v>
      </c>
      <c r="G416" s="67"/>
      <c r="H416" s="71" t="s">
        <v>1706</v>
      </c>
      <c r="I416" s="72"/>
      <c r="J416" s="72" t="s">
        <v>159</v>
      </c>
      <c r="K416" s="71" t="s">
        <v>1706</v>
      </c>
      <c r="L416" s="75">
        <v>1</v>
      </c>
      <c r="M416" s="76">
        <v>5147.2578125</v>
      </c>
      <c r="N416" s="76">
        <v>5963.79248046875</v>
      </c>
      <c r="O416" s="77"/>
      <c r="P416" s="78"/>
      <c r="Q416" s="78"/>
      <c r="R416" s="88"/>
      <c r="S416" s="49">
        <v>0</v>
      </c>
      <c r="T416" s="49">
        <v>1</v>
      </c>
      <c r="U416" s="50">
        <v>0</v>
      </c>
      <c r="V416" s="50">
        <v>0.177728</v>
      </c>
      <c r="W416" s="50">
        <v>0.049759</v>
      </c>
      <c r="X416" s="50">
        <v>0.001579</v>
      </c>
      <c r="Y416" s="50">
        <v>0</v>
      </c>
      <c r="Z416" s="50">
        <v>0</v>
      </c>
      <c r="AA416" s="73">
        <v>416</v>
      </c>
      <c r="AB416" s="73"/>
      <c r="AC416" s="74"/>
      <c r="AD416" s="81" t="s">
        <v>1706</v>
      </c>
      <c r="AE416" s="81"/>
      <c r="AF416" s="81"/>
      <c r="AG416" s="81"/>
      <c r="AH416" s="81"/>
      <c r="AI416" s="81" t="s">
        <v>2432</v>
      </c>
      <c r="AJ416" s="85">
        <v>42165.36420138889</v>
      </c>
      <c r="AK416" s="83" t="str">
        <f>HYPERLINK("https://yt3.ggpht.com/ytc/AOPolaS76IzLZgnFT2gFAa9eAPqLTc3zwphHfUylCA=s88-c-k-c0x00ffffff-no-rj")</f>
        <v>https://yt3.ggpht.com/ytc/AOPolaS76IzLZgnFT2gFAa9eAPqLTc3zwphHfUylCA=s88-c-k-c0x00ffffff-no-rj</v>
      </c>
      <c r="AL416" s="81">
        <v>0</v>
      </c>
      <c r="AM416" s="81">
        <v>0</v>
      </c>
      <c r="AN416" s="81">
        <v>14</v>
      </c>
      <c r="AO416" s="81" t="b">
        <v>0</v>
      </c>
      <c r="AP416" s="81">
        <v>0</v>
      </c>
      <c r="AQ416" s="81"/>
      <c r="AR416" s="81"/>
      <c r="AS416" s="81" t="s">
        <v>2571</v>
      </c>
      <c r="AT416" s="83" t="str">
        <f>HYPERLINK("https://www.youtube.com/channel/UCLEIkFjlJXhXU8hu-JUp0Kg")</f>
        <v>https://www.youtube.com/channel/UCLEIkFjlJXhXU8hu-JUp0Kg</v>
      </c>
      <c r="AU416" s="81">
        <v>1</v>
      </c>
      <c r="AV416" s="49">
        <v>0</v>
      </c>
      <c r="AW416" s="50">
        <v>0</v>
      </c>
      <c r="AX416" s="49">
        <v>0</v>
      </c>
      <c r="AY416" s="50">
        <v>0</v>
      </c>
      <c r="AZ416" s="49">
        <v>0</v>
      </c>
      <c r="BA416" s="50">
        <v>0</v>
      </c>
      <c r="BB416" s="49">
        <v>3</v>
      </c>
      <c r="BC416" s="50">
        <v>100</v>
      </c>
      <c r="BD416" s="49">
        <v>3</v>
      </c>
      <c r="BE416" s="49"/>
      <c r="BF416" s="49"/>
      <c r="BG416" s="49"/>
      <c r="BH416" s="49"/>
      <c r="BI416" s="49"/>
      <c r="BJ416" s="49"/>
      <c r="BK416" s="115" t="s">
        <v>2945</v>
      </c>
      <c r="BL416" s="115" t="s">
        <v>2945</v>
      </c>
      <c r="BM416" s="115" t="s">
        <v>3391</v>
      </c>
      <c r="BN416" s="115" t="s">
        <v>3391</v>
      </c>
      <c r="BO416" s="2"/>
      <c r="BP416" s="3"/>
      <c r="BQ416" s="3"/>
      <c r="BR416" s="3"/>
      <c r="BS416" s="3"/>
    </row>
    <row r="417" spans="1:71" ht="15">
      <c r="A417" s="66" t="s">
        <v>634</v>
      </c>
      <c r="B417" s="67"/>
      <c r="C417" s="67"/>
      <c r="D417" s="68">
        <v>150</v>
      </c>
      <c r="E417" s="70"/>
      <c r="F417" s="102" t="str">
        <f>HYPERLINK("https://yt3.ggpht.com/ytc/AOPolaTEOy-lKSd7qkqov11swTYerFfOI3S_uUW-0Q=s88-c-k-c0x00ffffff-no-rj")</f>
        <v>https://yt3.ggpht.com/ytc/AOPolaTEOy-lKSd7qkqov11swTYerFfOI3S_uUW-0Q=s88-c-k-c0x00ffffff-no-rj</v>
      </c>
      <c r="G417" s="67"/>
      <c r="H417" s="71" t="s">
        <v>1707</v>
      </c>
      <c r="I417" s="72"/>
      <c r="J417" s="72" t="s">
        <v>159</v>
      </c>
      <c r="K417" s="71" t="s">
        <v>1707</v>
      </c>
      <c r="L417" s="75">
        <v>1</v>
      </c>
      <c r="M417" s="76">
        <v>3974.18310546875</v>
      </c>
      <c r="N417" s="76">
        <v>6197.2421875</v>
      </c>
      <c r="O417" s="77"/>
      <c r="P417" s="78"/>
      <c r="Q417" s="78"/>
      <c r="R417" s="88"/>
      <c r="S417" s="49">
        <v>0</v>
      </c>
      <c r="T417" s="49">
        <v>1</v>
      </c>
      <c r="U417" s="50">
        <v>0</v>
      </c>
      <c r="V417" s="50">
        <v>0.177728</v>
      </c>
      <c r="W417" s="50">
        <v>0.049759</v>
      </c>
      <c r="X417" s="50">
        <v>0.001579</v>
      </c>
      <c r="Y417" s="50">
        <v>0</v>
      </c>
      <c r="Z417" s="50">
        <v>0</v>
      </c>
      <c r="AA417" s="73">
        <v>417</v>
      </c>
      <c r="AB417" s="73"/>
      <c r="AC417" s="74"/>
      <c r="AD417" s="81" t="s">
        <v>1707</v>
      </c>
      <c r="AE417" s="81"/>
      <c r="AF417" s="81"/>
      <c r="AG417" s="81"/>
      <c r="AH417" s="81"/>
      <c r="AI417" s="81" t="s">
        <v>2433</v>
      </c>
      <c r="AJ417" s="85">
        <v>40661.42560185185</v>
      </c>
      <c r="AK417" s="83" t="str">
        <f>HYPERLINK("https://yt3.ggpht.com/ytc/AOPolaTEOy-lKSd7qkqov11swTYerFfOI3S_uUW-0Q=s88-c-k-c0x00ffffff-no-rj")</f>
        <v>https://yt3.ggpht.com/ytc/AOPolaTEOy-lKSd7qkqov11swTYerFfOI3S_uUW-0Q=s88-c-k-c0x00ffffff-no-rj</v>
      </c>
      <c r="AL417" s="81">
        <v>0</v>
      </c>
      <c r="AM417" s="81">
        <v>0</v>
      </c>
      <c r="AN417" s="81">
        <v>3</v>
      </c>
      <c r="AO417" s="81" t="b">
        <v>0</v>
      </c>
      <c r="AP417" s="81">
        <v>0</v>
      </c>
      <c r="AQ417" s="81"/>
      <c r="AR417" s="81"/>
      <c r="AS417" s="81" t="s">
        <v>2571</v>
      </c>
      <c r="AT417" s="83" t="str">
        <f>HYPERLINK("https://www.youtube.com/channel/UCq45QdoE7QppeSdeeds4DYQ")</f>
        <v>https://www.youtube.com/channel/UCq45QdoE7QppeSdeeds4DYQ</v>
      </c>
      <c r="AU417" s="81">
        <v>1</v>
      </c>
      <c r="AV417" s="49">
        <v>0</v>
      </c>
      <c r="AW417" s="50">
        <v>0</v>
      </c>
      <c r="AX417" s="49">
        <v>0</v>
      </c>
      <c r="AY417" s="50">
        <v>0</v>
      </c>
      <c r="AZ417" s="49">
        <v>0</v>
      </c>
      <c r="BA417" s="50">
        <v>0</v>
      </c>
      <c r="BB417" s="49">
        <v>3</v>
      </c>
      <c r="BC417" s="50">
        <v>50</v>
      </c>
      <c r="BD417" s="49">
        <v>6</v>
      </c>
      <c r="BE417" s="49"/>
      <c r="BF417" s="49"/>
      <c r="BG417" s="49"/>
      <c r="BH417" s="49"/>
      <c r="BI417" s="49"/>
      <c r="BJ417" s="49"/>
      <c r="BK417" s="115" t="s">
        <v>2946</v>
      </c>
      <c r="BL417" s="115" t="s">
        <v>2946</v>
      </c>
      <c r="BM417" s="115" t="s">
        <v>3392</v>
      </c>
      <c r="BN417" s="115" t="s">
        <v>3392</v>
      </c>
      <c r="BO417" s="2"/>
      <c r="BP417" s="3"/>
      <c r="BQ417" s="3"/>
      <c r="BR417" s="3"/>
      <c r="BS417" s="3"/>
    </row>
    <row r="418" spans="1:71" ht="15">
      <c r="A418" s="66" t="s">
        <v>635</v>
      </c>
      <c r="B418" s="67"/>
      <c r="C418" s="67"/>
      <c r="D418" s="68">
        <v>150</v>
      </c>
      <c r="E418" s="70"/>
      <c r="F418" s="102" t="str">
        <f>HYPERLINK("https://yt3.ggpht.com/ytc/AOPolaRl-O_IzJ5eQ7jFQdMPv2MyYgf-7rlanW7o2DocjEXWQW42seYSPZiV3VD_fdqw=s88-c-k-c0x00ffffff-no-rj")</f>
        <v>https://yt3.ggpht.com/ytc/AOPolaRl-O_IzJ5eQ7jFQdMPv2MyYgf-7rlanW7o2DocjEXWQW42seYSPZiV3VD_fdqw=s88-c-k-c0x00ffffff-no-rj</v>
      </c>
      <c r="G418" s="67"/>
      <c r="H418" s="71" t="s">
        <v>1708</v>
      </c>
      <c r="I418" s="72"/>
      <c r="J418" s="72" t="s">
        <v>159</v>
      </c>
      <c r="K418" s="71" t="s">
        <v>1708</v>
      </c>
      <c r="L418" s="75">
        <v>1</v>
      </c>
      <c r="M418" s="76">
        <v>2562.98828125</v>
      </c>
      <c r="N418" s="76">
        <v>6075.583984375</v>
      </c>
      <c r="O418" s="77"/>
      <c r="P418" s="78"/>
      <c r="Q418" s="78"/>
      <c r="R418" s="88"/>
      <c r="S418" s="49">
        <v>0</v>
      </c>
      <c r="T418" s="49">
        <v>1</v>
      </c>
      <c r="U418" s="50">
        <v>0</v>
      </c>
      <c r="V418" s="50">
        <v>0.177728</v>
      </c>
      <c r="W418" s="50">
        <v>0.049759</v>
      </c>
      <c r="X418" s="50">
        <v>0.001579</v>
      </c>
      <c r="Y418" s="50">
        <v>0</v>
      </c>
      <c r="Z418" s="50">
        <v>0</v>
      </c>
      <c r="AA418" s="73">
        <v>418</v>
      </c>
      <c r="AB418" s="73"/>
      <c r="AC418" s="74"/>
      <c r="AD418" s="81" t="s">
        <v>1708</v>
      </c>
      <c r="AE418" s="81"/>
      <c r="AF418" s="81"/>
      <c r="AG418" s="81"/>
      <c r="AH418" s="81"/>
      <c r="AI418" s="81" t="s">
        <v>2434</v>
      </c>
      <c r="AJ418" s="85">
        <v>45177.87960648148</v>
      </c>
      <c r="AK418" s="83" t="str">
        <f>HYPERLINK("https://yt3.ggpht.com/ytc/AOPolaRl-O_IzJ5eQ7jFQdMPv2MyYgf-7rlanW7o2DocjEXWQW42seYSPZiV3VD_fdqw=s88-c-k-c0x00ffffff-no-rj")</f>
        <v>https://yt3.ggpht.com/ytc/AOPolaRl-O_IzJ5eQ7jFQdMPv2MyYgf-7rlanW7o2DocjEXWQW42seYSPZiV3VD_fdqw=s88-c-k-c0x00ffffff-no-rj</v>
      </c>
      <c r="AL418" s="81">
        <v>0</v>
      </c>
      <c r="AM418" s="81">
        <v>0</v>
      </c>
      <c r="AN418" s="81">
        <v>0</v>
      </c>
      <c r="AO418" s="81" t="b">
        <v>0</v>
      </c>
      <c r="AP418" s="81">
        <v>0</v>
      </c>
      <c r="AQ418" s="81"/>
      <c r="AR418" s="81"/>
      <c r="AS418" s="81" t="s">
        <v>2571</v>
      </c>
      <c r="AT418" s="83" t="str">
        <f>HYPERLINK("https://www.youtube.com/channel/UCTrJv01LlzVcp2oUcOwkb4Q")</f>
        <v>https://www.youtube.com/channel/UCTrJv01LlzVcp2oUcOwkb4Q</v>
      </c>
      <c r="AU418" s="81">
        <v>1</v>
      </c>
      <c r="AV418" s="49">
        <v>1</v>
      </c>
      <c r="AW418" s="50">
        <v>3.7037037037037037</v>
      </c>
      <c r="AX418" s="49">
        <v>1</v>
      </c>
      <c r="AY418" s="50">
        <v>3.7037037037037037</v>
      </c>
      <c r="AZ418" s="49">
        <v>0</v>
      </c>
      <c r="BA418" s="50">
        <v>0</v>
      </c>
      <c r="BB418" s="49">
        <v>11</v>
      </c>
      <c r="BC418" s="50">
        <v>40.74074074074074</v>
      </c>
      <c r="BD418" s="49">
        <v>27</v>
      </c>
      <c r="BE418" s="49"/>
      <c r="BF418" s="49"/>
      <c r="BG418" s="49"/>
      <c r="BH418" s="49"/>
      <c r="BI418" s="49"/>
      <c r="BJ418" s="49"/>
      <c r="BK418" s="115" t="s">
        <v>2947</v>
      </c>
      <c r="BL418" s="115" t="s">
        <v>2947</v>
      </c>
      <c r="BM418" s="115" t="s">
        <v>3393</v>
      </c>
      <c r="BN418" s="115" t="s">
        <v>3393</v>
      </c>
      <c r="BO418" s="2"/>
      <c r="BP418" s="3"/>
      <c r="BQ418" s="3"/>
      <c r="BR418" s="3"/>
      <c r="BS418" s="3"/>
    </row>
    <row r="419" spans="1:71" ht="15">
      <c r="A419" s="66" t="s">
        <v>637</v>
      </c>
      <c r="B419" s="67"/>
      <c r="C419" s="67"/>
      <c r="D419" s="68">
        <v>150</v>
      </c>
      <c r="E419" s="70"/>
      <c r="F419" s="102" t="str">
        <f>HYPERLINK("https://yt3.ggpht.com/ytc/AOPolaQYHwVbZJasjakWPCh1yneuyKHyZYP4yeiEpnWbKirNatpkxeVaXHxdaScvfGFU=s88-c-k-c0x00ffffff-no-rj")</f>
        <v>https://yt3.ggpht.com/ytc/AOPolaQYHwVbZJasjakWPCh1yneuyKHyZYP4yeiEpnWbKirNatpkxeVaXHxdaScvfGFU=s88-c-k-c0x00ffffff-no-rj</v>
      </c>
      <c r="G419" s="67"/>
      <c r="H419" s="71" t="s">
        <v>1709</v>
      </c>
      <c r="I419" s="72"/>
      <c r="J419" s="72" t="s">
        <v>159</v>
      </c>
      <c r="K419" s="71" t="s">
        <v>1709</v>
      </c>
      <c r="L419" s="75">
        <v>1</v>
      </c>
      <c r="M419" s="76">
        <v>5408.998046875</v>
      </c>
      <c r="N419" s="76">
        <v>7431.1962890625</v>
      </c>
      <c r="O419" s="77"/>
      <c r="P419" s="78"/>
      <c r="Q419" s="78"/>
      <c r="R419" s="88"/>
      <c r="S419" s="49">
        <v>0</v>
      </c>
      <c r="T419" s="49">
        <v>1</v>
      </c>
      <c r="U419" s="50">
        <v>0</v>
      </c>
      <c r="V419" s="50">
        <v>0.177728</v>
      </c>
      <c r="W419" s="50">
        <v>0.049759</v>
      </c>
      <c r="X419" s="50">
        <v>0.001579</v>
      </c>
      <c r="Y419" s="50">
        <v>0</v>
      </c>
      <c r="Z419" s="50">
        <v>0</v>
      </c>
      <c r="AA419" s="73">
        <v>419</v>
      </c>
      <c r="AB419" s="73"/>
      <c r="AC419" s="74"/>
      <c r="AD419" s="81" t="s">
        <v>1709</v>
      </c>
      <c r="AE419" s="81"/>
      <c r="AF419" s="81"/>
      <c r="AG419" s="81"/>
      <c r="AH419" s="81"/>
      <c r="AI419" s="81" t="s">
        <v>2435</v>
      </c>
      <c r="AJ419" s="85">
        <v>41523.8669212963</v>
      </c>
      <c r="AK419" s="83" t="str">
        <f>HYPERLINK("https://yt3.ggpht.com/ytc/AOPolaQYHwVbZJasjakWPCh1yneuyKHyZYP4yeiEpnWbKirNatpkxeVaXHxdaScvfGFU=s88-c-k-c0x00ffffff-no-rj")</f>
        <v>https://yt3.ggpht.com/ytc/AOPolaQYHwVbZJasjakWPCh1yneuyKHyZYP4yeiEpnWbKirNatpkxeVaXHxdaScvfGFU=s88-c-k-c0x00ffffff-no-rj</v>
      </c>
      <c r="AL419" s="81">
        <v>0</v>
      </c>
      <c r="AM419" s="81">
        <v>0</v>
      </c>
      <c r="AN419" s="81">
        <v>1</v>
      </c>
      <c r="AO419" s="81" t="b">
        <v>0</v>
      </c>
      <c r="AP419" s="81">
        <v>0</v>
      </c>
      <c r="AQ419" s="81"/>
      <c r="AR419" s="81"/>
      <c r="AS419" s="81" t="s">
        <v>2571</v>
      </c>
      <c r="AT419" s="83" t="str">
        <f>HYPERLINK("https://www.youtube.com/channel/UCs4aCS-UjgJdhFfnqmLjigg")</f>
        <v>https://www.youtube.com/channel/UCs4aCS-UjgJdhFfnqmLjigg</v>
      </c>
      <c r="AU419" s="81">
        <v>1</v>
      </c>
      <c r="AV419" s="49">
        <v>0</v>
      </c>
      <c r="AW419" s="50">
        <v>0</v>
      </c>
      <c r="AX419" s="49">
        <v>0</v>
      </c>
      <c r="AY419" s="50">
        <v>0</v>
      </c>
      <c r="AZ419" s="49">
        <v>0</v>
      </c>
      <c r="BA419" s="50">
        <v>0</v>
      </c>
      <c r="BB419" s="49">
        <v>3</v>
      </c>
      <c r="BC419" s="50">
        <v>23.076923076923077</v>
      </c>
      <c r="BD419" s="49">
        <v>13</v>
      </c>
      <c r="BE419" s="49"/>
      <c r="BF419" s="49"/>
      <c r="BG419" s="49"/>
      <c r="BH419" s="49"/>
      <c r="BI419" s="49"/>
      <c r="BJ419" s="49"/>
      <c r="BK419" s="115" t="s">
        <v>2948</v>
      </c>
      <c r="BL419" s="115" t="s">
        <v>2948</v>
      </c>
      <c r="BM419" s="115" t="s">
        <v>3394</v>
      </c>
      <c r="BN419" s="115" t="s">
        <v>3394</v>
      </c>
      <c r="BO419" s="2"/>
      <c r="BP419" s="3"/>
      <c r="BQ419" s="3"/>
      <c r="BR419" s="3"/>
      <c r="BS419" s="3"/>
    </row>
    <row r="420" spans="1:71" ht="15">
      <c r="A420" s="66" t="s">
        <v>638</v>
      </c>
      <c r="B420" s="67"/>
      <c r="C420" s="67"/>
      <c r="D420" s="68">
        <v>150</v>
      </c>
      <c r="E420" s="70"/>
      <c r="F420" s="102" t="str">
        <f>HYPERLINK("https://yt3.ggpht.com/ytc/AOPolaSGU6lEorDR60jEL-7TaVKo6FV8JTA_bk7aAQ=s88-c-k-c0x00ffffff-no-rj")</f>
        <v>https://yt3.ggpht.com/ytc/AOPolaSGU6lEorDR60jEL-7TaVKo6FV8JTA_bk7aAQ=s88-c-k-c0x00ffffff-no-rj</v>
      </c>
      <c r="G420" s="67"/>
      <c r="H420" s="71" t="s">
        <v>1710</v>
      </c>
      <c r="I420" s="72"/>
      <c r="J420" s="72" t="s">
        <v>159</v>
      </c>
      <c r="K420" s="71" t="s">
        <v>1710</v>
      </c>
      <c r="L420" s="75">
        <v>1</v>
      </c>
      <c r="M420" s="76">
        <v>8828.5595703125</v>
      </c>
      <c r="N420" s="76">
        <v>1181.6346435546875</v>
      </c>
      <c r="O420" s="77"/>
      <c r="P420" s="78"/>
      <c r="Q420" s="78"/>
      <c r="R420" s="88"/>
      <c r="S420" s="49">
        <v>0</v>
      </c>
      <c r="T420" s="49">
        <v>1</v>
      </c>
      <c r="U420" s="50">
        <v>0</v>
      </c>
      <c r="V420" s="50">
        <v>0.003273</v>
      </c>
      <c r="W420" s="50">
        <v>0</v>
      </c>
      <c r="X420" s="50">
        <v>0.001631</v>
      </c>
      <c r="Y420" s="50">
        <v>0</v>
      </c>
      <c r="Z420" s="50">
        <v>0</v>
      </c>
      <c r="AA420" s="73">
        <v>420</v>
      </c>
      <c r="AB420" s="73"/>
      <c r="AC420" s="74"/>
      <c r="AD420" s="81" t="s">
        <v>1710</v>
      </c>
      <c r="AE420" s="81"/>
      <c r="AF420" s="81"/>
      <c r="AG420" s="81"/>
      <c r="AH420" s="81"/>
      <c r="AI420" s="81" t="s">
        <v>2436</v>
      </c>
      <c r="AJ420" s="85">
        <v>40900.778032407405</v>
      </c>
      <c r="AK420" s="83" t="str">
        <f>HYPERLINK("https://yt3.ggpht.com/ytc/AOPolaSGU6lEorDR60jEL-7TaVKo6FV8JTA_bk7aAQ=s88-c-k-c0x00ffffff-no-rj")</f>
        <v>https://yt3.ggpht.com/ytc/AOPolaSGU6lEorDR60jEL-7TaVKo6FV8JTA_bk7aAQ=s88-c-k-c0x00ffffff-no-rj</v>
      </c>
      <c r="AL420" s="81">
        <v>0</v>
      </c>
      <c r="AM420" s="81">
        <v>0</v>
      </c>
      <c r="AN420" s="81">
        <v>0</v>
      </c>
      <c r="AO420" s="81" t="b">
        <v>0</v>
      </c>
      <c r="AP420" s="81">
        <v>0</v>
      </c>
      <c r="AQ420" s="81"/>
      <c r="AR420" s="81"/>
      <c r="AS420" s="81" t="s">
        <v>2571</v>
      </c>
      <c r="AT420" s="83" t="str">
        <f>HYPERLINK("https://www.youtube.com/channel/UCq-kuTyqK2aMMhi4QYa2gYA")</f>
        <v>https://www.youtube.com/channel/UCq-kuTyqK2aMMhi4QYa2gYA</v>
      </c>
      <c r="AU420" s="81">
        <v>10</v>
      </c>
      <c r="AV420" s="49">
        <v>0</v>
      </c>
      <c r="AW420" s="50">
        <v>0</v>
      </c>
      <c r="AX420" s="49">
        <v>0</v>
      </c>
      <c r="AY420" s="50">
        <v>0</v>
      </c>
      <c r="AZ420" s="49">
        <v>0</v>
      </c>
      <c r="BA420" s="50">
        <v>0</v>
      </c>
      <c r="BB420" s="49">
        <v>3</v>
      </c>
      <c r="BC420" s="50">
        <v>75</v>
      </c>
      <c r="BD420" s="49">
        <v>4</v>
      </c>
      <c r="BE420" s="49"/>
      <c r="BF420" s="49"/>
      <c r="BG420" s="49"/>
      <c r="BH420" s="49"/>
      <c r="BI420" s="49"/>
      <c r="BJ420" s="49"/>
      <c r="BK420" s="115" t="s">
        <v>2949</v>
      </c>
      <c r="BL420" s="115" t="s">
        <v>2949</v>
      </c>
      <c r="BM420" s="115" t="s">
        <v>3395</v>
      </c>
      <c r="BN420" s="115" t="s">
        <v>3395</v>
      </c>
      <c r="BO420" s="2"/>
      <c r="BP420" s="3"/>
      <c r="BQ420" s="3"/>
      <c r="BR420" s="3"/>
      <c r="BS420" s="3"/>
    </row>
    <row r="421" spans="1:71" ht="15">
      <c r="A421" s="66" t="s">
        <v>640</v>
      </c>
      <c r="B421" s="67"/>
      <c r="C421" s="67"/>
      <c r="D421" s="68">
        <v>160.07905138339922</v>
      </c>
      <c r="E421" s="70"/>
      <c r="F421" s="102" t="str">
        <f>HYPERLINK("https://yt3.ggpht.com/ytc/AOPolaSPH-QGmN4AiVLPXVeave2pTHrsocEz_htG1lATZyc=s88-c-k-c0x00ffffff-no-rj")</f>
        <v>https://yt3.ggpht.com/ytc/AOPolaSPH-QGmN4AiVLPXVeave2pTHrsocEz_htG1lATZyc=s88-c-k-c0x00ffffff-no-rj</v>
      </c>
      <c r="G421" s="67"/>
      <c r="H421" s="71" t="s">
        <v>1895</v>
      </c>
      <c r="I421" s="72"/>
      <c r="J421" s="72" t="s">
        <v>75</v>
      </c>
      <c r="K421" s="71" t="s">
        <v>1895</v>
      </c>
      <c r="L421" s="75">
        <v>2.585725614591594</v>
      </c>
      <c r="M421" s="76">
        <v>8828.5595703125</v>
      </c>
      <c r="N421" s="76">
        <v>930.2230834960938</v>
      </c>
      <c r="O421" s="77"/>
      <c r="P421" s="78"/>
      <c r="Q421" s="78"/>
      <c r="R421" s="88"/>
      <c r="S421" s="49">
        <v>4</v>
      </c>
      <c r="T421" s="49">
        <v>1</v>
      </c>
      <c r="U421" s="50">
        <v>6</v>
      </c>
      <c r="V421" s="50">
        <v>0.005455</v>
      </c>
      <c r="W421" s="50">
        <v>0</v>
      </c>
      <c r="X421" s="50">
        <v>0.002365</v>
      </c>
      <c r="Y421" s="50">
        <v>0</v>
      </c>
      <c r="Z421" s="50">
        <v>0</v>
      </c>
      <c r="AA421" s="73">
        <v>421</v>
      </c>
      <c r="AB421" s="73"/>
      <c r="AC421" s="74"/>
      <c r="AD421" s="81" t="s">
        <v>1895</v>
      </c>
      <c r="AE421" s="81" t="s">
        <v>1988</v>
      </c>
      <c r="AF421" s="81"/>
      <c r="AG421" s="81"/>
      <c r="AH421" s="81"/>
      <c r="AI421" s="81" t="s">
        <v>2437</v>
      </c>
      <c r="AJ421" s="85">
        <v>40815.82402777778</v>
      </c>
      <c r="AK421" s="83" t="str">
        <f>HYPERLINK("https://yt3.ggpht.com/ytc/AOPolaSPH-QGmN4AiVLPXVeave2pTHrsocEz_htG1lATZyc=s88-c-k-c0x00ffffff-no-rj")</f>
        <v>https://yt3.ggpht.com/ytc/AOPolaSPH-QGmN4AiVLPXVeave2pTHrsocEz_htG1lATZyc=s88-c-k-c0x00ffffff-no-rj</v>
      </c>
      <c r="AL421" s="81">
        <v>46407</v>
      </c>
      <c r="AM421" s="81">
        <v>0</v>
      </c>
      <c r="AN421" s="81">
        <v>310</v>
      </c>
      <c r="AO421" s="81" t="b">
        <v>0</v>
      </c>
      <c r="AP421" s="81">
        <v>18</v>
      </c>
      <c r="AQ421" s="81"/>
      <c r="AR421" s="81"/>
      <c r="AS421" s="81" t="s">
        <v>2571</v>
      </c>
      <c r="AT421" s="83" t="str">
        <f>HYPERLINK("https://www.youtube.com/channel/UCT7yXmzt1s7mrvcg1OJVBRQ")</f>
        <v>https://www.youtube.com/channel/UCT7yXmzt1s7mrvcg1OJVBRQ</v>
      </c>
      <c r="AU421" s="81">
        <v>10</v>
      </c>
      <c r="AV421" s="49"/>
      <c r="AW421" s="50"/>
      <c r="AX421" s="49"/>
      <c r="AY421" s="50"/>
      <c r="AZ421" s="49"/>
      <c r="BA421" s="50"/>
      <c r="BB421" s="49"/>
      <c r="BC421" s="50"/>
      <c r="BD421" s="49"/>
      <c r="BE421" s="49"/>
      <c r="BF421" s="49"/>
      <c r="BG421" s="49"/>
      <c r="BH421" s="49"/>
      <c r="BI421" s="49"/>
      <c r="BJ421" s="49"/>
      <c r="BK421" s="115" t="s">
        <v>4477</v>
      </c>
      <c r="BL421" s="115" t="s">
        <v>4477</v>
      </c>
      <c r="BM421" s="115" t="s">
        <v>4477</v>
      </c>
      <c r="BN421" s="115" t="s">
        <v>4477</v>
      </c>
      <c r="BO421" s="2"/>
      <c r="BP421" s="3"/>
      <c r="BQ421" s="3"/>
      <c r="BR421" s="3"/>
      <c r="BS421" s="3"/>
    </row>
    <row r="422" spans="1:71" ht="15">
      <c r="A422" s="66" t="s">
        <v>639</v>
      </c>
      <c r="B422" s="67"/>
      <c r="C422" s="67"/>
      <c r="D422" s="68">
        <v>150</v>
      </c>
      <c r="E422" s="70"/>
      <c r="F422" s="102" t="str">
        <f>HYPERLINK("https://yt3.ggpht.com/io52bM2zpCITKqAddMNBegwwxKOU5udUk0YSK9bJiPEcLSc-XyAkkVRv23wion9BdbpAVbH-1g=s88-c-k-c0x00ffffff-no-rj")</f>
        <v>https://yt3.ggpht.com/io52bM2zpCITKqAddMNBegwwxKOU5udUk0YSK9bJiPEcLSc-XyAkkVRv23wion9BdbpAVbH-1g=s88-c-k-c0x00ffffff-no-rj</v>
      </c>
      <c r="G422" s="67"/>
      <c r="H422" s="71" t="s">
        <v>1711</v>
      </c>
      <c r="I422" s="72"/>
      <c r="J422" s="72" t="s">
        <v>159</v>
      </c>
      <c r="K422" s="71" t="s">
        <v>1711</v>
      </c>
      <c r="L422" s="75">
        <v>1</v>
      </c>
      <c r="M422" s="76">
        <v>8355.1953125</v>
      </c>
      <c r="N422" s="76">
        <v>1181.6346435546875</v>
      </c>
      <c r="O422" s="77"/>
      <c r="P422" s="78"/>
      <c r="Q422" s="78"/>
      <c r="R422" s="88"/>
      <c r="S422" s="49">
        <v>0</v>
      </c>
      <c r="T422" s="49">
        <v>1</v>
      </c>
      <c r="U422" s="50">
        <v>0</v>
      </c>
      <c r="V422" s="50">
        <v>0.003273</v>
      </c>
      <c r="W422" s="50">
        <v>0</v>
      </c>
      <c r="X422" s="50">
        <v>0.001631</v>
      </c>
      <c r="Y422" s="50">
        <v>0</v>
      </c>
      <c r="Z422" s="50">
        <v>0</v>
      </c>
      <c r="AA422" s="73">
        <v>422</v>
      </c>
      <c r="AB422" s="73"/>
      <c r="AC422" s="74"/>
      <c r="AD422" s="81" t="s">
        <v>1711</v>
      </c>
      <c r="AE422" s="81" t="s">
        <v>1989</v>
      </c>
      <c r="AF422" s="81"/>
      <c r="AG422" s="81"/>
      <c r="AH422" s="81"/>
      <c r="AI422" s="81" t="s">
        <v>2438</v>
      </c>
      <c r="AJ422" s="85">
        <v>41187.03091435185</v>
      </c>
      <c r="AK422" s="83" t="str">
        <f>HYPERLINK("https://yt3.ggpht.com/io52bM2zpCITKqAddMNBegwwxKOU5udUk0YSK9bJiPEcLSc-XyAkkVRv23wion9BdbpAVbH-1g=s88-c-k-c0x00ffffff-no-rj")</f>
        <v>https://yt3.ggpht.com/io52bM2zpCITKqAddMNBegwwxKOU5udUk0YSK9bJiPEcLSc-XyAkkVRv23wion9BdbpAVbH-1g=s88-c-k-c0x00ffffff-no-rj</v>
      </c>
      <c r="AL422" s="81">
        <v>215</v>
      </c>
      <c r="AM422" s="81">
        <v>0</v>
      </c>
      <c r="AN422" s="81">
        <v>14</v>
      </c>
      <c r="AO422" s="81" t="b">
        <v>0</v>
      </c>
      <c r="AP422" s="81">
        <v>26</v>
      </c>
      <c r="AQ422" s="81"/>
      <c r="AR422" s="81"/>
      <c r="AS422" s="81" t="s">
        <v>2571</v>
      </c>
      <c r="AT422" s="83" t="str">
        <f>HYPERLINK("https://www.youtube.com/channel/UCW73fJdVVUhT29oChWWXe3w")</f>
        <v>https://www.youtube.com/channel/UCW73fJdVVUhT29oChWWXe3w</v>
      </c>
      <c r="AU422" s="81">
        <v>10</v>
      </c>
      <c r="AV422" s="49">
        <v>3</v>
      </c>
      <c r="AW422" s="50">
        <v>13.636363636363637</v>
      </c>
      <c r="AX422" s="49">
        <v>0</v>
      </c>
      <c r="AY422" s="50">
        <v>0</v>
      </c>
      <c r="AZ422" s="49">
        <v>0</v>
      </c>
      <c r="BA422" s="50">
        <v>0</v>
      </c>
      <c r="BB422" s="49">
        <v>7</v>
      </c>
      <c r="BC422" s="50">
        <v>31.818181818181817</v>
      </c>
      <c r="BD422" s="49">
        <v>22</v>
      </c>
      <c r="BE422" s="49"/>
      <c r="BF422" s="49"/>
      <c r="BG422" s="49"/>
      <c r="BH422" s="49"/>
      <c r="BI422" s="49"/>
      <c r="BJ422" s="49"/>
      <c r="BK422" s="115" t="s">
        <v>2950</v>
      </c>
      <c r="BL422" s="115" t="s">
        <v>2950</v>
      </c>
      <c r="BM422" s="115" t="s">
        <v>3396</v>
      </c>
      <c r="BN422" s="115" t="s">
        <v>3396</v>
      </c>
      <c r="BO422" s="2"/>
      <c r="BP422" s="3"/>
      <c r="BQ422" s="3"/>
      <c r="BR422" s="3"/>
      <c r="BS422" s="3"/>
    </row>
    <row r="423" spans="1:71" ht="15">
      <c r="A423" s="66" t="s">
        <v>641</v>
      </c>
      <c r="B423" s="67"/>
      <c r="C423" s="67"/>
      <c r="D423" s="68">
        <v>150</v>
      </c>
      <c r="E423" s="70"/>
      <c r="F423" s="102" t="str">
        <f>HYPERLINK("https://yt3.ggpht.com/ytc/AOPolaTfAx02GLCXvANC65F7dYhjoHbjmrXEi8EfTjQ=s88-c-k-c0x00ffffff-no-rj")</f>
        <v>https://yt3.ggpht.com/ytc/AOPolaTfAx02GLCXvANC65F7dYhjoHbjmrXEi8EfTjQ=s88-c-k-c0x00ffffff-no-rj</v>
      </c>
      <c r="G423" s="67"/>
      <c r="H423" s="71" t="s">
        <v>1712</v>
      </c>
      <c r="I423" s="72"/>
      <c r="J423" s="72" t="s">
        <v>159</v>
      </c>
      <c r="K423" s="71" t="s">
        <v>1712</v>
      </c>
      <c r="L423" s="75">
        <v>1</v>
      </c>
      <c r="M423" s="76">
        <v>8355.1953125</v>
      </c>
      <c r="N423" s="76">
        <v>930.2230834960938</v>
      </c>
      <c r="O423" s="77"/>
      <c r="P423" s="78"/>
      <c r="Q423" s="78"/>
      <c r="R423" s="88"/>
      <c r="S423" s="49">
        <v>0</v>
      </c>
      <c r="T423" s="49">
        <v>1</v>
      </c>
      <c r="U423" s="50">
        <v>0</v>
      </c>
      <c r="V423" s="50">
        <v>0.003273</v>
      </c>
      <c r="W423" s="50">
        <v>0</v>
      </c>
      <c r="X423" s="50">
        <v>0.001631</v>
      </c>
      <c r="Y423" s="50">
        <v>0</v>
      </c>
      <c r="Z423" s="50">
        <v>0</v>
      </c>
      <c r="AA423" s="73">
        <v>423</v>
      </c>
      <c r="AB423" s="73"/>
      <c r="AC423" s="74"/>
      <c r="AD423" s="81" t="s">
        <v>1712</v>
      </c>
      <c r="AE423" s="81" t="s">
        <v>1990</v>
      </c>
      <c r="AF423" s="81"/>
      <c r="AG423" s="81"/>
      <c r="AH423" s="81"/>
      <c r="AI423" s="81" t="s">
        <v>2439</v>
      </c>
      <c r="AJ423" s="85">
        <v>43887.67870370371</v>
      </c>
      <c r="AK423" s="83" t="str">
        <f>HYPERLINK("https://yt3.ggpht.com/ytc/AOPolaTfAx02GLCXvANC65F7dYhjoHbjmrXEi8EfTjQ=s88-c-k-c0x00ffffff-no-rj")</f>
        <v>https://yt3.ggpht.com/ytc/AOPolaTfAx02GLCXvANC65F7dYhjoHbjmrXEi8EfTjQ=s88-c-k-c0x00ffffff-no-rj</v>
      </c>
      <c r="AL423" s="81">
        <v>56089</v>
      </c>
      <c r="AM423" s="81">
        <v>0</v>
      </c>
      <c r="AN423" s="81">
        <v>694</v>
      </c>
      <c r="AO423" s="81" t="b">
        <v>0</v>
      </c>
      <c r="AP423" s="81">
        <v>57</v>
      </c>
      <c r="AQ423" s="81"/>
      <c r="AR423" s="81"/>
      <c r="AS423" s="81" t="s">
        <v>2571</v>
      </c>
      <c r="AT423" s="83" t="str">
        <f>HYPERLINK("https://www.youtube.com/channel/UClMjhzaO86ynNplMrRfoB4Q")</f>
        <v>https://www.youtube.com/channel/UClMjhzaO86ynNplMrRfoB4Q</v>
      </c>
      <c r="AU423" s="81">
        <v>10</v>
      </c>
      <c r="AV423" s="49">
        <v>1</v>
      </c>
      <c r="AW423" s="50">
        <v>50</v>
      </c>
      <c r="AX423" s="49">
        <v>0</v>
      </c>
      <c r="AY423" s="50">
        <v>0</v>
      </c>
      <c r="AZ423" s="49">
        <v>0</v>
      </c>
      <c r="BA423" s="50">
        <v>0</v>
      </c>
      <c r="BB423" s="49">
        <v>0</v>
      </c>
      <c r="BC423" s="50">
        <v>0</v>
      </c>
      <c r="BD423" s="49">
        <v>2</v>
      </c>
      <c r="BE423" s="49"/>
      <c r="BF423" s="49"/>
      <c r="BG423" s="49"/>
      <c r="BH423" s="49"/>
      <c r="BI423" s="49"/>
      <c r="BJ423" s="49"/>
      <c r="BK423" s="115" t="s">
        <v>2951</v>
      </c>
      <c r="BL423" s="115" t="s">
        <v>2951</v>
      </c>
      <c r="BM423" s="115" t="s">
        <v>4477</v>
      </c>
      <c r="BN423" s="115" t="s">
        <v>4477</v>
      </c>
      <c r="BO423" s="2"/>
      <c r="BP423" s="3"/>
      <c r="BQ423" s="3"/>
      <c r="BR423" s="3"/>
      <c r="BS423" s="3"/>
    </row>
    <row r="424" spans="1:71" ht="15">
      <c r="A424" s="66" t="s">
        <v>642</v>
      </c>
      <c r="B424" s="67"/>
      <c r="C424" s="67"/>
      <c r="D424" s="68">
        <v>150</v>
      </c>
      <c r="E424" s="70"/>
      <c r="F424" s="102" t="str">
        <f>HYPERLINK("https://yt3.ggpht.com/ytc/AOPolaQNuk271Y_J36kNtTwbawr5qNaUcLTPVKzeNAORs3UDUVHpt83JIKVtIoDutr0k=s88-c-k-c0x00ffffff-no-rj")</f>
        <v>https://yt3.ggpht.com/ytc/AOPolaQNuk271Y_J36kNtTwbawr5qNaUcLTPVKzeNAORs3UDUVHpt83JIKVtIoDutr0k=s88-c-k-c0x00ffffff-no-rj</v>
      </c>
      <c r="G424" s="67"/>
      <c r="H424" s="71" t="s">
        <v>1713</v>
      </c>
      <c r="I424" s="72"/>
      <c r="J424" s="72" t="s">
        <v>159</v>
      </c>
      <c r="K424" s="71" t="s">
        <v>1713</v>
      </c>
      <c r="L424" s="75">
        <v>1</v>
      </c>
      <c r="M424" s="76">
        <v>7054.59521484375</v>
      </c>
      <c r="N424" s="76">
        <v>3649.060302734375</v>
      </c>
      <c r="O424" s="77"/>
      <c r="P424" s="78"/>
      <c r="Q424" s="78"/>
      <c r="R424" s="88"/>
      <c r="S424" s="49">
        <v>0</v>
      </c>
      <c r="T424" s="49">
        <v>1</v>
      </c>
      <c r="U424" s="50">
        <v>0</v>
      </c>
      <c r="V424" s="50">
        <v>0.021374</v>
      </c>
      <c r="W424" s="50">
        <v>0</v>
      </c>
      <c r="X424" s="50">
        <v>0.001587</v>
      </c>
      <c r="Y424" s="50">
        <v>0</v>
      </c>
      <c r="Z424" s="50">
        <v>0</v>
      </c>
      <c r="AA424" s="73">
        <v>424</v>
      </c>
      <c r="AB424" s="73"/>
      <c r="AC424" s="74"/>
      <c r="AD424" s="81" t="s">
        <v>1713</v>
      </c>
      <c r="AE424" s="81"/>
      <c r="AF424" s="81"/>
      <c r="AG424" s="81"/>
      <c r="AH424" s="81"/>
      <c r="AI424" s="81" t="s">
        <v>2440</v>
      </c>
      <c r="AJ424" s="85">
        <v>41639.946493055555</v>
      </c>
      <c r="AK424" s="83" t="str">
        <f>HYPERLINK("https://yt3.ggpht.com/ytc/AOPolaQNuk271Y_J36kNtTwbawr5qNaUcLTPVKzeNAORs3UDUVHpt83JIKVtIoDutr0k=s88-c-k-c0x00ffffff-no-rj")</f>
        <v>https://yt3.ggpht.com/ytc/AOPolaQNuk271Y_J36kNtTwbawr5qNaUcLTPVKzeNAORs3UDUVHpt83JIKVtIoDutr0k=s88-c-k-c0x00ffffff-no-rj</v>
      </c>
      <c r="AL424" s="81">
        <v>0</v>
      </c>
      <c r="AM424" s="81">
        <v>0</v>
      </c>
      <c r="AN424" s="81">
        <v>0</v>
      </c>
      <c r="AO424" s="81" t="b">
        <v>0</v>
      </c>
      <c r="AP424" s="81">
        <v>0</v>
      </c>
      <c r="AQ424" s="81"/>
      <c r="AR424" s="81"/>
      <c r="AS424" s="81" t="s">
        <v>2571</v>
      </c>
      <c r="AT424" s="83" t="str">
        <f>HYPERLINK("https://www.youtube.com/channel/UCrUXf4iY0j_IQGpFPsTQa1Q")</f>
        <v>https://www.youtube.com/channel/UCrUXf4iY0j_IQGpFPsTQa1Q</v>
      </c>
      <c r="AU424" s="81">
        <v>5</v>
      </c>
      <c r="AV424" s="49">
        <v>1</v>
      </c>
      <c r="AW424" s="50">
        <v>7.6923076923076925</v>
      </c>
      <c r="AX424" s="49">
        <v>0</v>
      </c>
      <c r="AY424" s="50">
        <v>0</v>
      </c>
      <c r="AZ424" s="49">
        <v>0</v>
      </c>
      <c r="BA424" s="50">
        <v>0</v>
      </c>
      <c r="BB424" s="49">
        <v>5</v>
      </c>
      <c r="BC424" s="50">
        <v>38.46153846153846</v>
      </c>
      <c r="BD424" s="49">
        <v>13</v>
      </c>
      <c r="BE424" s="49"/>
      <c r="BF424" s="49"/>
      <c r="BG424" s="49"/>
      <c r="BH424" s="49"/>
      <c r="BI424" s="49"/>
      <c r="BJ424" s="49"/>
      <c r="BK424" s="115" t="s">
        <v>2952</v>
      </c>
      <c r="BL424" s="115" t="s">
        <v>2952</v>
      </c>
      <c r="BM424" s="115" t="s">
        <v>3397</v>
      </c>
      <c r="BN424" s="115" t="s">
        <v>3397</v>
      </c>
      <c r="BO424" s="2"/>
      <c r="BP424" s="3"/>
      <c r="BQ424" s="3"/>
      <c r="BR424" s="3"/>
      <c r="BS424" s="3"/>
    </row>
    <row r="425" spans="1:71" ht="15">
      <c r="A425" s="66" t="s">
        <v>668</v>
      </c>
      <c r="B425" s="67"/>
      <c r="C425" s="67"/>
      <c r="D425" s="68">
        <v>1000</v>
      </c>
      <c r="E425" s="70"/>
      <c r="F425" s="102" t="str">
        <f>HYPERLINK("https://yt3.ggpht.com/ytc/AOPolaSTeE8O8oSsguGL1G05WPhBg85Gl2kpmAQSfGXIuQ=s88-c-k-c0x00ffffff-no-rj")</f>
        <v>https://yt3.ggpht.com/ytc/AOPolaSTeE8O8oSsguGL1G05WPhBg85Gl2kpmAQSfGXIuQ=s88-c-k-c0x00ffffff-no-rj</v>
      </c>
      <c r="G425" s="67"/>
      <c r="H425" s="71" t="s">
        <v>1896</v>
      </c>
      <c r="I425" s="72"/>
      <c r="J425" s="72" t="s">
        <v>75</v>
      </c>
      <c r="K425" s="71" t="s">
        <v>1896</v>
      </c>
      <c r="L425" s="75">
        <v>134.72952683055775</v>
      </c>
      <c r="M425" s="76">
        <v>7155.64306640625</v>
      </c>
      <c r="N425" s="76">
        <v>2533.872802734375</v>
      </c>
      <c r="O425" s="77"/>
      <c r="P425" s="78"/>
      <c r="Q425" s="78"/>
      <c r="R425" s="88"/>
      <c r="S425" s="49">
        <v>24</v>
      </c>
      <c r="T425" s="49">
        <v>1</v>
      </c>
      <c r="U425" s="50">
        <v>506</v>
      </c>
      <c r="V425" s="50">
        <v>0.041818</v>
      </c>
      <c r="W425" s="50">
        <v>0</v>
      </c>
      <c r="X425" s="50">
        <v>0.007061</v>
      </c>
      <c r="Y425" s="50">
        <v>0</v>
      </c>
      <c r="Z425" s="50">
        <v>0</v>
      </c>
      <c r="AA425" s="73">
        <v>425</v>
      </c>
      <c r="AB425" s="73"/>
      <c r="AC425" s="74"/>
      <c r="AD425" s="81" t="s">
        <v>1896</v>
      </c>
      <c r="AE425" s="81" t="s">
        <v>1991</v>
      </c>
      <c r="AF425" s="81"/>
      <c r="AG425" s="81"/>
      <c r="AH425" s="81"/>
      <c r="AI425" s="81" t="s">
        <v>2441</v>
      </c>
      <c r="AJ425" s="85">
        <v>40968.76354166667</v>
      </c>
      <c r="AK425" s="83" t="str">
        <f>HYPERLINK("https://yt3.ggpht.com/ytc/AOPolaSTeE8O8oSsguGL1G05WPhBg85Gl2kpmAQSfGXIuQ=s88-c-k-c0x00ffffff-no-rj")</f>
        <v>https://yt3.ggpht.com/ytc/AOPolaSTeE8O8oSsguGL1G05WPhBg85Gl2kpmAQSfGXIuQ=s88-c-k-c0x00ffffff-no-rj</v>
      </c>
      <c r="AL425" s="81">
        <v>1069608504</v>
      </c>
      <c r="AM425" s="81">
        <v>0</v>
      </c>
      <c r="AN425" s="81">
        <v>2080000</v>
      </c>
      <c r="AO425" s="81" t="b">
        <v>0</v>
      </c>
      <c r="AP425" s="81">
        <v>203404</v>
      </c>
      <c r="AQ425" s="81"/>
      <c r="AR425" s="81"/>
      <c r="AS425" s="81" t="s">
        <v>2571</v>
      </c>
      <c r="AT425" s="83" t="str">
        <f>HYPERLINK("https://www.youtube.com/channel/UC8yH-uI81UUtEMDsowQyx1g")</f>
        <v>https://www.youtube.com/channel/UC8yH-uI81UUtEMDsowQyx1g</v>
      </c>
      <c r="AU425" s="81">
        <v>5</v>
      </c>
      <c r="AV425" s="49"/>
      <c r="AW425" s="50"/>
      <c r="AX425" s="49"/>
      <c r="AY425" s="50"/>
      <c r="AZ425" s="49"/>
      <c r="BA425" s="50"/>
      <c r="BB425" s="49"/>
      <c r="BC425" s="50"/>
      <c r="BD425" s="49"/>
      <c r="BE425" s="49"/>
      <c r="BF425" s="49"/>
      <c r="BG425" s="49"/>
      <c r="BH425" s="49"/>
      <c r="BI425" s="49"/>
      <c r="BJ425" s="49"/>
      <c r="BK425" s="115" t="s">
        <v>4477</v>
      </c>
      <c r="BL425" s="115" t="s">
        <v>4477</v>
      </c>
      <c r="BM425" s="115" t="s">
        <v>4477</v>
      </c>
      <c r="BN425" s="115" t="s">
        <v>4477</v>
      </c>
      <c r="BO425" s="2"/>
      <c r="BP425" s="3"/>
      <c r="BQ425" s="3"/>
      <c r="BR425" s="3"/>
      <c r="BS425" s="3"/>
    </row>
    <row r="426" spans="1:71" ht="15">
      <c r="A426" s="66" t="s">
        <v>643</v>
      </c>
      <c r="B426" s="67"/>
      <c r="C426" s="67"/>
      <c r="D426" s="68">
        <v>150</v>
      </c>
      <c r="E426" s="70"/>
      <c r="F426" s="102" t="str">
        <f>HYPERLINK("https://yt3.ggpht.com/ytc/AOPolaQ7lQ1KKtlBW113bCOtnckIJFLfOcZm4SyWZQ=s88-c-k-c0x00ffffff-no-rj")</f>
        <v>https://yt3.ggpht.com/ytc/AOPolaQ7lQ1KKtlBW113bCOtnckIJFLfOcZm4SyWZQ=s88-c-k-c0x00ffffff-no-rj</v>
      </c>
      <c r="G426" s="67"/>
      <c r="H426" s="71" t="s">
        <v>1714</v>
      </c>
      <c r="I426" s="72"/>
      <c r="J426" s="72" t="s">
        <v>159</v>
      </c>
      <c r="K426" s="71" t="s">
        <v>1714</v>
      </c>
      <c r="L426" s="75">
        <v>1</v>
      </c>
      <c r="M426" s="76">
        <v>7637.458984375</v>
      </c>
      <c r="N426" s="76">
        <v>3448.958251953125</v>
      </c>
      <c r="O426" s="77"/>
      <c r="P426" s="78"/>
      <c r="Q426" s="78"/>
      <c r="R426" s="88"/>
      <c r="S426" s="49">
        <v>0</v>
      </c>
      <c r="T426" s="49">
        <v>1</v>
      </c>
      <c r="U426" s="50">
        <v>0</v>
      </c>
      <c r="V426" s="50">
        <v>0.021374</v>
      </c>
      <c r="W426" s="50">
        <v>0</v>
      </c>
      <c r="X426" s="50">
        <v>0.001587</v>
      </c>
      <c r="Y426" s="50">
        <v>0</v>
      </c>
      <c r="Z426" s="50">
        <v>0</v>
      </c>
      <c r="AA426" s="73">
        <v>426</v>
      </c>
      <c r="AB426" s="73"/>
      <c r="AC426" s="74"/>
      <c r="AD426" s="81" t="s">
        <v>1714</v>
      </c>
      <c r="AE426" s="81"/>
      <c r="AF426" s="81"/>
      <c r="AG426" s="81"/>
      <c r="AH426" s="81"/>
      <c r="AI426" s="81" t="s">
        <v>2442</v>
      </c>
      <c r="AJ426" s="85">
        <v>41131.10901620371</v>
      </c>
      <c r="AK426" s="83" t="str">
        <f>HYPERLINK("https://yt3.ggpht.com/ytc/AOPolaQ7lQ1KKtlBW113bCOtnckIJFLfOcZm4SyWZQ=s88-c-k-c0x00ffffff-no-rj")</f>
        <v>https://yt3.ggpht.com/ytc/AOPolaQ7lQ1KKtlBW113bCOtnckIJFLfOcZm4SyWZQ=s88-c-k-c0x00ffffff-no-rj</v>
      </c>
      <c r="AL426" s="81">
        <v>0</v>
      </c>
      <c r="AM426" s="81">
        <v>0</v>
      </c>
      <c r="AN426" s="81">
        <v>3</v>
      </c>
      <c r="AO426" s="81" t="b">
        <v>0</v>
      </c>
      <c r="AP426" s="81">
        <v>0</v>
      </c>
      <c r="AQ426" s="81"/>
      <c r="AR426" s="81"/>
      <c r="AS426" s="81" t="s">
        <v>2571</v>
      </c>
      <c r="AT426" s="83" t="str">
        <f>HYPERLINK("https://www.youtube.com/channel/UCgM23NLmNQQP4rdr0z9OV6w")</f>
        <v>https://www.youtube.com/channel/UCgM23NLmNQQP4rdr0z9OV6w</v>
      </c>
      <c r="AU426" s="81">
        <v>5</v>
      </c>
      <c r="AV426" s="49">
        <v>1</v>
      </c>
      <c r="AW426" s="50">
        <v>1.3157894736842106</v>
      </c>
      <c r="AX426" s="49">
        <v>0</v>
      </c>
      <c r="AY426" s="50">
        <v>0</v>
      </c>
      <c r="AZ426" s="49">
        <v>0</v>
      </c>
      <c r="BA426" s="50">
        <v>0</v>
      </c>
      <c r="BB426" s="49">
        <v>23</v>
      </c>
      <c r="BC426" s="50">
        <v>30.263157894736842</v>
      </c>
      <c r="BD426" s="49">
        <v>76</v>
      </c>
      <c r="BE426" s="49"/>
      <c r="BF426" s="49"/>
      <c r="BG426" s="49"/>
      <c r="BH426" s="49"/>
      <c r="BI426" s="49"/>
      <c r="BJ426" s="49"/>
      <c r="BK426" s="115" t="s">
        <v>2953</v>
      </c>
      <c r="BL426" s="115" t="s">
        <v>2953</v>
      </c>
      <c r="BM426" s="115" t="s">
        <v>3398</v>
      </c>
      <c r="BN426" s="115" t="s">
        <v>3398</v>
      </c>
      <c r="BO426" s="2"/>
      <c r="BP426" s="3"/>
      <c r="BQ426" s="3"/>
      <c r="BR426" s="3"/>
      <c r="BS426" s="3"/>
    </row>
    <row r="427" spans="1:71" ht="15">
      <c r="A427" s="66" t="s">
        <v>644</v>
      </c>
      <c r="B427" s="67"/>
      <c r="C427" s="67"/>
      <c r="D427" s="68">
        <v>150</v>
      </c>
      <c r="E427" s="70"/>
      <c r="F427" s="102" t="str">
        <f>HYPERLINK("https://yt3.ggpht.com/ytc/AOPolaTUwnTpbiVxRVrOiBI4-74dxdG99gb84c7chxP9Zw=s88-c-k-c0x00ffffff-no-rj")</f>
        <v>https://yt3.ggpht.com/ytc/AOPolaTUwnTpbiVxRVrOiBI4-74dxdG99gb84c7chxP9Zw=s88-c-k-c0x00ffffff-no-rj</v>
      </c>
      <c r="G427" s="67"/>
      <c r="H427" s="71" t="s">
        <v>1715</v>
      </c>
      <c r="I427" s="72"/>
      <c r="J427" s="72" t="s">
        <v>159</v>
      </c>
      <c r="K427" s="71" t="s">
        <v>1715</v>
      </c>
      <c r="L427" s="75">
        <v>1</v>
      </c>
      <c r="M427" s="76">
        <v>7254.3359375</v>
      </c>
      <c r="N427" s="76">
        <v>1910.20849609375</v>
      </c>
      <c r="O427" s="77"/>
      <c r="P427" s="78"/>
      <c r="Q427" s="78"/>
      <c r="R427" s="88"/>
      <c r="S427" s="49">
        <v>0</v>
      </c>
      <c r="T427" s="49">
        <v>1</v>
      </c>
      <c r="U427" s="50">
        <v>0</v>
      </c>
      <c r="V427" s="50">
        <v>0.021374</v>
      </c>
      <c r="W427" s="50">
        <v>0</v>
      </c>
      <c r="X427" s="50">
        <v>0.001587</v>
      </c>
      <c r="Y427" s="50">
        <v>0</v>
      </c>
      <c r="Z427" s="50">
        <v>0</v>
      </c>
      <c r="AA427" s="73">
        <v>427</v>
      </c>
      <c r="AB427" s="73"/>
      <c r="AC427" s="74"/>
      <c r="AD427" s="81" t="s">
        <v>1715</v>
      </c>
      <c r="AE427" s="81" t="s">
        <v>1992</v>
      </c>
      <c r="AF427" s="81"/>
      <c r="AG427" s="81"/>
      <c r="AH427" s="81"/>
      <c r="AI427" s="81" t="s">
        <v>2443</v>
      </c>
      <c r="AJ427" s="85">
        <v>40819.76710648148</v>
      </c>
      <c r="AK427" s="83" t="str">
        <f>HYPERLINK("https://yt3.ggpht.com/ytc/AOPolaTUwnTpbiVxRVrOiBI4-74dxdG99gb84c7chxP9Zw=s88-c-k-c0x00ffffff-no-rj")</f>
        <v>https://yt3.ggpht.com/ytc/AOPolaTUwnTpbiVxRVrOiBI4-74dxdG99gb84c7chxP9Zw=s88-c-k-c0x00ffffff-no-rj</v>
      </c>
      <c r="AL427" s="81">
        <v>300</v>
      </c>
      <c r="AM427" s="81">
        <v>0</v>
      </c>
      <c r="AN427" s="81">
        <v>1</v>
      </c>
      <c r="AO427" s="81" t="b">
        <v>0</v>
      </c>
      <c r="AP427" s="81">
        <v>5</v>
      </c>
      <c r="AQ427" s="81"/>
      <c r="AR427" s="81"/>
      <c r="AS427" s="81" t="s">
        <v>2571</v>
      </c>
      <c r="AT427" s="83" t="str">
        <f>HYPERLINK("https://www.youtube.com/channel/UCqXLQYDIEN1NdwqGDImJ5jA")</f>
        <v>https://www.youtube.com/channel/UCqXLQYDIEN1NdwqGDImJ5jA</v>
      </c>
      <c r="AU427" s="81">
        <v>5</v>
      </c>
      <c r="AV427" s="49">
        <v>0</v>
      </c>
      <c r="AW427" s="50">
        <v>0</v>
      </c>
      <c r="AX427" s="49">
        <v>0</v>
      </c>
      <c r="AY427" s="50">
        <v>0</v>
      </c>
      <c r="AZ427" s="49">
        <v>0</v>
      </c>
      <c r="BA427" s="50">
        <v>0</v>
      </c>
      <c r="BB427" s="49">
        <v>5</v>
      </c>
      <c r="BC427" s="50">
        <v>50</v>
      </c>
      <c r="BD427" s="49">
        <v>10</v>
      </c>
      <c r="BE427" s="49"/>
      <c r="BF427" s="49"/>
      <c r="BG427" s="49"/>
      <c r="BH427" s="49"/>
      <c r="BI427" s="49"/>
      <c r="BJ427" s="49"/>
      <c r="BK427" s="115" t="s">
        <v>2954</v>
      </c>
      <c r="BL427" s="115" t="s">
        <v>2954</v>
      </c>
      <c r="BM427" s="115" t="s">
        <v>3399</v>
      </c>
      <c r="BN427" s="115" t="s">
        <v>3399</v>
      </c>
      <c r="BO427" s="2"/>
      <c r="BP427" s="3"/>
      <c r="BQ427" s="3"/>
      <c r="BR427" s="3"/>
      <c r="BS427" s="3"/>
    </row>
    <row r="428" spans="1:71" ht="15">
      <c r="A428" s="66" t="s">
        <v>645</v>
      </c>
      <c r="B428" s="67"/>
      <c r="C428" s="67"/>
      <c r="D428" s="68">
        <v>150</v>
      </c>
      <c r="E428" s="70"/>
      <c r="F428" s="102" t="str">
        <f>HYPERLINK("https://yt3.ggpht.com/ytc/AOPolaTirhn_odplHMPf9BlSnSQJPHO4bwhiDq_VZeOmNnGbPSWB5GEzDcqAIRwJVRho=s88-c-k-c0x00ffffff-no-rj")</f>
        <v>https://yt3.ggpht.com/ytc/AOPolaTirhn_odplHMPf9BlSnSQJPHO4bwhiDq_VZeOmNnGbPSWB5GEzDcqAIRwJVRho=s88-c-k-c0x00ffffff-no-rj</v>
      </c>
      <c r="G428" s="67"/>
      <c r="H428" s="71" t="s">
        <v>1716</v>
      </c>
      <c r="I428" s="72"/>
      <c r="J428" s="72" t="s">
        <v>159</v>
      </c>
      <c r="K428" s="71" t="s">
        <v>1716</v>
      </c>
      <c r="L428" s="75">
        <v>1</v>
      </c>
      <c r="M428" s="76">
        <v>7358.998046875</v>
      </c>
      <c r="N428" s="76">
        <v>3594.788818359375</v>
      </c>
      <c r="O428" s="77"/>
      <c r="P428" s="78"/>
      <c r="Q428" s="78"/>
      <c r="R428" s="88"/>
      <c r="S428" s="49">
        <v>0</v>
      </c>
      <c r="T428" s="49">
        <v>1</v>
      </c>
      <c r="U428" s="50">
        <v>0</v>
      </c>
      <c r="V428" s="50">
        <v>0.021374</v>
      </c>
      <c r="W428" s="50">
        <v>0</v>
      </c>
      <c r="X428" s="50">
        <v>0.001587</v>
      </c>
      <c r="Y428" s="50">
        <v>0</v>
      </c>
      <c r="Z428" s="50">
        <v>0</v>
      </c>
      <c r="AA428" s="73">
        <v>428</v>
      </c>
      <c r="AB428" s="73"/>
      <c r="AC428" s="74"/>
      <c r="AD428" s="81" t="s">
        <v>1716</v>
      </c>
      <c r="AE428" s="81"/>
      <c r="AF428" s="81"/>
      <c r="AG428" s="81"/>
      <c r="AH428" s="81"/>
      <c r="AI428" s="81" t="s">
        <v>2444</v>
      </c>
      <c r="AJ428" s="85">
        <v>44394.951319444444</v>
      </c>
      <c r="AK428" s="83" t="str">
        <f>HYPERLINK("https://yt3.ggpht.com/ytc/AOPolaTirhn_odplHMPf9BlSnSQJPHO4bwhiDq_VZeOmNnGbPSWB5GEzDcqAIRwJVRho=s88-c-k-c0x00ffffff-no-rj")</f>
        <v>https://yt3.ggpht.com/ytc/AOPolaTirhn_odplHMPf9BlSnSQJPHO4bwhiDq_VZeOmNnGbPSWB5GEzDcqAIRwJVRho=s88-c-k-c0x00ffffff-no-rj</v>
      </c>
      <c r="AL428" s="81">
        <v>0</v>
      </c>
      <c r="AM428" s="81">
        <v>0</v>
      </c>
      <c r="AN428" s="81">
        <v>4</v>
      </c>
      <c r="AO428" s="81" t="b">
        <v>0</v>
      </c>
      <c r="AP428" s="81">
        <v>0</v>
      </c>
      <c r="AQ428" s="81"/>
      <c r="AR428" s="81"/>
      <c r="AS428" s="81" t="s">
        <v>2571</v>
      </c>
      <c r="AT428" s="83" t="str">
        <f>HYPERLINK("https://www.youtube.com/channel/UCwbTK9LMWW5Hu683te9YcRQ")</f>
        <v>https://www.youtube.com/channel/UCwbTK9LMWW5Hu683te9YcRQ</v>
      </c>
      <c r="AU428" s="81">
        <v>5</v>
      </c>
      <c r="AV428" s="49">
        <v>0</v>
      </c>
      <c r="AW428" s="50">
        <v>0</v>
      </c>
      <c r="AX428" s="49">
        <v>2</v>
      </c>
      <c r="AY428" s="50">
        <v>25</v>
      </c>
      <c r="AZ428" s="49">
        <v>0</v>
      </c>
      <c r="BA428" s="50">
        <v>0</v>
      </c>
      <c r="BB428" s="49">
        <v>1</v>
      </c>
      <c r="BC428" s="50">
        <v>12.5</v>
      </c>
      <c r="BD428" s="49">
        <v>8</v>
      </c>
      <c r="BE428" s="49"/>
      <c r="BF428" s="49"/>
      <c r="BG428" s="49"/>
      <c r="BH428" s="49"/>
      <c r="BI428" s="49"/>
      <c r="BJ428" s="49"/>
      <c r="BK428" s="115" t="s">
        <v>2955</v>
      </c>
      <c r="BL428" s="115" t="s">
        <v>2955</v>
      </c>
      <c r="BM428" s="115" t="s">
        <v>3400</v>
      </c>
      <c r="BN428" s="115" t="s">
        <v>3400</v>
      </c>
      <c r="BO428" s="2"/>
      <c r="BP428" s="3"/>
      <c r="BQ428" s="3"/>
      <c r="BR428" s="3"/>
      <c r="BS428" s="3"/>
    </row>
    <row r="429" spans="1:71" ht="15">
      <c r="A429" s="66" t="s">
        <v>646</v>
      </c>
      <c r="B429" s="67"/>
      <c r="C429" s="67"/>
      <c r="D429" s="68">
        <v>150</v>
      </c>
      <c r="E429" s="70"/>
      <c r="F429" s="102" t="str">
        <f>HYPERLINK("https://yt3.ggpht.com/ytc/AOPolaTnYacfW6RftK5AnaQ4FNkZNSvqnlyADjv7ERq--EqPt-qVezp3nif24SAZBeVg=s88-c-k-c0x00ffffff-no-rj")</f>
        <v>https://yt3.ggpht.com/ytc/AOPolaTnYacfW6RftK5AnaQ4FNkZNSvqnlyADjv7ERq--EqPt-qVezp3nif24SAZBeVg=s88-c-k-c0x00ffffff-no-rj</v>
      </c>
      <c r="G429" s="67"/>
      <c r="H429" s="71" t="s">
        <v>1717</v>
      </c>
      <c r="I429" s="72"/>
      <c r="J429" s="72" t="s">
        <v>159</v>
      </c>
      <c r="K429" s="71" t="s">
        <v>1717</v>
      </c>
      <c r="L429" s="75">
        <v>1</v>
      </c>
      <c r="M429" s="76">
        <v>7110.06103515625</v>
      </c>
      <c r="N429" s="76">
        <v>1422.2716064453125</v>
      </c>
      <c r="O429" s="77"/>
      <c r="P429" s="78"/>
      <c r="Q429" s="78"/>
      <c r="R429" s="88"/>
      <c r="S429" s="49">
        <v>0</v>
      </c>
      <c r="T429" s="49">
        <v>1</v>
      </c>
      <c r="U429" s="50">
        <v>0</v>
      </c>
      <c r="V429" s="50">
        <v>0.021374</v>
      </c>
      <c r="W429" s="50">
        <v>0</v>
      </c>
      <c r="X429" s="50">
        <v>0.001587</v>
      </c>
      <c r="Y429" s="50">
        <v>0</v>
      </c>
      <c r="Z429" s="50">
        <v>0</v>
      </c>
      <c r="AA429" s="73">
        <v>429</v>
      </c>
      <c r="AB429" s="73"/>
      <c r="AC429" s="74"/>
      <c r="AD429" s="81" t="s">
        <v>1717</v>
      </c>
      <c r="AE429" s="81"/>
      <c r="AF429" s="81"/>
      <c r="AG429" s="81"/>
      <c r="AH429" s="81"/>
      <c r="AI429" s="81" t="s">
        <v>2445</v>
      </c>
      <c r="AJ429" s="85">
        <v>45090.73652777778</v>
      </c>
      <c r="AK429" s="83" t="str">
        <f>HYPERLINK("https://yt3.ggpht.com/ytc/AOPolaTnYacfW6RftK5AnaQ4FNkZNSvqnlyADjv7ERq--EqPt-qVezp3nif24SAZBeVg=s88-c-k-c0x00ffffff-no-rj")</f>
        <v>https://yt3.ggpht.com/ytc/AOPolaTnYacfW6RftK5AnaQ4FNkZNSvqnlyADjv7ERq--EqPt-qVezp3nif24SAZBeVg=s88-c-k-c0x00ffffff-no-rj</v>
      </c>
      <c r="AL429" s="81">
        <v>0</v>
      </c>
      <c r="AM429" s="81">
        <v>0</v>
      </c>
      <c r="AN429" s="81">
        <v>0</v>
      </c>
      <c r="AO429" s="81" t="b">
        <v>0</v>
      </c>
      <c r="AP429" s="81">
        <v>0</v>
      </c>
      <c r="AQ429" s="81"/>
      <c r="AR429" s="81"/>
      <c r="AS429" s="81" t="s">
        <v>2571</v>
      </c>
      <c r="AT429" s="83" t="str">
        <f>HYPERLINK("https://www.youtube.com/channel/UCE8wRMsUR3Q2lj3izQ-yN6A")</f>
        <v>https://www.youtube.com/channel/UCE8wRMsUR3Q2lj3izQ-yN6A</v>
      </c>
      <c r="AU429" s="81">
        <v>5</v>
      </c>
      <c r="AV429" s="49">
        <v>4</v>
      </c>
      <c r="AW429" s="50">
        <v>7.407407407407407</v>
      </c>
      <c r="AX429" s="49">
        <v>0</v>
      </c>
      <c r="AY429" s="50">
        <v>0</v>
      </c>
      <c r="AZ429" s="49">
        <v>0</v>
      </c>
      <c r="BA429" s="50">
        <v>0</v>
      </c>
      <c r="BB429" s="49">
        <v>20</v>
      </c>
      <c r="BC429" s="50">
        <v>37.03703703703704</v>
      </c>
      <c r="BD429" s="49">
        <v>54</v>
      </c>
      <c r="BE429" s="49"/>
      <c r="BF429" s="49"/>
      <c r="BG429" s="49"/>
      <c r="BH429" s="49"/>
      <c r="BI429" s="49"/>
      <c r="BJ429" s="49"/>
      <c r="BK429" s="115" t="s">
        <v>2956</v>
      </c>
      <c r="BL429" s="115" t="s">
        <v>2956</v>
      </c>
      <c r="BM429" s="115" t="s">
        <v>3401</v>
      </c>
      <c r="BN429" s="115" t="s">
        <v>3401</v>
      </c>
      <c r="BO429" s="2"/>
      <c r="BP429" s="3"/>
      <c r="BQ429" s="3"/>
      <c r="BR429" s="3"/>
      <c r="BS429" s="3"/>
    </row>
    <row r="430" spans="1:71" ht="15">
      <c r="A430" s="66" t="s">
        <v>647</v>
      </c>
      <c r="B430" s="67"/>
      <c r="C430" s="67"/>
      <c r="D430" s="68">
        <v>150</v>
      </c>
      <c r="E430" s="70"/>
      <c r="F430" s="102" t="str">
        <f>HYPERLINK("https://yt3.ggpht.com/ytc/AOPolaRDI0naul7WQrLcXaolCW5es0dkBbFQq7RE1VCPRg=s88-c-k-c0x00ffffff-no-rj")</f>
        <v>https://yt3.ggpht.com/ytc/AOPolaRDI0naul7WQrLcXaolCW5es0dkBbFQq7RE1VCPRg=s88-c-k-c0x00ffffff-no-rj</v>
      </c>
      <c r="G430" s="67"/>
      <c r="H430" s="71" t="s">
        <v>1718</v>
      </c>
      <c r="I430" s="72"/>
      <c r="J430" s="72" t="s">
        <v>159</v>
      </c>
      <c r="K430" s="71" t="s">
        <v>1718</v>
      </c>
      <c r="L430" s="75">
        <v>1</v>
      </c>
      <c r="M430" s="76">
        <v>6392.49462890625</v>
      </c>
      <c r="N430" s="76">
        <v>2088.695556640625</v>
      </c>
      <c r="O430" s="77"/>
      <c r="P430" s="78"/>
      <c r="Q430" s="78"/>
      <c r="R430" s="88"/>
      <c r="S430" s="49">
        <v>0</v>
      </c>
      <c r="T430" s="49">
        <v>1</v>
      </c>
      <c r="U430" s="50">
        <v>0</v>
      </c>
      <c r="V430" s="50">
        <v>0.021374</v>
      </c>
      <c r="W430" s="50">
        <v>0</v>
      </c>
      <c r="X430" s="50">
        <v>0.001587</v>
      </c>
      <c r="Y430" s="50">
        <v>0</v>
      </c>
      <c r="Z430" s="50">
        <v>0</v>
      </c>
      <c r="AA430" s="73">
        <v>430</v>
      </c>
      <c r="AB430" s="73"/>
      <c r="AC430" s="74"/>
      <c r="AD430" s="81" t="s">
        <v>1718</v>
      </c>
      <c r="AE430" s="81"/>
      <c r="AF430" s="81"/>
      <c r="AG430" s="81"/>
      <c r="AH430" s="81"/>
      <c r="AI430" s="81" t="s">
        <v>2446</v>
      </c>
      <c r="AJ430" s="85">
        <v>41335.941354166665</v>
      </c>
      <c r="AK430" s="83" t="str">
        <f>HYPERLINK("https://yt3.ggpht.com/ytc/AOPolaRDI0naul7WQrLcXaolCW5es0dkBbFQq7RE1VCPRg=s88-c-k-c0x00ffffff-no-rj")</f>
        <v>https://yt3.ggpht.com/ytc/AOPolaRDI0naul7WQrLcXaolCW5es0dkBbFQq7RE1VCPRg=s88-c-k-c0x00ffffff-no-rj</v>
      </c>
      <c r="AL430" s="81">
        <v>17034</v>
      </c>
      <c r="AM430" s="81">
        <v>0</v>
      </c>
      <c r="AN430" s="81">
        <v>103</v>
      </c>
      <c r="AO430" s="81" t="b">
        <v>0</v>
      </c>
      <c r="AP430" s="81">
        <v>12</v>
      </c>
      <c r="AQ430" s="81"/>
      <c r="AR430" s="81"/>
      <c r="AS430" s="81" t="s">
        <v>2571</v>
      </c>
      <c r="AT430" s="83" t="str">
        <f>HYPERLINK("https://www.youtube.com/channel/UCAl9DhRv3T6VbQFhMy4ZfjA")</f>
        <v>https://www.youtube.com/channel/UCAl9DhRv3T6VbQFhMy4ZfjA</v>
      </c>
      <c r="AU430" s="81">
        <v>5</v>
      </c>
      <c r="AV430" s="49">
        <v>0</v>
      </c>
      <c r="AW430" s="50">
        <v>0</v>
      </c>
      <c r="AX430" s="49">
        <v>1</v>
      </c>
      <c r="AY430" s="50">
        <v>3.7037037037037037</v>
      </c>
      <c r="AZ430" s="49">
        <v>0</v>
      </c>
      <c r="BA430" s="50">
        <v>0</v>
      </c>
      <c r="BB430" s="49">
        <v>8</v>
      </c>
      <c r="BC430" s="50">
        <v>29.62962962962963</v>
      </c>
      <c r="BD430" s="49">
        <v>27</v>
      </c>
      <c r="BE430" s="49"/>
      <c r="BF430" s="49"/>
      <c r="BG430" s="49"/>
      <c r="BH430" s="49"/>
      <c r="BI430" s="49"/>
      <c r="BJ430" s="49"/>
      <c r="BK430" s="115" t="s">
        <v>2957</v>
      </c>
      <c r="BL430" s="115" t="s">
        <v>2957</v>
      </c>
      <c r="BM430" s="115" t="s">
        <v>3402</v>
      </c>
      <c r="BN430" s="115" t="s">
        <v>3402</v>
      </c>
      <c r="BO430" s="2"/>
      <c r="BP430" s="3"/>
      <c r="BQ430" s="3"/>
      <c r="BR430" s="3"/>
      <c r="BS430" s="3"/>
    </row>
    <row r="431" spans="1:71" ht="15">
      <c r="A431" s="66" t="s">
        <v>648</v>
      </c>
      <c r="B431" s="67"/>
      <c r="C431" s="67"/>
      <c r="D431" s="68">
        <v>150</v>
      </c>
      <c r="E431" s="70"/>
      <c r="F431" s="102" t="str">
        <f>HYPERLINK("https://yt3.ggpht.com/ytc/AOPolaSHSF2J92U1JPh0xHtafkg8sT-V2o1hDi3Ptl-Xn-oxSPjKHbl76MIKXEg5G1fK=s88-c-k-c0x00ffffff-no-rj")</f>
        <v>https://yt3.ggpht.com/ytc/AOPolaSHSF2J92U1JPh0xHtafkg8sT-V2o1hDi3Ptl-Xn-oxSPjKHbl76MIKXEg5G1fK=s88-c-k-c0x00ffffff-no-rj</v>
      </c>
      <c r="G431" s="67"/>
      <c r="H431" s="71" t="s">
        <v>1719</v>
      </c>
      <c r="I431" s="72"/>
      <c r="J431" s="72" t="s">
        <v>159</v>
      </c>
      <c r="K431" s="71" t="s">
        <v>1719</v>
      </c>
      <c r="L431" s="75">
        <v>1</v>
      </c>
      <c r="M431" s="76">
        <v>6806.9208984375</v>
      </c>
      <c r="N431" s="76">
        <v>2122.713134765625</v>
      </c>
      <c r="O431" s="77"/>
      <c r="P431" s="78"/>
      <c r="Q431" s="78"/>
      <c r="R431" s="88"/>
      <c r="S431" s="49">
        <v>0</v>
      </c>
      <c r="T431" s="49">
        <v>1</v>
      </c>
      <c r="U431" s="50">
        <v>0</v>
      </c>
      <c r="V431" s="50">
        <v>0.021374</v>
      </c>
      <c r="W431" s="50">
        <v>0</v>
      </c>
      <c r="X431" s="50">
        <v>0.001587</v>
      </c>
      <c r="Y431" s="50">
        <v>0</v>
      </c>
      <c r="Z431" s="50">
        <v>0</v>
      </c>
      <c r="AA431" s="73">
        <v>431</v>
      </c>
      <c r="AB431" s="73"/>
      <c r="AC431" s="74"/>
      <c r="AD431" s="81" t="s">
        <v>1719</v>
      </c>
      <c r="AE431" s="81"/>
      <c r="AF431" s="81"/>
      <c r="AG431" s="81"/>
      <c r="AH431" s="81"/>
      <c r="AI431" s="81" t="s">
        <v>2447</v>
      </c>
      <c r="AJ431" s="85">
        <v>45115.501435185186</v>
      </c>
      <c r="AK431" s="83" t="str">
        <f>HYPERLINK("https://yt3.ggpht.com/ytc/AOPolaSHSF2J92U1JPh0xHtafkg8sT-V2o1hDi3Ptl-Xn-oxSPjKHbl76MIKXEg5G1fK=s88-c-k-c0x00ffffff-no-rj")</f>
        <v>https://yt3.ggpht.com/ytc/AOPolaSHSF2J92U1JPh0xHtafkg8sT-V2o1hDi3Ptl-Xn-oxSPjKHbl76MIKXEg5G1fK=s88-c-k-c0x00ffffff-no-rj</v>
      </c>
      <c r="AL431" s="81">
        <v>0</v>
      </c>
      <c r="AM431" s="81">
        <v>0</v>
      </c>
      <c r="AN431" s="81">
        <v>0</v>
      </c>
      <c r="AO431" s="81" t="b">
        <v>0</v>
      </c>
      <c r="AP431" s="81">
        <v>0</v>
      </c>
      <c r="AQ431" s="81"/>
      <c r="AR431" s="81"/>
      <c r="AS431" s="81" t="s">
        <v>2571</v>
      </c>
      <c r="AT431" s="83" t="str">
        <f>HYPERLINK("https://www.youtube.com/channel/UCqaNnkbltkl2EZ2q-f90l_w")</f>
        <v>https://www.youtube.com/channel/UCqaNnkbltkl2EZ2q-f90l_w</v>
      </c>
      <c r="AU431" s="81">
        <v>5</v>
      </c>
      <c r="AV431" s="49">
        <v>0</v>
      </c>
      <c r="AW431" s="50">
        <v>0</v>
      </c>
      <c r="AX431" s="49">
        <v>1</v>
      </c>
      <c r="AY431" s="50">
        <v>12.5</v>
      </c>
      <c r="AZ431" s="49">
        <v>0</v>
      </c>
      <c r="BA431" s="50">
        <v>0</v>
      </c>
      <c r="BB431" s="49">
        <v>4</v>
      </c>
      <c r="BC431" s="50">
        <v>50</v>
      </c>
      <c r="BD431" s="49">
        <v>8</v>
      </c>
      <c r="BE431" s="49"/>
      <c r="BF431" s="49"/>
      <c r="BG431" s="49"/>
      <c r="BH431" s="49"/>
      <c r="BI431" s="49"/>
      <c r="BJ431" s="49"/>
      <c r="BK431" s="115" t="s">
        <v>2958</v>
      </c>
      <c r="BL431" s="115" t="s">
        <v>2958</v>
      </c>
      <c r="BM431" s="115" t="s">
        <v>3403</v>
      </c>
      <c r="BN431" s="115" t="s">
        <v>3403</v>
      </c>
      <c r="BO431" s="2"/>
      <c r="BP431" s="3"/>
      <c r="BQ431" s="3"/>
      <c r="BR431" s="3"/>
      <c r="BS431" s="3"/>
    </row>
    <row r="432" spans="1:71" ht="15">
      <c r="A432" s="66" t="s">
        <v>649</v>
      </c>
      <c r="B432" s="67"/>
      <c r="C432" s="67"/>
      <c r="D432" s="68">
        <v>150</v>
      </c>
      <c r="E432" s="70"/>
      <c r="F432" s="102" t="str">
        <f>HYPERLINK("https://yt3.ggpht.com/ytc/AOPolaRnSkwE08iqeY7Xl60jpgALFJqD0bbIYoSm9rAJfxmdOziRvGyv1cJbRe85HJdm=s88-c-k-c0x00ffffff-no-rj")</f>
        <v>https://yt3.ggpht.com/ytc/AOPolaRnSkwE08iqeY7Xl60jpgALFJqD0bbIYoSm9rAJfxmdOziRvGyv1cJbRe85HJdm=s88-c-k-c0x00ffffff-no-rj</v>
      </c>
      <c r="G432" s="67"/>
      <c r="H432" s="71" t="s">
        <v>1720</v>
      </c>
      <c r="I432" s="72"/>
      <c r="J432" s="72" t="s">
        <v>159</v>
      </c>
      <c r="K432" s="71" t="s">
        <v>1720</v>
      </c>
      <c r="L432" s="75">
        <v>1</v>
      </c>
      <c r="M432" s="76">
        <v>7887.115234375</v>
      </c>
      <c r="N432" s="76">
        <v>1988.525634765625</v>
      </c>
      <c r="O432" s="77"/>
      <c r="P432" s="78"/>
      <c r="Q432" s="78"/>
      <c r="R432" s="88"/>
      <c r="S432" s="49">
        <v>0</v>
      </c>
      <c r="T432" s="49">
        <v>1</v>
      </c>
      <c r="U432" s="50">
        <v>0</v>
      </c>
      <c r="V432" s="50">
        <v>0.021374</v>
      </c>
      <c r="W432" s="50">
        <v>0</v>
      </c>
      <c r="X432" s="50">
        <v>0.001587</v>
      </c>
      <c r="Y432" s="50">
        <v>0</v>
      </c>
      <c r="Z432" s="50">
        <v>0</v>
      </c>
      <c r="AA432" s="73">
        <v>432</v>
      </c>
      <c r="AB432" s="73"/>
      <c r="AC432" s="74"/>
      <c r="AD432" s="81" t="s">
        <v>1720</v>
      </c>
      <c r="AE432" s="81"/>
      <c r="AF432" s="81"/>
      <c r="AG432" s="81"/>
      <c r="AH432" s="81"/>
      <c r="AI432" s="81" t="s">
        <v>2448</v>
      </c>
      <c r="AJ432" s="85">
        <v>44637.091828703706</v>
      </c>
      <c r="AK432" s="83" t="str">
        <f>HYPERLINK("https://yt3.ggpht.com/ytc/AOPolaRnSkwE08iqeY7Xl60jpgALFJqD0bbIYoSm9rAJfxmdOziRvGyv1cJbRe85HJdm=s88-c-k-c0x00ffffff-no-rj")</f>
        <v>https://yt3.ggpht.com/ytc/AOPolaRnSkwE08iqeY7Xl60jpgALFJqD0bbIYoSm9rAJfxmdOziRvGyv1cJbRe85HJdm=s88-c-k-c0x00ffffff-no-rj</v>
      </c>
      <c r="AL432" s="81">
        <v>0</v>
      </c>
      <c r="AM432" s="81">
        <v>0</v>
      </c>
      <c r="AN432" s="81">
        <v>0</v>
      </c>
      <c r="AO432" s="81" t="b">
        <v>0</v>
      </c>
      <c r="AP432" s="81">
        <v>0</v>
      </c>
      <c r="AQ432" s="81"/>
      <c r="AR432" s="81"/>
      <c r="AS432" s="81" t="s">
        <v>2571</v>
      </c>
      <c r="AT432" s="83" t="str">
        <f>HYPERLINK("https://www.youtube.com/channel/UCe4kPsTw5pTJC4Y1NmnxQRg")</f>
        <v>https://www.youtube.com/channel/UCe4kPsTw5pTJC4Y1NmnxQRg</v>
      </c>
      <c r="AU432" s="81">
        <v>5</v>
      </c>
      <c r="AV432" s="49">
        <v>0</v>
      </c>
      <c r="AW432" s="50">
        <v>0</v>
      </c>
      <c r="AX432" s="49">
        <v>1</v>
      </c>
      <c r="AY432" s="50">
        <v>3.0303030303030303</v>
      </c>
      <c r="AZ432" s="49">
        <v>0</v>
      </c>
      <c r="BA432" s="50">
        <v>0</v>
      </c>
      <c r="BB432" s="49">
        <v>11</v>
      </c>
      <c r="BC432" s="50">
        <v>33.333333333333336</v>
      </c>
      <c r="BD432" s="49">
        <v>33</v>
      </c>
      <c r="BE432" s="49"/>
      <c r="BF432" s="49"/>
      <c r="BG432" s="49"/>
      <c r="BH432" s="49"/>
      <c r="BI432" s="49"/>
      <c r="BJ432" s="49"/>
      <c r="BK432" s="115" t="s">
        <v>2959</v>
      </c>
      <c r="BL432" s="115" t="s">
        <v>2959</v>
      </c>
      <c r="BM432" s="115" t="s">
        <v>3404</v>
      </c>
      <c r="BN432" s="115" t="s">
        <v>3404</v>
      </c>
      <c r="BO432" s="2"/>
      <c r="BP432" s="3"/>
      <c r="BQ432" s="3"/>
      <c r="BR432" s="3"/>
      <c r="BS432" s="3"/>
    </row>
    <row r="433" spans="1:71" ht="15">
      <c r="A433" s="66" t="s">
        <v>650</v>
      </c>
      <c r="B433" s="67"/>
      <c r="C433" s="67"/>
      <c r="D433" s="68">
        <v>150</v>
      </c>
      <c r="E433" s="70"/>
      <c r="F433" s="102" t="str">
        <f>HYPERLINK("https://yt3.ggpht.com/ytc/AOPolaSkJaQQLPsqW0PKTvqmvC_kdU_C_IHeo4FXhuDbwW4cEY9_kIyaFmmVOFh99E_n=s88-c-k-c0x00ffffff-no-rj")</f>
        <v>https://yt3.ggpht.com/ytc/AOPolaSkJaQQLPsqW0PKTvqmvC_kdU_C_IHeo4FXhuDbwW4cEY9_kIyaFmmVOFh99E_n=s88-c-k-c0x00ffffff-no-rj</v>
      </c>
      <c r="G433" s="67"/>
      <c r="H433" s="71" t="s">
        <v>1721</v>
      </c>
      <c r="I433" s="72"/>
      <c r="J433" s="72" t="s">
        <v>159</v>
      </c>
      <c r="K433" s="71" t="s">
        <v>1721</v>
      </c>
      <c r="L433" s="75">
        <v>1</v>
      </c>
      <c r="M433" s="76">
        <v>7595.650390625</v>
      </c>
      <c r="N433" s="76">
        <v>2346.451416015625</v>
      </c>
      <c r="O433" s="77"/>
      <c r="P433" s="78"/>
      <c r="Q433" s="78"/>
      <c r="R433" s="88"/>
      <c r="S433" s="49">
        <v>0</v>
      </c>
      <c r="T433" s="49">
        <v>1</v>
      </c>
      <c r="U433" s="50">
        <v>0</v>
      </c>
      <c r="V433" s="50">
        <v>0.021374</v>
      </c>
      <c r="W433" s="50">
        <v>0</v>
      </c>
      <c r="X433" s="50">
        <v>0.001587</v>
      </c>
      <c r="Y433" s="50">
        <v>0</v>
      </c>
      <c r="Z433" s="50">
        <v>0</v>
      </c>
      <c r="AA433" s="73">
        <v>433</v>
      </c>
      <c r="AB433" s="73"/>
      <c r="AC433" s="74"/>
      <c r="AD433" s="81" t="s">
        <v>1721</v>
      </c>
      <c r="AE433" s="81"/>
      <c r="AF433" s="81"/>
      <c r="AG433" s="81"/>
      <c r="AH433" s="81"/>
      <c r="AI433" s="81" t="s">
        <v>2449</v>
      </c>
      <c r="AJ433" s="85">
        <v>44617.998773148145</v>
      </c>
      <c r="AK433" s="83" t="str">
        <f>HYPERLINK("https://yt3.ggpht.com/ytc/AOPolaSkJaQQLPsqW0PKTvqmvC_kdU_C_IHeo4FXhuDbwW4cEY9_kIyaFmmVOFh99E_n=s88-c-k-c0x00ffffff-no-rj")</f>
        <v>https://yt3.ggpht.com/ytc/AOPolaSkJaQQLPsqW0PKTvqmvC_kdU_C_IHeo4FXhuDbwW4cEY9_kIyaFmmVOFh99E_n=s88-c-k-c0x00ffffff-no-rj</v>
      </c>
      <c r="AL433" s="81">
        <v>0</v>
      </c>
      <c r="AM433" s="81">
        <v>0</v>
      </c>
      <c r="AN433" s="81">
        <v>0</v>
      </c>
      <c r="AO433" s="81" t="b">
        <v>0</v>
      </c>
      <c r="AP433" s="81">
        <v>0</v>
      </c>
      <c r="AQ433" s="81"/>
      <c r="AR433" s="81"/>
      <c r="AS433" s="81" t="s">
        <v>2571</v>
      </c>
      <c r="AT433" s="83" t="str">
        <f>HYPERLINK("https://www.youtube.com/channel/UC0LCq_OqhMElPUSFvxbp_WQ")</f>
        <v>https://www.youtube.com/channel/UC0LCq_OqhMElPUSFvxbp_WQ</v>
      </c>
      <c r="AU433" s="81">
        <v>5</v>
      </c>
      <c r="AV433" s="49">
        <v>1</v>
      </c>
      <c r="AW433" s="50">
        <v>6.666666666666667</v>
      </c>
      <c r="AX433" s="49">
        <v>4</v>
      </c>
      <c r="AY433" s="50">
        <v>26.666666666666668</v>
      </c>
      <c r="AZ433" s="49">
        <v>0</v>
      </c>
      <c r="BA433" s="50">
        <v>0</v>
      </c>
      <c r="BB433" s="49">
        <v>1</v>
      </c>
      <c r="BC433" s="50">
        <v>6.666666666666667</v>
      </c>
      <c r="BD433" s="49">
        <v>15</v>
      </c>
      <c r="BE433" s="49"/>
      <c r="BF433" s="49"/>
      <c r="BG433" s="49"/>
      <c r="BH433" s="49"/>
      <c r="BI433" s="49"/>
      <c r="BJ433" s="49"/>
      <c r="BK433" s="115" t="s">
        <v>2960</v>
      </c>
      <c r="BL433" s="115" t="s">
        <v>2960</v>
      </c>
      <c r="BM433" s="115" t="s">
        <v>3405</v>
      </c>
      <c r="BN433" s="115" t="s">
        <v>3405</v>
      </c>
      <c r="BO433" s="2"/>
      <c r="BP433" s="3"/>
      <c r="BQ433" s="3"/>
      <c r="BR433" s="3"/>
      <c r="BS433" s="3"/>
    </row>
    <row r="434" spans="1:71" ht="15">
      <c r="A434" s="66" t="s">
        <v>651</v>
      </c>
      <c r="B434" s="67"/>
      <c r="C434" s="67"/>
      <c r="D434" s="68">
        <v>150</v>
      </c>
      <c r="E434" s="70"/>
      <c r="F434" s="102" t="str">
        <f>HYPERLINK("https://yt3.ggpht.com/ytc/AOPolaTqoEC8O3K-bllGtEeDOTch1d_5vX_wY2IYNQ=s88-c-k-c0x00ffffff-no-rj")</f>
        <v>https://yt3.ggpht.com/ytc/AOPolaTqoEC8O3K-bllGtEeDOTch1d_5vX_wY2IYNQ=s88-c-k-c0x00ffffff-no-rj</v>
      </c>
      <c r="G434" s="67"/>
      <c r="H434" s="71" t="s">
        <v>1722</v>
      </c>
      <c r="I434" s="72"/>
      <c r="J434" s="72" t="s">
        <v>159</v>
      </c>
      <c r="K434" s="71" t="s">
        <v>1722</v>
      </c>
      <c r="L434" s="75">
        <v>1</v>
      </c>
      <c r="M434" s="76">
        <v>6349.44921875</v>
      </c>
      <c r="N434" s="76">
        <v>2884.17431640625</v>
      </c>
      <c r="O434" s="77"/>
      <c r="P434" s="78"/>
      <c r="Q434" s="78"/>
      <c r="R434" s="88"/>
      <c r="S434" s="49">
        <v>0</v>
      </c>
      <c r="T434" s="49">
        <v>1</v>
      </c>
      <c r="U434" s="50">
        <v>0</v>
      </c>
      <c r="V434" s="50">
        <v>0.021374</v>
      </c>
      <c r="W434" s="50">
        <v>0</v>
      </c>
      <c r="X434" s="50">
        <v>0.001587</v>
      </c>
      <c r="Y434" s="50">
        <v>0</v>
      </c>
      <c r="Z434" s="50">
        <v>0</v>
      </c>
      <c r="AA434" s="73">
        <v>434</v>
      </c>
      <c r="AB434" s="73"/>
      <c r="AC434" s="74"/>
      <c r="AD434" s="81" t="s">
        <v>1722</v>
      </c>
      <c r="AE434" s="81"/>
      <c r="AF434" s="81"/>
      <c r="AG434" s="81"/>
      <c r="AH434" s="81"/>
      <c r="AI434" s="81" t="s">
        <v>2450</v>
      </c>
      <c r="AJ434" s="85">
        <v>42557.23059027778</v>
      </c>
      <c r="AK434" s="83" t="str">
        <f>HYPERLINK("https://yt3.ggpht.com/ytc/AOPolaTqoEC8O3K-bllGtEeDOTch1d_5vX_wY2IYNQ=s88-c-k-c0x00ffffff-no-rj")</f>
        <v>https://yt3.ggpht.com/ytc/AOPolaTqoEC8O3K-bllGtEeDOTch1d_5vX_wY2IYNQ=s88-c-k-c0x00ffffff-no-rj</v>
      </c>
      <c r="AL434" s="81">
        <v>0</v>
      </c>
      <c r="AM434" s="81">
        <v>0</v>
      </c>
      <c r="AN434" s="81">
        <v>0</v>
      </c>
      <c r="AO434" s="81" t="b">
        <v>0</v>
      </c>
      <c r="AP434" s="81">
        <v>0</v>
      </c>
      <c r="AQ434" s="81"/>
      <c r="AR434" s="81"/>
      <c r="AS434" s="81" t="s">
        <v>2571</v>
      </c>
      <c r="AT434" s="83" t="str">
        <f>HYPERLINK("https://www.youtube.com/channel/UCgFqD3On_ANmpXNY5EOG2HA")</f>
        <v>https://www.youtube.com/channel/UCgFqD3On_ANmpXNY5EOG2HA</v>
      </c>
      <c r="AU434" s="81">
        <v>5</v>
      </c>
      <c r="AV434" s="49">
        <v>0</v>
      </c>
      <c r="AW434" s="50">
        <v>0</v>
      </c>
      <c r="AX434" s="49">
        <v>0</v>
      </c>
      <c r="AY434" s="50">
        <v>0</v>
      </c>
      <c r="AZ434" s="49">
        <v>0</v>
      </c>
      <c r="BA434" s="50">
        <v>0</v>
      </c>
      <c r="BB434" s="49">
        <v>0</v>
      </c>
      <c r="BC434" s="50">
        <v>0</v>
      </c>
      <c r="BD434" s="49">
        <v>3</v>
      </c>
      <c r="BE434" s="49"/>
      <c r="BF434" s="49"/>
      <c r="BG434" s="49"/>
      <c r="BH434" s="49"/>
      <c r="BI434" s="49"/>
      <c r="BJ434" s="49"/>
      <c r="BK434" s="115" t="s">
        <v>4477</v>
      </c>
      <c r="BL434" s="115" t="s">
        <v>4477</v>
      </c>
      <c r="BM434" s="115" t="s">
        <v>4477</v>
      </c>
      <c r="BN434" s="115" t="s">
        <v>4477</v>
      </c>
      <c r="BO434" s="2"/>
      <c r="BP434" s="3"/>
      <c r="BQ434" s="3"/>
      <c r="BR434" s="3"/>
      <c r="BS434" s="3"/>
    </row>
    <row r="435" spans="1:71" ht="15">
      <c r="A435" s="66" t="s">
        <v>652</v>
      </c>
      <c r="B435" s="67"/>
      <c r="C435" s="67"/>
      <c r="D435" s="68">
        <v>150</v>
      </c>
      <c r="E435" s="70"/>
      <c r="F435" s="102" t="str">
        <f>HYPERLINK("https://yt3.ggpht.com/ytc/AOPolaSm93_1qHsaW4nshE3P2p-C3xzjfQbOyvgmFaCgkX6FETtH-a6uGBNO0JbOIAhV=s88-c-k-c0x00ffffff-no-rj")</f>
        <v>https://yt3.ggpht.com/ytc/AOPolaSm93_1qHsaW4nshE3P2p-C3xzjfQbOyvgmFaCgkX6FETtH-a6uGBNO0JbOIAhV=s88-c-k-c0x00ffffff-no-rj</v>
      </c>
      <c r="G435" s="67"/>
      <c r="H435" s="71" t="s">
        <v>1723</v>
      </c>
      <c r="I435" s="72"/>
      <c r="J435" s="72" t="s">
        <v>159</v>
      </c>
      <c r="K435" s="71" t="s">
        <v>1723</v>
      </c>
      <c r="L435" s="75">
        <v>1</v>
      </c>
      <c r="M435" s="76">
        <v>7954.435546875</v>
      </c>
      <c r="N435" s="76">
        <v>2772.482666015625</v>
      </c>
      <c r="O435" s="77"/>
      <c r="P435" s="78"/>
      <c r="Q435" s="78"/>
      <c r="R435" s="88"/>
      <c r="S435" s="49">
        <v>0</v>
      </c>
      <c r="T435" s="49">
        <v>1</v>
      </c>
      <c r="U435" s="50">
        <v>0</v>
      </c>
      <c r="V435" s="50">
        <v>0.021374</v>
      </c>
      <c r="W435" s="50">
        <v>0</v>
      </c>
      <c r="X435" s="50">
        <v>0.001587</v>
      </c>
      <c r="Y435" s="50">
        <v>0</v>
      </c>
      <c r="Z435" s="50">
        <v>0</v>
      </c>
      <c r="AA435" s="73">
        <v>435</v>
      </c>
      <c r="AB435" s="73"/>
      <c r="AC435" s="74"/>
      <c r="AD435" s="81" t="s">
        <v>1723</v>
      </c>
      <c r="AE435" s="81"/>
      <c r="AF435" s="81"/>
      <c r="AG435" s="81"/>
      <c r="AH435" s="81"/>
      <c r="AI435" s="81" t="s">
        <v>2451</v>
      </c>
      <c r="AJ435" s="85">
        <v>44668.97719907408</v>
      </c>
      <c r="AK435" s="83" t="str">
        <f>HYPERLINK("https://yt3.ggpht.com/ytc/AOPolaSm93_1qHsaW4nshE3P2p-C3xzjfQbOyvgmFaCgkX6FETtH-a6uGBNO0JbOIAhV=s88-c-k-c0x00ffffff-no-rj")</f>
        <v>https://yt3.ggpht.com/ytc/AOPolaSm93_1qHsaW4nshE3P2p-C3xzjfQbOyvgmFaCgkX6FETtH-a6uGBNO0JbOIAhV=s88-c-k-c0x00ffffff-no-rj</v>
      </c>
      <c r="AL435" s="81">
        <v>0</v>
      </c>
      <c r="AM435" s="81">
        <v>0</v>
      </c>
      <c r="AN435" s="81">
        <v>0</v>
      </c>
      <c r="AO435" s="81" t="b">
        <v>0</v>
      </c>
      <c r="AP435" s="81">
        <v>0</v>
      </c>
      <c r="AQ435" s="81"/>
      <c r="AR435" s="81"/>
      <c r="AS435" s="81" t="s">
        <v>2571</v>
      </c>
      <c r="AT435" s="83" t="str">
        <f>HYPERLINK("https://www.youtube.com/channel/UCOpDvOhCc0NB81DNvZeVQNg")</f>
        <v>https://www.youtube.com/channel/UCOpDvOhCc0NB81DNvZeVQNg</v>
      </c>
      <c r="AU435" s="81">
        <v>5</v>
      </c>
      <c r="AV435" s="49">
        <v>0</v>
      </c>
      <c r="AW435" s="50">
        <v>0</v>
      </c>
      <c r="AX435" s="49">
        <v>1</v>
      </c>
      <c r="AY435" s="50">
        <v>12.5</v>
      </c>
      <c r="AZ435" s="49">
        <v>0</v>
      </c>
      <c r="BA435" s="50">
        <v>0</v>
      </c>
      <c r="BB435" s="49">
        <v>0</v>
      </c>
      <c r="BC435" s="50">
        <v>0</v>
      </c>
      <c r="BD435" s="49">
        <v>8</v>
      </c>
      <c r="BE435" s="49"/>
      <c r="BF435" s="49"/>
      <c r="BG435" s="49"/>
      <c r="BH435" s="49"/>
      <c r="BI435" s="49"/>
      <c r="BJ435" s="49"/>
      <c r="BK435" s="115" t="s">
        <v>2961</v>
      </c>
      <c r="BL435" s="115" t="s">
        <v>2961</v>
      </c>
      <c r="BM435" s="115" t="s">
        <v>4477</v>
      </c>
      <c r="BN435" s="115" t="s">
        <v>4477</v>
      </c>
      <c r="BO435" s="2"/>
      <c r="BP435" s="3"/>
      <c r="BQ435" s="3"/>
      <c r="BR435" s="3"/>
      <c r="BS435" s="3"/>
    </row>
    <row r="436" spans="1:71" ht="15">
      <c r="A436" s="66" t="s">
        <v>653</v>
      </c>
      <c r="B436" s="67"/>
      <c r="C436" s="67"/>
      <c r="D436" s="68">
        <v>150</v>
      </c>
      <c r="E436" s="70"/>
      <c r="F436" s="102" t="str">
        <f>HYPERLINK("https://yt3.ggpht.com/Ot97e33iCmBw5FpCU59OHpuOcn-nsXrBQBsSJ50QQ55UIlFs-SL2-QM1XzvnBW4dhsHkTQc8bg=s88-c-k-c0x00ffffff-no-rj")</f>
        <v>https://yt3.ggpht.com/Ot97e33iCmBw5FpCU59OHpuOcn-nsXrBQBsSJ50QQ55UIlFs-SL2-QM1XzvnBW4dhsHkTQc8bg=s88-c-k-c0x00ffffff-no-rj</v>
      </c>
      <c r="G436" s="67"/>
      <c r="H436" s="71" t="s">
        <v>1724</v>
      </c>
      <c r="I436" s="72"/>
      <c r="J436" s="72" t="s">
        <v>159</v>
      </c>
      <c r="K436" s="71" t="s">
        <v>1724</v>
      </c>
      <c r="L436" s="75">
        <v>1</v>
      </c>
      <c r="M436" s="76">
        <v>7432.74169921875</v>
      </c>
      <c r="N436" s="76">
        <v>1472.6328125</v>
      </c>
      <c r="O436" s="77"/>
      <c r="P436" s="78"/>
      <c r="Q436" s="78"/>
      <c r="R436" s="88"/>
      <c r="S436" s="49">
        <v>0</v>
      </c>
      <c r="T436" s="49">
        <v>1</v>
      </c>
      <c r="U436" s="50">
        <v>0</v>
      </c>
      <c r="V436" s="50">
        <v>0.021374</v>
      </c>
      <c r="W436" s="50">
        <v>0</v>
      </c>
      <c r="X436" s="50">
        <v>0.001587</v>
      </c>
      <c r="Y436" s="50">
        <v>0</v>
      </c>
      <c r="Z436" s="50">
        <v>0</v>
      </c>
      <c r="AA436" s="73">
        <v>436</v>
      </c>
      <c r="AB436" s="73"/>
      <c r="AC436" s="74"/>
      <c r="AD436" s="81" t="s">
        <v>1724</v>
      </c>
      <c r="AE436" s="81" t="s">
        <v>1993</v>
      </c>
      <c r="AF436" s="81"/>
      <c r="AG436" s="81"/>
      <c r="AH436" s="81"/>
      <c r="AI436" s="81" t="s">
        <v>2452</v>
      </c>
      <c r="AJ436" s="85">
        <v>43502.13793981481</v>
      </c>
      <c r="AK436" s="83" t="str">
        <f>HYPERLINK("https://yt3.ggpht.com/Ot97e33iCmBw5FpCU59OHpuOcn-nsXrBQBsSJ50QQ55UIlFs-SL2-QM1XzvnBW4dhsHkTQc8bg=s88-c-k-c0x00ffffff-no-rj")</f>
        <v>https://yt3.ggpht.com/Ot97e33iCmBw5FpCU59OHpuOcn-nsXrBQBsSJ50QQ55UIlFs-SL2-QM1XzvnBW4dhsHkTQc8bg=s88-c-k-c0x00ffffff-no-rj</v>
      </c>
      <c r="AL436" s="81">
        <v>14</v>
      </c>
      <c r="AM436" s="81">
        <v>0</v>
      </c>
      <c r="AN436" s="81">
        <v>0</v>
      </c>
      <c r="AO436" s="81" t="b">
        <v>0</v>
      </c>
      <c r="AP436" s="81">
        <v>2</v>
      </c>
      <c r="AQ436" s="81"/>
      <c r="AR436" s="81"/>
      <c r="AS436" s="81" t="s">
        <v>2571</v>
      </c>
      <c r="AT436" s="83" t="str">
        <f>HYPERLINK("https://www.youtube.com/channel/UCwrvFEDIvasD8EesYt-_VlA")</f>
        <v>https://www.youtube.com/channel/UCwrvFEDIvasD8EesYt-_VlA</v>
      </c>
      <c r="AU436" s="81">
        <v>5</v>
      </c>
      <c r="AV436" s="49">
        <v>0</v>
      </c>
      <c r="AW436" s="50">
        <v>0</v>
      </c>
      <c r="AX436" s="49">
        <v>0</v>
      </c>
      <c r="AY436" s="50">
        <v>0</v>
      </c>
      <c r="AZ436" s="49">
        <v>0</v>
      </c>
      <c r="BA436" s="50">
        <v>0</v>
      </c>
      <c r="BB436" s="49">
        <v>2</v>
      </c>
      <c r="BC436" s="50">
        <v>25</v>
      </c>
      <c r="BD436" s="49">
        <v>8</v>
      </c>
      <c r="BE436" s="49"/>
      <c r="BF436" s="49"/>
      <c r="BG436" s="49"/>
      <c r="BH436" s="49"/>
      <c r="BI436" s="49"/>
      <c r="BJ436" s="49"/>
      <c r="BK436" s="115" t="s">
        <v>2962</v>
      </c>
      <c r="BL436" s="115" t="s">
        <v>2962</v>
      </c>
      <c r="BM436" s="115" t="s">
        <v>3406</v>
      </c>
      <c r="BN436" s="115" t="s">
        <v>3406</v>
      </c>
      <c r="BO436" s="2"/>
      <c r="BP436" s="3"/>
      <c r="BQ436" s="3"/>
      <c r="BR436" s="3"/>
      <c r="BS436" s="3"/>
    </row>
    <row r="437" spans="1:71" ht="15">
      <c r="A437" s="66" t="s">
        <v>654</v>
      </c>
      <c r="B437" s="67"/>
      <c r="C437" s="67"/>
      <c r="D437" s="68">
        <v>150</v>
      </c>
      <c r="E437" s="70"/>
      <c r="F437" s="102" t="str">
        <f>HYPERLINK("https://yt3.ggpht.com/UdcTJJpD4JRzf1ntIOqeXIsnTwhpyOIGvRAOVoidCG5uR6jT6yHXumyKeC4aRZT3D10GM6iy=s88-c-k-c0x00ffffff-no-rj")</f>
        <v>https://yt3.ggpht.com/UdcTJJpD4JRzf1ntIOqeXIsnTwhpyOIGvRAOVoidCG5uR6jT6yHXumyKeC4aRZT3D10GM6iy=s88-c-k-c0x00ffffff-no-rj</v>
      </c>
      <c r="G437" s="67"/>
      <c r="H437" s="71" t="s">
        <v>1725</v>
      </c>
      <c r="I437" s="72"/>
      <c r="J437" s="72" t="s">
        <v>159</v>
      </c>
      <c r="K437" s="71" t="s">
        <v>1725</v>
      </c>
      <c r="L437" s="75">
        <v>1</v>
      </c>
      <c r="M437" s="76">
        <v>6702.63232421875</v>
      </c>
      <c r="N437" s="76">
        <v>2737.00439453125</v>
      </c>
      <c r="O437" s="77"/>
      <c r="P437" s="78"/>
      <c r="Q437" s="78"/>
      <c r="R437" s="88"/>
      <c r="S437" s="49">
        <v>0</v>
      </c>
      <c r="T437" s="49">
        <v>1</v>
      </c>
      <c r="U437" s="50">
        <v>0</v>
      </c>
      <c r="V437" s="50">
        <v>0.021374</v>
      </c>
      <c r="W437" s="50">
        <v>0</v>
      </c>
      <c r="X437" s="50">
        <v>0.001587</v>
      </c>
      <c r="Y437" s="50">
        <v>0</v>
      </c>
      <c r="Z437" s="50">
        <v>0</v>
      </c>
      <c r="AA437" s="73">
        <v>437</v>
      </c>
      <c r="AB437" s="73"/>
      <c r="AC437" s="74"/>
      <c r="AD437" s="81" t="s">
        <v>1725</v>
      </c>
      <c r="AE437" s="81"/>
      <c r="AF437" s="81"/>
      <c r="AG437" s="81"/>
      <c r="AH437" s="81"/>
      <c r="AI437" s="81" t="s">
        <v>2453</v>
      </c>
      <c r="AJ437" s="85">
        <v>42039.803136574075</v>
      </c>
      <c r="AK437" s="83" t="str">
        <f>HYPERLINK("https://yt3.ggpht.com/UdcTJJpD4JRzf1ntIOqeXIsnTwhpyOIGvRAOVoidCG5uR6jT6yHXumyKeC4aRZT3D10GM6iy=s88-c-k-c0x00ffffff-no-rj")</f>
        <v>https://yt3.ggpht.com/UdcTJJpD4JRzf1ntIOqeXIsnTwhpyOIGvRAOVoidCG5uR6jT6yHXumyKeC4aRZT3D10GM6iy=s88-c-k-c0x00ffffff-no-rj</v>
      </c>
      <c r="AL437" s="81">
        <v>0</v>
      </c>
      <c r="AM437" s="81">
        <v>0</v>
      </c>
      <c r="AN437" s="81">
        <v>0</v>
      </c>
      <c r="AO437" s="81" t="b">
        <v>0</v>
      </c>
      <c r="AP437" s="81">
        <v>0</v>
      </c>
      <c r="AQ437" s="81"/>
      <c r="AR437" s="81"/>
      <c r="AS437" s="81" t="s">
        <v>2571</v>
      </c>
      <c r="AT437" s="83" t="str">
        <f>HYPERLINK("https://www.youtube.com/channel/UC4JGtkkIk0ZUCg_EDa_A5og")</f>
        <v>https://www.youtube.com/channel/UC4JGtkkIk0ZUCg_EDa_A5og</v>
      </c>
      <c r="AU437" s="81">
        <v>5</v>
      </c>
      <c r="AV437" s="49">
        <v>0</v>
      </c>
      <c r="AW437" s="50">
        <v>0</v>
      </c>
      <c r="AX437" s="49">
        <v>1</v>
      </c>
      <c r="AY437" s="50">
        <v>7.142857142857143</v>
      </c>
      <c r="AZ437" s="49">
        <v>0</v>
      </c>
      <c r="BA437" s="50">
        <v>0</v>
      </c>
      <c r="BB437" s="49">
        <v>7</v>
      </c>
      <c r="BC437" s="50">
        <v>50</v>
      </c>
      <c r="BD437" s="49">
        <v>14</v>
      </c>
      <c r="BE437" s="49"/>
      <c r="BF437" s="49"/>
      <c r="BG437" s="49"/>
      <c r="BH437" s="49"/>
      <c r="BI437" s="49"/>
      <c r="BJ437" s="49"/>
      <c r="BK437" s="115" t="s">
        <v>2963</v>
      </c>
      <c r="BL437" s="115" t="s">
        <v>2963</v>
      </c>
      <c r="BM437" s="115" t="s">
        <v>3407</v>
      </c>
      <c r="BN437" s="115" t="s">
        <v>3407</v>
      </c>
      <c r="BO437" s="2"/>
      <c r="BP437" s="3"/>
      <c r="BQ437" s="3"/>
      <c r="BR437" s="3"/>
      <c r="BS437" s="3"/>
    </row>
    <row r="438" spans="1:71" ht="15">
      <c r="A438" s="66" t="s">
        <v>655</v>
      </c>
      <c r="B438" s="67"/>
      <c r="C438" s="67"/>
      <c r="D438" s="68">
        <v>150</v>
      </c>
      <c r="E438" s="70"/>
      <c r="F438" s="102" t="str">
        <f>HYPERLINK("https://yt3.ggpht.com/ytc/AOPolaSOhHCLlDGFUBOpqGP2-695NdF3Mgw0b_9jp2_f6TzlJUZYvjLWEqsT1_pZCL7b=s88-c-k-c0x00ffffff-no-rj")</f>
        <v>https://yt3.ggpht.com/ytc/AOPolaSOhHCLlDGFUBOpqGP2-695NdF3Mgw0b_9jp2_f6TzlJUZYvjLWEqsT1_pZCL7b=s88-c-k-c0x00ffffff-no-rj</v>
      </c>
      <c r="G438" s="67"/>
      <c r="H438" s="71" t="s">
        <v>1726</v>
      </c>
      <c r="I438" s="72"/>
      <c r="J438" s="72" t="s">
        <v>159</v>
      </c>
      <c r="K438" s="71" t="s">
        <v>1726</v>
      </c>
      <c r="L438" s="75">
        <v>1</v>
      </c>
      <c r="M438" s="76">
        <v>6825.47998046875</v>
      </c>
      <c r="N438" s="76">
        <v>1530.549072265625</v>
      </c>
      <c r="O438" s="77"/>
      <c r="P438" s="78"/>
      <c r="Q438" s="78"/>
      <c r="R438" s="88"/>
      <c r="S438" s="49">
        <v>0</v>
      </c>
      <c r="T438" s="49">
        <v>1</v>
      </c>
      <c r="U438" s="50">
        <v>0</v>
      </c>
      <c r="V438" s="50">
        <v>0.021374</v>
      </c>
      <c r="W438" s="50">
        <v>0</v>
      </c>
      <c r="X438" s="50">
        <v>0.001587</v>
      </c>
      <c r="Y438" s="50">
        <v>0</v>
      </c>
      <c r="Z438" s="50">
        <v>0</v>
      </c>
      <c r="AA438" s="73">
        <v>438</v>
      </c>
      <c r="AB438" s="73"/>
      <c r="AC438" s="74"/>
      <c r="AD438" s="81" t="s">
        <v>1726</v>
      </c>
      <c r="AE438" s="81"/>
      <c r="AF438" s="81"/>
      <c r="AG438" s="81"/>
      <c r="AH438" s="81"/>
      <c r="AI438" s="81" t="s">
        <v>2454</v>
      </c>
      <c r="AJ438" s="85">
        <v>44598.13601851852</v>
      </c>
      <c r="AK438" s="83" t="str">
        <f>HYPERLINK("https://yt3.ggpht.com/ytc/AOPolaSOhHCLlDGFUBOpqGP2-695NdF3Mgw0b_9jp2_f6TzlJUZYvjLWEqsT1_pZCL7b=s88-c-k-c0x00ffffff-no-rj")</f>
        <v>https://yt3.ggpht.com/ytc/AOPolaSOhHCLlDGFUBOpqGP2-695NdF3Mgw0b_9jp2_f6TzlJUZYvjLWEqsT1_pZCL7b=s88-c-k-c0x00ffffff-no-rj</v>
      </c>
      <c r="AL438" s="81">
        <v>1</v>
      </c>
      <c r="AM438" s="81">
        <v>0</v>
      </c>
      <c r="AN438" s="81">
        <v>1</v>
      </c>
      <c r="AO438" s="81" t="b">
        <v>0</v>
      </c>
      <c r="AP438" s="81">
        <v>0</v>
      </c>
      <c r="AQ438" s="81"/>
      <c r="AR438" s="81"/>
      <c r="AS438" s="81" t="s">
        <v>2571</v>
      </c>
      <c r="AT438" s="83" t="str">
        <f>HYPERLINK("https://www.youtube.com/channel/UCQuMHlEhwyQy55RLe_ZX2ww")</f>
        <v>https://www.youtube.com/channel/UCQuMHlEhwyQy55RLe_ZX2ww</v>
      </c>
      <c r="AU438" s="81">
        <v>5</v>
      </c>
      <c r="AV438" s="49">
        <v>1</v>
      </c>
      <c r="AW438" s="50">
        <v>7.6923076923076925</v>
      </c>
      <c r="AX438" s="49">
        <v>0</v>
      </c>
      <c r="AY438" s="50">
        <v>0</v>
      </c>
      <c r="AZ438" s="49">
        <v>0</v>
      </c>
      <c r="BA438" s="50">
        <v>0</v>
      </c>
      <c r="BB438" s="49">
        <v>4</v>
      </c>
      <c r="BC438" s="50">
        <v>30.76923076923077</v>
      </c>
      <c r="BD438" s="49">
        <v>13</v>
      </c>
      <c r="BE438" s="49"/>
      <c r="BF438" s="49"/>
      <c r="BG438" s="49"/>
      <c r="BH438" s="49"/>
      <c r="BI438" s="49"/>
      <c r="BJ438" s="49"/>
      <c r="BK438" s="115" t="s">
        <v>2964</v>
      </c>
      <c r="BL438" s="115" t="s">
        <v>2964</v>
      </c>
      <c r="BM438" s="115" t="s">
        <v>3408</v>
      </c>
      <c r="BN438" s="115" t="s">
        <v>3408</v>
      </c>
      <c r="BO438" s="2"/>
      <c r="BP438" s="3"/>
      <c r="BQ438" s="3"/>
      <c r="BR438" s="3"/>
      <c r="BS438" s="3"/>
    </row>
    <row r="439" spans="1:71" ht="15">
      <c r="A439" s="66" t="s">
        <v>656</v>
      </c>
      <c r="B439" s="67"/>
      <c r="C439" s="67"/>
      <c r="D439" s="68">
        <v>150</v>
      </c>
      <c r="E439" s="70"/>
      <c r="F439" s="102" t="str">
        <f>HYPERLINK("https://yt3.ggpht.com/ytc/AOPolaSmP4pcBmZY6pRSgTJnpCNExsLWrYaQ80vU=s88-c-k-c0x00ffffff-no-rj")</f>
        <v>https://yt3.ggpht.com/ytc/AOPolaSmP4pcBmZY6pRSgTJnpCNExsLWrYaQ80vU=s88-c-k-c0x00ffffff-no-rj</v>
      </c>
      <c r="G439" s="67"/>
      <c r="H439" s="71" t="s">
        <v>1727</v>
      </c>
      <c r="I439" s="72"/>
      <c r="J439" s="72" t="s">
        <v>159</v>
      </c>
      <c r="K439" s="71" t="s">
        <v>1727</v>
      </c>
      <c r="L439" s="75">
        <v>1</v>
      </c>
      <c r="M439" s="76">
        <v>6328.8095703125</v>
      </c>
      <c r="N439" s="76">
        <v>2467.3203125</v>
      </c>
      <c r="O439" s="77"/>
      <c r="P439" s="78"/>
      <c r="Q439" s="78"/>
      <c r="R439" s="88"/>
      <c r="S439" s="49">
        <v>0</v>
      </c>
      <c r="T439" s="49">
        <v>1</v>
      </c>
      <c r="U439" s="50">
        <v>0</v>
      </c>
      <c r="V439" s="50">
        <v>0.021374</v>
      </c>
      <c r="W439" s="50">
        <v>0</v>
      </c>
      <c r="X439" s="50">
        <v>0.001587</v>
      </c>
      <c r="Y439" s="50">
        <v>0</v>
      </c>
      <c r="Z439" s="50">
        <v>0</v>
      </c>
      <c r="AA439" s="73">
        <v>439</v>
      </c>
      <c r="AB439" s="73"/>
      <c r="AC439" s="74"/>
      <c r="AD439" s="81" t="s">
        <v>1727</v>
      </c>
      <c r="AE439" s="81"/>
      <c r="AF439" s="81"/>
      <c r="AG439" s="81"/>
      <c r="AH439" s="81"/>
      <c r="AI439" s="81" t="s">
        <v>2455</v>
      </c>
      <c r="AJ439" s="85">
        <v>40997.993368055555</v>
      </c>
      <c r="AK439" s="83" t="str">
        <f>HYPERLINK("https://yt3.ggpht.com/ytc/AOPolaSmP4pcBmZY6pRSgTJnpCNExsLWrYaQ80vU=s88-c-k-c0x00ffffff-no-rj")</f>
        <v>https://yt3.ggpht.com/ytc/AOPolaSmP4pcBmZY6pRSgTJnpCNExsLWrYaQ80vU=s88-c-k-c0x00ffffff-no-rj</v>
      </c>
      <c r="AL439" s="81">
        <v>0</v>
      </c>
      <c r="AM439" s="81">
        <v>0</v>
      </c>
      <c r="AN439" s="81">
        <v>4</v>
      </c>
      <c r="AO439" s="81" t="b">
        <v>0</v>
      </c>
      <c r="AP439" s="81">
        <v>0</v>
      </c>
      <c r="AQ439" s="81"/>
      <c r="AR439" s="81"/>
      <c r="AS439" s="81" t="s">
        <v>2571</v>
      </c>
      <c r="AT439" s="83" t="str">
        <f>HYPERLINK("https://www.youtube.com/channel/UCJXrvYl_yi07f2WQ4bBi61A")</f>
        <v>https://www.youtube.com/channel/UCJXrvYl_yi07f2WQ4bBi61A</v>
      </c>
      <c r="AU439" s="81">
        <v>5</v>
      </c>
      <c r="AV439" s="49">
        <v>0</v>
      </c>
      <c r="AW439" s="50">
        <v>0</v>
      </c>
      <c r="AX439" s="49">
        <v>1</v>
      </c>
      <c r="AY439" s="50">
        <v>4.761904761904762</v>
      </c>
      <c r="AZ439" s="49">
        <v>0</v>
      </c>
      <c r="BA439" s="50">
        <v>0</v>
      </c>
      <c r="BB439" s="49">
        <v>8</v>
      </c>
      <c r="BC439" s="50">
        <v>38.095238095238095</v>
      </c>
      <c r="BD439" s="49">
        <v>21</v>
      </c>
      <c r="BE439" s="49"/>
      <c r="BF439" s="49"/>
      <c r="BG439" s="49"/>
      <c r="BH439" s="49"/>
      <c r="BI439" s="49"/>
      <c r="BJ439" s="49"/>
      <c r="BK439" s="115" t="s">
        <v>4567</v>
      </c>
      <c r="BL439" s="115" t="s">
        <v>4567</v>
      </c>
      <c r="BM439" s="115" t="s">
        <v>4590</v>
      </c>
      <c r="BN439" s="115" t="s">
        <v>4590</v>
      </c>
      <c r="BO439" s="2"/>
      <c r="BP439" s="3"/>
      <c r="BQ439" s="3"/>
      <c r="BR439" s="3"/>
      <c r="BS439" s="3"/>
    </row>
    <row r="440" spans="1:71" ht="15">
      <c r="A440" s="66" t="s">
        <v>657</v>
      </c>
      <c r="B440" s="67"/>
      <c r="C440" s="67"/>
      <c r="D440" s="68">
        <v>150</v>
      </c>
      <c r="E440" s="70"/>
      <c r="F440" s="102" t="str">
        <f>HYPERLINK("https://yt3.ggpht.com/ytc/AOPolaS04vM23hDQIy8TXJZfG0S_xp5QX287dZ1JIYJx=s88-c-k-c0x00ffffff-no-rj")</f>
        <v>https://yt3.ggpht.com/ytc/AOPolaS04vM23hDQIy8TXJZfG0S_xp5QX287dZ1JIYJx=s88-c-k-c0x00ffffff-no-rj</v>
      </c>
      <c r="G440" s="67"/>
      <c r="H440" s="71" t="s">
        <v>1728</v>
      </c>
      <c r="I440" s="72"/>
      <c r="J440" s="72" t="s">
        <v>159</v>
      </c>
      <c r="K440" s="71" t="s">
        <v>1728</v>
      </c>
      <c r="L440" s="75">
        <v>1</v>
      </c>
      <c r="M440" s="76">
        <v>6562.17578125</v>
      </c>
      <c r="N440" s="76">
        <v>1735.846923828125</v>
      </c>
      <c r="O440" s="77"/>
      <c r="P440" s="78"/>
      <c r="Q440" s="78"/>
      <c r="R440" s="88"/>
      <c r="S440" s="49">
        <v>0</v>
      </c>
      <c r="T440" s="49">
        <v>1</v>
      </c>
      <c r="U440" s="50">
        <v>0</v>
      </c>
      <c r="V440" s="50">
        <v>0.021374</v>
      </c>
      <c r="W440" s="50">
        <v>0</v>
      </c>
      <c r="X440" s="50">
        <v>0.001587</v>
      </c>
      <c r="Y440" s="50">
        <v>0</v>
      </c>
      <c r="Z440" s="50">
        <v>0</v>
      </c>
      <c r="AA440" s="73">
        <v>440</v>
      </c>
      <c r="AB440" s="73"/>
      <c r="AC440" s="74"/>
      <c r="AD440" s="81" t="s">
        <v>1728</v>
      </c>
      <c r="AE440" s="81"/>
      <c r="AF440" s="81"/>
      <c r="AG440" s="81"/>
      <c r="AH440" s="81"/>
      <c r="AI440" s="81" t="s">
        <v>2456</v>
      </c>
      <c r="AJ440" s="85">
        <v>41696.73578703704</v>
      </c>
      <c r="AK440" s="83" t="str">
        <f>HYPERLINK("https://yt3.ggpht.com/ytc/AOPolaS04vM23hDQIy8TXJZfG0S_xp5QX287dZ1JIYJx=s88-c-k-c0x00ffffff-no-rj")</f>
        <v>https://yt3.ggpht.com/ytc/AOPolaS04vM23hDQIy8TXJZfG0S_xp5QX287dZ1JIYJx=s88-c-k-c0x00ffffff-no-rj</v>
      </c>
      <c r="AL440" s="81">
        <v>0</v>
      </c>
      <c r="AM440" s="81">
        <v>0</v>
      </c>
      <c r="AN440" s="81">
        <v>0</v>
      </c>
      <c r="AO440" s="81" t="b">
        <v>0</v>
      </c>
      <c r="AP440" s="81">
        <v>0</v>
      </c>
      <c r="AQ440" s="81"/>
      <c r="AR440" s="81"/>
      <c r="AS440" s="81" t="s">
        <v>2571</v>
      </c>
      <c r="AT440" s="83" t="str">
        <f>HYPERLINK("https://www.youtube.com/channel/UC4xnqWp5r7wANtgDOImNqFg")</f>
        <v>https://www.youtube.com/channel/UC4xnqWp5r7wANtgDOImNqFg</v>
      </c>
      <c r="AU440" s="81">
        <v>5</v>
      </c>
      <c r="AV440" s="49">
        <v>0</v>
      </c>
      <c r="AW440" s="50">
        <v>0</v>
      </c>
      <c r="AX440" s="49">
        <v>6</v>
      </c>
      <c r="AY440" s="50">
        <v>26.08695652173913</v>
      </c>
      <c r="AZ440" s="49">
        <v>0</v>
      </c>
      <c r="BA440" s="50">
        <v>0</v>
      </c>
      <c r="BB440" s="49">
        <v>13</v>
      </c>
      <c r="BC440" s="50">
        <v>56.52173913043478</v>
      </c>
      <c r="BD440" s="49">
        <v>23</v>
      </c>
      <c r="BE440" s="49"/>
      <c r="BF440" s="49"/>
      <c r="BG440" s="49"/>
      <c r="BH440" s="49"/>
      <c r="BI440" s="49"/>
      <c r="BJ440" s="49"/>
      <c r="BK440" s="115" t="s">
        <v>2965</v>
      </c>
      <c r="BL440" s="115" t="s">
        <v>2965</v>
      </c>
      <c r="BM440" s="115" t="s">
        <v>3409</v>
      </c>
      <c r="BN440" s="115" t="s">
        <v>3409</v>
      </c>
      <c r="BO440" s="2"/>
      <c r="BP440" s="3"/>
      <c r="BQ440" s="3"/>
      <c r="BR440" s="3"/>
      <c r="BS440" s="3"/>
    </row>
    <row r="441" spans="1:71" ht="15">
      <c r="A441" s="66" t="s">
        <v>658</v>
      </c>
      <c r="B441" s="67"/>
      <c r="C441" s="67"/>
      <c r="D441" s="68">
        <v>150</v>
      </c>
      <c r="E441" s="70"/>
      <c r="F441" s="102" t="str">
        <f>HYPERLINK("https://yt3.ggpht.com/ytc/AOPolaSkz2zQbFhWWx6VYJAZTHyCNK2Bgx184FwgWa97qQ=s88-c-k-c0x00ffffff-no-rj")</f>
        <v>https://yt3.ggpht.com/ytc/AOPolaSkz2zQbFhWWx6VYJAZTHyCNK2Bgx184FwgWa97qQ=s88-c-k-c0x00ffffff-no-rj</v>
      </c>
      <c r="G441" s="67"/>
      <c r="H441" s="71" t="s">
        <v>1729</v>
      </c>
      <c r="I441" s="72"/>
      <c r="J441" s="72" t="s">
        <v>159</v>
      </c>
      <c r="K441" s="71" t="s">
        <v>1729</v>
      </c>
      <c r="L441" s="75">
        <v>1</v>
      </c>
      <c r="M441" s="76">
        <v>8828.5595703125</v>
      </c>
      <c r="N441" s="76">
        <v>531.5560302734375</v>
      </c>
      <c r="O441" s="77"/>
      <c r="P441" s="78"/>
      <c r="Q441" s="78"/>
      <c r="R441" s="88"/>
      <c r="S441" s="49">
        <v>0</v>
      </c>
      <c r="T441" s="49">
        <v>1</v>
      </c>
      <c r="U441" s="50">
        <v>0</v>
      </c>
      <c r="V441" s="50">
        <v>0.003273</v>
      </c>
      <c r="W441" s="50">
        <v>0</v>
      </c>
      <c r="X441" s="50">
        <v>0.001631</v>
      </c>
      <c r="Y441" s="50">
        <v>0</v>
      </c>
      <c r="Z441" s="50">
        <v>0</v>
      </c>
      <c r="AA441" s="73">
        <v>441</v>
      </c>
      <c r="AB441" s="73"/>
      <c r="AC441" s="74"/>
      <c r="AD441" s="81" t="s">
        <v>1729</v>
      </c>
      <c r="AE441" s="81"/>
      <c r="AF441" s="81"/>
      <c r="AG441" s="81"/>
      <c r="AH441" s="81"/>
      <c r="AI441" s="81" t="s">
        <v>2457</v>
      </c>
      <c r="AJ441" s="85">
        <v>41255.24438657407</v>
      </c>
      <c r="AK441" s="83" t="str">
        <f>HYPERLINK("https://yt3.ggpht.com/ytc/AOPolaSkz2zQbFhWWx6VYJAZTHyCNK2Bgx184FwgWa97qQ=s88-c-k-c0x00ffffff-no-rj")</f>
        <v>https://yt3.ggpht.com/ytc/AOPolaSkz2zQbFhWWx6VYJAZTHyCNK2Bgx184FwgWa97qQ=s88-c-k-c0x00ffffff-no-rj</v>
      </c>
      <c r="AL441" s="81">
        <v>0</v>
      </c>
      <c r="AM441" s="81">
        <v>0</v>
      </c>
      <c r="AN441" s="81">
        <v>1</v>
      </c>
      <c r="AO441" s="81" t="b">
        <v>0</v>
      </c>
      <c r="AP441" s="81">
        <v>0</v>
      </c>
      <c r="AQ441" s="81"/>
      <c r="AR441" s="81"/>
      <c r="AS441" s="81" t="s">
        <v>2571</v>
      </c>
      <c r="AT441" s="83" t="str">
        <f>HYPERLINK("https://www.youtube.com/channel/UCighPl8K04wQmKEb0gHzF_A")</f>
        <v>https://www.youtube.com/channel/UCighPl8K04wQmKEb0gHzF_A</v>
      </c>
      <c r="AU441" s="81">
        <v>9</v>
      </c>
      <c r="AV441" s="49">
        <v>0</v>
      </c>
      <c r="AW441" s="50">
        <v>0</v>
      </c>
      <c r="AX441" s="49">
        <v>0</v>
      </c>
      <c r="AY441" s="50">
        <v>0</v>
      </c>
      <c r="AZ441" s="49">
        <v>0</v>
      </c>
      <c r="BA441" s="50">
        <v>0</v>
      </c>
      <c r="BB441" s="49">
        <v>2</v>
      </c>
      <c r="BC441" s="50">
        <v>28.571428571428573</v>
      </c>
      <c r="BD441" s="49">
        <v>7</v>
      </c>
      <c r="BE441" s="49"/>
      <c r="BF441" s="49"/>
      <c r="BG441" s="49"/>
      <c r="BH441" s="49"/>
      <c r="BI441" s="49"/>
      <c r="BJ441" s="49"/>
      <c r="BK441" s="115" t="s">
        <v>2966</v>
      </c>
      <c r="BL441" s="115" t="s">
        <v>2966</v>
      </c>
      <c r="BM441" s="115" t="s">
        <v>3410</v>
      </c>
      <c r="BN441" s="115" t="s">
        <v>3410</v>
      </c>
      <c r="BO441" s="2"/>
      <c r="BP441" s="3"/>
      <c r="BQ441" s="3"/>
      <c r="BR441" s="3"/>
      <c r="BS441" s="3"/>
    </row>
    <row r="442" spans="1:71" ht="15">
      <c r="A442" s="66" t="s">
        <v>660</v>
      </c>
      <c r="B442" s="67"/>
      <c r="C442" s="67"/>
      <c r="D442" s="68">
        <v>160.07905138339922</v>
      </c>
      <c r="E442" s="70"/>
      <c r="F442" s="102" t="str">
        <f>HYPERLINK("https://yt3.ggpht.com/cqcqqFKIfV4vm37X2mPDCDvzEVry0l9n03ptLam1gjyZump8o45vtWk7gVnaqy_rQAT2_zaGPQ=s88-c-k-c0x00ffffff-no-rj")</f>
        <v>https://yt3.ggpht.com/cqcqqFKIfV4vm37X2mPDCDvzEVry0l9n03ptLam1gjyZump8o45vtWk7gVnaqy_rQAT2_zaGPQ=s88-c-k-c0x00ffffff-no-rj</v>
      </c>
      <c r="G442" s="67"/>
      <c r="H442" s="71" t="s">
        <v>1897</v>
      </c>
      <c r="I442" s="72"/>
      <c r="J442" s="72" t="s">
        <v>75</v>
      </c>
      <c r="K442" s="71" t="s">
        <v>1897</v>
      </c>
      <c r="L442" s="75">
        <v>2.585725614591594</v>
      </c>
      <c r="M442" s="76">
        <v>8828.5595703125</v>
      </c>
      <c r="N442" s="76">
        <v>272.9612121582031</v>
      </c>
      <c r="O442" s="77"/>
      <c r="P442" s="78"/>
      <c r="Q442" s="78"/>
      <c r="R442" s="88"/>
      <c r="S442" s="49">
        <v>4</v>
      </c>
      <c r="T442" s="49">
        <v>1</v>
      </c>
      <c r="U442" s="50">
        <v>6</v>
      </c>
      <c r="V442" s="50">
        <v>0.005455</v>
      </c>
      <c r="W442" s="50">
        <v>0</v>
      </c>
      <c r="X442" s="50">
        <v>0.002365</v>
      </c>
      <c r="Y442" s="50">
        <v>0</v>
      </c>
      <c r="Z442" s="50">
        <v>0</v>
      </c>
      <c r="AA442" s="73">
        <v>442</v>
      </c>
      <c r="AB442" s="73"/>
      <c r="AC442" s="74"/>
      <c r="AD442" s="81" t="s">
        <v>1897</v>
      </c>
      <c r="AE442" s="81"/>
      <c r="AF442" s="81"/>
      <c r="AG442" s="81"/>
      <c r="AH442" s="81"/>
      <c r="AI442" s="81" t="s">
        <v>2458</v>
      </c>
      <c r="AJ442" s="85">
        <v>42990.054143518515</v>
      </c>
      <c r="AK442" s="83" t="str">
        <f>HYPERLINK("https://yt3.ggpht.com/cqcqqFKIfV4vm37X2mPDCDvzEVry0l9n03ptLam1gjyZump8o45vtWk7gVnaqy_rQAT2_zaGPQ=s88-c-k-c0x00ffffff-no-rj")</f>
        <v>https://yt3.ggpht.com/cqcqqFKIfV4vm37X2mPDCDvzEVry0l9n03ptLam1gjyZump8o45vtWk7gVnaqy_rQAT2_zaGPQ=s88-c-k-c0x00ffffff-no-rj</v>
      </c>
      <c r="AL442" s="81">
        <v>755432</v>
      </c>
      <c r="AM442" s="81">
        <v>0</v>
      </c>
      <c r="AN442" s="81">
        <v>4700</v>
      </c>
      <c r="AO442" s="81" t="b">
        <v>0</v>
      </c>
      <c r="AP442" s="81">
        <v>3002</v>
      </c>
      <c r="AQ442" s="81"/>
      <c r="AR442" s="81"/>
      <c r="AS442" s="81" t="s">
        <v>2571</v>
      </c>
      <c r="AT442" s="83" t="str">
        <f>HYPERLINK("https://www.youtube.com/channel/UCewUFNurytMD6cFODfVOxnA")</f>
        <v>https://www.youtube.com/channel/UCewUFNurytMD6cFODfVOxnA</v>
      </c>
      <c r="AU442" s="81">
        <v>9</v>
      </c>
      <c r="AV442" s="49"/>
      <c r="AW442" s="50"/>
      <c r="AX442" s="49"/>
      <c r="AY442" s="50"/>
      <c r="AZ442" s="49"/>
      <c r="BA442" s="50"/>
      <c r="BB442" s="49"/>
      <c r="BC442" s="50"/>
      <c r="BD442" s="49"/>
      <c r="BE442" s="49"/>
      <c r="BF442" s="49"/>
      <c r="BG442" s="49"/>
      <c r="BH442" s="49"/>
      <c r="BI442" s="49"/>
      <c r="BJ442" s="49"/>
      <c r="BK442" s="115" t="s">
        <v>4477</v>
      </c>
      <c r="BL442" s="115" t="s">
        <v>4477</v>
      </c>
      <c r="BM442" s="115" t="s">
        <v>4477</v>
      </c>
      <c r="BN442" s="115" t="s">
        <v>4477</v>
      </c>
      <c r="BO442" s="2"/>
      <c r="BP442" s="3"/>
      <c r="BQ442" s="3"/>
      <c r="BR442" s="3"/>
      <c r="BS442" s="3"/>
    </row>
    <row r="443" spans="1:71" ht="15">
      <c r="A443" s="66" t="s">
        <v>659</v>
      </c>
      <c r="B443" s="67"/>
      <c r="C443" s="67"/>
      <c r="D443" s="68">
        <v>150</v>
      </c>
      <c r="E443" s="70"/>
      <c r="F443" s="102" t="str">
        <f>HYPERLINK("https://yt3.ggpht.com/ytc/AOPolaTY0RgLw8yKFbC_ODaRbS-TKnG2QXxqITJTLoPD0Q=s88-c-k-c0x00ffffff-no-rj")</f>
        <v>https://yt3.ggpht.com/ytc/AOPolaTY0RgLw8yKFbC_ODaRbS-TKnG2QXxqITJTLoPD0Q=s88-c-k-c0x00ffffff-no-rj</v>
      </c>
      <c r="G443" s="67"/>
      <c r="H443" s="71" t="s">
        <v>1730</v>
      </c>
      <c r="I443" s="72"/>
      <c r="J443" s="72" t="s">
        <v>159</v>
      </c>
      <c r="K443" s="71" t="s">
        <v>1730</v>
      </c>
      <c r="L443" s="75">
        <v>1</v>
      </c>
      <c r="M443" s="76">
        <v>8355.1953125</v>
      </c>
      <c r="N443" s="76">
        <v>531.5560302734375</v>
      </c>
      <c r="O443" s="77"/>
      <c r="P443" s="78"/>
      <c r="Q443" s="78"/>
      <c r="R443" s="88"/>
      <c r="S443" s="49">
        <v>0</v>
      </c>
      <c r="T443" s="49">
        <v>1</v>
      </c>
      <c r="U443" s="50">
        <v>0</v>
      </c>
      <c r="V443" s="50">
        <v>0.003273</v>
      </c>
      <c r="W443" s="50">
        <v>0</v>
      </c>
      <c r="X443" s="50">
        <v>0.001631</v>
      </c>
      <c r="Y443" s="50">
        <v>0</v>
      </c>
      <c r="Z443" s="50">
        <v>0</v>
      </c>
      <c r="AA443" s="73">
        <v>443</v>
      </c>
      <c r="AB443" s="73"/>
      <c r="AC443" s="74"/>
      <c r="AD443" s="81" t="s">
        <v>1730</v>
      </c>
      <c r="AE443" s="81"/>
      <c r="AF443" s="81"/>
      <c r="AG443" s="81"/>
      <c r="AH443" s="81"/>
      <c r="AI443" s="81" t="s">
        <v>2459</v>
      </c>
      <c r="AJ443" s="85">
        <v>41686.4227662037</v>
      </c>
      <c r="AK443" s="83" t="str">
        <f>HYPERLINK("https://yt3.ggpht.com/ytc/AOPolaTY0RgLw8yKFbC_ODaRbS-TKnG2QXxqITJTLoPD0Q=s88-c-k-c0x00ffffff-no-rj")</f>
        <v>https://yt3.ggpht.com/ytc/AOPolaTY0RgLw8yKFbC_ODaRbS-TKnG2QXxqITJTLoPD0Q=s88-c-k-c0x00ffffff-no-rj</v>
      </c>
      <c r="AL443" s="81">
        <v>0</v>
      </c>
      <c r="AM443" s="81">
        <v>0</v>
      </c>
      <c r="AN443" s="81">
        <v>6</v>
      </c>
      <c r="AO443" s="81" t="b">
        <v>0</v>
      </c>
      <c r="AP443" s="81">
        <v>0</v>
      </c>
      <c r="AQ443" s="81"/>
      <c r="AR443" s="81"/>
      <c r="AS443" s="81" t="s">
        <v>2571</v>
      </c>
      <c r="AT443" s="83" t="str">
        <f>HYPERLINK("https://www.youtube.com/channel/UCL4i-tUH7Ca38WGkmYLrQVg")</f>
        <v>https://www.youtube.com/channel/UCL4i-tUH7Ca38WGkmYLrQVg</v>
      </c>
      <c r="AU443" s="81">
        <v>9</v>
      </c>
      <c r="AV443" s="49">
        <v>0</v>
      </c>
      <c r="AW443" s="50">
        <v>0</v>
      </c>
      <c r="AX443" s="49">
        <v>0</v>
      </c>
      <c r="AY443" s="50">
        <v>0</v>
      </c>
      <c r="AZ443" s="49">
        <v>0</v>
      </c>
      <c r="BA443" s="50">
        <v>0</v>
      </c>
      <c r="BB443" s="49">
        <v>2</v>
      </c>
      <c r="BC443" s="50">
        <v>66.66666666666667</v>
      </c>
      <c r="BD443" s="49">
        <v>3</v>
      </c>
      <c r="BE443" s="49"/>
      <c r="BF443" s="49"/>
      <c r="BG443" s="49"/>
      <c r="BH443" s="49"/>
      <c r="BI443" s="49"/>
      <c r="BJ443" s="49"/>
      <c r="BK443" s="115" t="s">
        <v>2967</v>
      </c>
      <c r="BL443" s="115" t="s">
        <v>2967</v>
      </c>
      <c r="BM443" s="115" t="s">
        <v>3411</v>
      </c>
      <c r="BN443" s="115" t="s">
        <v>3411</v>
      </c>
      <c r="BO443" s="2"/>
      <c r="BP443" s="3"/>
      <c r="BQ443" s="3"/>
      <c r="BR443" s="3"/>
      <c r="BS443" s="3"/>
    </row>
    <row r="444" spans="1:71" ht="15">
      <c r="A444" s="66" t="s">
        <v>661</v>
      </c>
      <c r="B444" s="67"/>
      <c r="C444" s="67"/>
      <c r="D444" s="68">
        <v>150</v>
      </c>
      <c r="E444" s="70"/>
      <c r="F444" s="102" t="str">
        <f>HYPERLINK("https://yt3.ggpht.com/ytc/AOPolaT-FNM8VIwc_mmaPe7tNQFDpspdVGfqxnhCZQ=s88-c-k-c0x00ffffff-no-rj")</f>
        <v>https://yt3.ggpht.com/ytc/AOPolaT-FNM8VIwc_mmaPe7tNQFDpspdVGfqxnhCZQ=s88-c-k-c0x00ffffff-no-rj</v>
      </c>
      <c r="G444" s="67"/>
      <c r="H444" s="71" t="s">
        <v>1731</v>
      </c>
      <c r="I444" s="72"/>
      <c r="J444" s="72" t="s">
        <v>159</v>
      </c>
      <c r="K444" s="71" t="s">
        <v>1731</v>
      </c>
      <c r="L444" s="75">
        <v>1</v>
      </c>
      <c r="M444" s="76">
        <v>8355.1953125</v>
      </c>
      <c r="N444" s="76">
        <v>272.9612121582031</v>
      </c>
      <c r="O444" s="77"/>
      <c r="P444" s="78"/>
      <c r="Q444" s="78"/>
      <c r="R444" s="88"/>
      <c r="S444" s="49">
        <v>0</v>
      </c>
      <c r="T444" s="49">
        <v>1</v>
      </c>
      <c r="U444" s="50">
        <v>0</v>
      </c>
      <c r="V444" s="50">
        <v>0.003273</v>
      </c>
      <c r="W444" s="50">
        <v>0</v>
      </c>
      <c r="X444" s="50">
        <v>0.001631</v>
      </c>
      <c r="Y444" s="50">
        <v>0</v>
      </c>
      <c r="Z444" s="50">
        <v>0</v>
      </c>
      <c r="AA444" s="73">
        <v>444</v>
      </c>
      <c r="AB444" s="73"/>
      <c r="AC444" s="74"/>
      <c r="AD444" s="81" t="s">
        <v>1731</v>
      </c>
      <c r="AE444" s="81"/>
      <c r="AF444" s="81"/>
      <c r="AG444" s="81"/>
      <c r="AH444" s="81"/>
      <c r="AI444" s="81" t="s">
        <v>2460</v>
      </c>
      <c r="AJ444" s="85">
        <v>42795.75829861111</v>
      </c>
      <c r="AK444" s="83" t="str">
        <f>HYPERLINK("https://yt3.ggpht.com/ytc/AOPolaT-FNM8VIwc_mmaPe7tNQFDpspdVGfqxnhCZQ=s88-c-k-c0x00ffffff-no-rj")</f>
        <v>https://yt3.ggpht.com/ytc/AOPolaT-FNM8VIwc_mmaPe7tNQFDpspdVGfqxnhCZQ=s88-c-k-c0x00ffffff-no-rj</v>
      </c>
      <c r="AL444" s="81">
        <v>0</v>
      </c>
      <c r="AM444" s="81">
        <v>0</v>
      </c>
      <c r="AN444" s="81">
        <v>0</v>
      </c>
      <c r="AO444" s="81" t="b">
        <v>0</v>
      </c>
      <c r="AP444" s="81">
        <v>0</v>
      </c>
      <c r="AQ444" s="81"/>
      <c r="AR444" s="81"/>
      <c r="AS444" s="81" t="s">
        <v>2571</v>
      </c>
      <c r="AT444" s="83" t="str">
        <f>HYPERLINK("https://www.youtube.com/channel/UC2PnpVR_3pzZe9_P0ZB_WuA")</f>
        <v>https://www.youtube.com/channel/UC2PnpVR_3pzZe9_P0ZB_WuA</v>
      </c>
      <c r="AU444" s="81">
        <v>9</v>
      </c>
      <c r="AV444" s="49">
        <v>2</v>
      </c>
      <c r="AW444" s="50">
        <v>2.7027027027027026</v>
      </c>
      <c r="AX444" s="49">
        <v>1</v>
      </c>
      <c r="AY444" s="50">
        <v>1.3513513513513513</v>
      </c>
      <c r="AZ444" s="49">
        <v>0</v>
      </c>
      <c r="BA444" s="50">
        <v>0</v>
      </c>
      <c r="BB444" s="49">
        <v>18</v>
      </c>
      <c r="BC444" s="50">
        <v>24.324324324324323</v>
      </c>
      <c r="BD444" s="49">
        <v>74</v>
      </c>
      <c r="BE444" s="49"/>
      <c r="BF444" s="49"/>
      <c r="BG444" s="49"/>
      <c r="BH444" s="49"/>
      <c r="BI444" s="49"/>
      <c r="BJ444" s="49"/>
      <c r="BK444" s="115" t="s">
        <v>2968</v>
      </c>
      <c r="BL444" s="115" t="s">
        <v>2968</v>
      </c>
      <c r="BM444" s="115" t="s">
        <v>3412</v>
      </c>
      <c r="BN444" s="115" t="s">
        <v>3412</v>
      </c>
      <c r="BO444" s="2"/>
      <c r="BP444" s="3"/>
      <c r="BQ444" s="3"/>
      <c r="BR444" s="3"/>
      <c r="BS444" s="3"/>
    </row>
    <row r="445" spans="1:71" ht="15">
      <c r="A445" s="66" t="s">
        <v>662</v>
      </c>
      <c r="B445" s="67"/>
      <c r="C445" s="67"/>
      <c r="D445" s="68">
        <v>150</v>
      </c>
      <c r="E445" s="70"/>
      <c r="F445" s="102" t="str">
        <f>HYPERLINK("https://yt3.ggpht.com/zU8AGlJt1E_A7a_98dZYXukpLnDOx5naFiMVx_ZQc4jclqp7fhkN9k3dFCd0LTFZHIypiS5FNA=s88-c-k-c0x00ffffff-no-rj")</f>
        <v>https://yt3.ggpht.com/zU8AGlJt1E_A7a_98dZYXukpLnDOx5naFiMVx_ZQc4jclqp7fhkN9k3dFCd0LTFZHIypiS5FNA=s88-c-k-c0x00ffffff-no-rj</v>
      </c>
      <c r="G445" s="67"/>
      <c r="H445" s="71" t="s">
        <v>1732</v>
      </c>
      <c r="I445" s="72"/>
      <c r="J445" s="72" t="s">
        <v>159</v>
      </c>
      <c r="K445" s="71" t="s">
        <v>1732</v>
      </c>
      <c r="L445" s="75">
        <v>1</v>
      </c>
      <c r="M445" s="76">
        <v>7988.82470703125</v>
      </c>
      <c r="N445" s="76">
        <v>2385.381103515625</v>
      </c>
      <c r="O445" s="77"/>
      <c r="P445" s="78"/>
      <c r="Q445" s="78"/>
      <c r="R445" s="88"/>
      <c r="S445" s="49">
        <v>0</v>
      </c>
      <c r="T445" s="49">
        <v>1</v>
      </c>
      <c r="U445" s="50">
        <v>0</v>
      </c>
      <c r="V445" s="50">
        <v>0.021374</v>
      </c>
      <c r="W445" s="50">
        <v>0</v>
      </c>
      <c r="X445" s="50">
        <v>0.001587</v>
      </c>
      <c r="Y445" s="50">
        <v>0</v>
      </c>
      <c r="Z445" s="50">
        <v>0</v>
      </c>
      <c r="AA445" s="73">
        <v>445</v>
      </c>
      <c r="AB445" s="73"/>
      <c r="AC445" s="74"/>
      <c r="AD445" s="81" t="s">
        <v>1732</v>
      </c>
      <c r="AE445" s="81"/>
      <c r="AF445" s="81"/>
      <c r="AG445" s="81"/>
      <c r="AH445" s="81"/>
      <c r="AI445" s="81" t="s">
        <v>2461</v>
      </c>
      <c r="AJ445" s="85">
        <v>40874.81</v>
      </c>
      <c r="AK445" s="83" t="str">
        <f>HYPERLINK("https://yt3.ggpht.com/zU8AGlJt1E_A7a_98dZYXukpLnDOx5naFiMVx_ZQc4jclqp7fhkN9k3dFCd0LTFZHIypiS5FNA=s88-c-k-c0x00ffffff-no-rj")</f>
        <v>https://yt3.ggpht.com/zU8AGlJt1E_A7a_98dZYXukpLnDOx5naFiMVx_ZQc4jclqp7fhkN9k3dFCd0LTFZHIypiS5FNA=s88-c-k-c0x00ffffff-no-rj</v>
      </c>
      <c r="AL445" s="81">
        <v>0</v>
      </c>
      <c r="AM445" s="81">
        <v>0</v>
      </c>
      <c r="AN445" s="81">
        <v>1</v>
      </c>
      <c r="AO445" s="81" t="b">
        <v>0</v>
      </c>
      <c r="AP445" s="81">
        <v>0</v>
      </c>
      <c r="AQ445" s="81"/>
      <c r="AR445" s="81"/>
      <c r="AS445" s="81" t="s">
        <v>2571</v>
      </c>
      <c r="AT445" s="83" t="str">
        <f>HYPERLINK("https://www.youtube.com/channel/UCkHQo0-FAGmJeyDPa-USHLg")</f>
        <v>https://www.youtube.com/channel/UCkHQo0-FAGmJeyDPa-USHLg</v>
      </c>
      <c r="AU445" s="81">
        <v>5</v>
      </c>
      <c r="AV445" s="49">
        <v>0</v>
      </c>
      <c r="AW445" s="50">
        <v>0</v>
      </c>
      <c r="AX445" s="49">
        <v>1</v>
      </c>
      <c r="AY445" s="50">
        <v>5.555555555555555</v>
      </c>
      <c r="AZ445" s="49">
        <v>0</v>
      </c>
      <c r="BA445" s="50">
        <v>0</v>
      </c>
      <c r="BB445" s="49">
        <v>7</v>
      </c>
      <c r="BC445" s="50">
        <v>38.888888888888886</v>
      </c>
      <c r="BD445" s="49">
        <v>18</v>
      </c>
      <c r="BE445" s="49"/>
      <c r="BF445" s="49"/>
      <c r="BG445" s="49"/>
      <c r="BH445" s="49"/>
      <c r="BI445" s="49"/>
      <c r="BJ445" s="49"/>
      <c r="BK445" s="115" t="s">
        <v>2969</v>
      </c>
      <c r="BL445" s="115" t="s">
        <v>2969</v>
      </c>
      <c r="BM445" s="115" t="s">
        <v>3413</v>
      </c>
      <c r="BN445" s="115" t="s">
        <v>3413</v>
      </c>
      <c r="BO445" s="2"/>
      <c r="BP445" s="3"/>
      <c r="BQ445" s="3"/>
      <c r="BR445" s="3"/>
      <c r="BS445" s="3"/>
    </row>
    <row r="446" spans="1:71" ht="15">
      <c r="A446" s="66" t="s">
        <v>663</v>
      </c>
      <c r="B446" s="67"/>
      <c r="C446" s="67"/>
      <c r="D446" s="68">
        <v>150</v>
      </c>
      <c r="E446" s="70"/>
      <c r="F446" s="102" t="str">
        <f>HYPERLINK("https://yt3.ggpht.com/ytc/AOPolaRPdQ6DGp-s2ORHQM7ckjn94MMauuApiOVe=s88-c-k-c0x00ffffff-no-rj")</f>
        <v>https://yt3.ggpht.com/ytc/AOPolaRPdQ6DGp-s2ORHQM7ckjn94MMauuApiOVe=s88-c-k-c0x00ffffff-no-rj</v>
      </c>
      <c r="G446" s="67"/>
      <c r="H446" s="71" t="s">
        <v>1733</v>
      </c>
      <c r="I446" s="72"/>
      <c r="J446" s="72" t="s">
        <v>159</v>
      </c>
      <c r="K446" s="71" t="s">
        <v>1733</v>
      </c>
      <c r="L446" s="75">
        <v>1</v>
      </c>
      <c r="M446" s="76">
        <v>6746.21240234375</v>
      </c>
      <c r="N446" s="76">
        <v>3507.322509765625</v>
      </c>
      <c r="O446" s="77"/>
      <c r="P446" s="78"/>
      <c r="Q446" s="78"/>
      <c r="R446" s="88"/>
      <c r="S446" s="49">
        <v>0</v>
      </c>
      <c r="T446" s="49">
        <v>1</v>
      </c>
      <c r="U446" s="50">
        <v>0</v>
      </c>
      <c r="V446" s="50">
        <v>0.021374</v>
      </c>
      <c r="W446" s="50">
        <v>0</v>
      </c>
      <c r="X446" s="50">
        <v>0.001587</v>
      </c>
      <c r="Y446" s="50">
        <v>0</v>
      </c>
      <c r="Z446" s="50">
        <v>0</v>
      </c>
      <c r="AA446" s="73">
        <v>446</v>
      </c>
      <c r="AB446" s="73"/>
      <c r="AC446" s="74"/>
      <c r="AD446" s="81" t="s">
        <v>1733</v>
      </c>
      <c r="AE446" s="81" t="s">
        <v>1994</v>
      </c>
      <c r="AF446" s="81"/>
      <c r="AG446" s="81"/>
      <c r="AH446" s="81"/>
      <c r="AI446" s="81" t="s">
        <v>2462</v>
      </c>
      <c r="AJ446" s="85">
        <v>43939.64877314815</v>
      </c>
      <c r="AK446" s="83" t="str">
        <f>HYPERLINK("https://yt3.ggpht.com/ytc/AOPolaRPdQ6DGp-s2ORHQM7ckjn94MMauuApiOVe=s88-c-k-c0x00ffffff-no-rj")</f>
        <v>https://yt3.ggpht.com/ytc/AOPolaRPdQ6DGp-s2ORHQM7ckjn94MMauuApiOVe=s88-c-k-c0x00ffffff-no-rj</v>
      </c>
      <c r="AL446" s="81">
        <v>0</v>
      </c>
      <c r="AM446" s="81">
        <v>0</v>
      </c>
      <c r="AN446" s="81">
        <v>0</v>
      </c>
      <c r="AO446" s="81" t="b">
        <v>0</v>
      </c>
      <c r="AP446" s="81">
        <v>0</v>
      </c>
      <c r="AQ446" s="81"/>
      <c r="AR446" s="81"/>
      <c r="AS446" s="81" t="s">
        <v>2571</v>
      </c>
      <c r="AT446" s="83" t="str">
        <f>HYPERLINK("https://www.youtube.com/channel/UCXTGE9rvyG5ui7C1eQ59Ouw")</f>
        <v>https://www.youtube.com/channel/UCXTGE9rvyG5ui7C1eQ59Ouw</v>
      </c>
      <c r="AU446" s="81">
        <v>5</v>
      </c>
      <c r="AV446" s="49">
        <v>0</v>
      </c>
      <c r="AW446" s="50">
        <v>0</v>
      </c>
      <c r="AX446" s="49">
        <v>0</v>
      </c>
      <c r="AY446" s="50">
        <v>0</v>
      </c>
      <c r="AZ446" s="49">
        <v>0</v>
      </c>
      <c r="BA446" s="50">
        <v>0</v>
      </c>
      <c r="BB446" s="49">
        <v>7</v>
      </c>
      <c r="BC446" s="50">
        <v>30.434782608695652</v>
      </c>
      <c r="BD446" s="49">
        <v>23</v>
      </c>
      <c r="BE446" s="49"/>
      <c r="BF446" s="49"/>
      <c r="BG446" s="49"/>
      <c r="BH446" s="49"/>
      <c r="BI446" s="49"/>
      <c r="BJ446" s="49"/>
      <c r="BK446" s="115" t="s">
        <v>2970</v>
      </c>
      <c r="BL446" s="115" t="s">
        <v>2970</v>
      </c>
      <c r="BM446" s="115" t="s">
        <v>3414</v>
      </c>
      <c r="BN446" s="115" t="s">
        <v>3414</v>
      </c>
      <c r="BO446" s="2"/>
      <c r="BP446" s="3"/>
      <c r="BQ446" s="3"/>
      <c r="BR446" s="3"/>
      <c r="BS446" s="3"/>
    </row>
    <row r="447" spans="1:71" ht="15">
      <c r="A447" s="66" t="s">
        <v>664</v>
      </c>
      <c r="B447" s="67"/>
      <c r="C447" s="67"/>
      <c r="D447" s="68">
        <v>150</v>
      </c>
      <c r="E447" s="70"/>
      <c r="F447" s="102" t="str">
        <f>HYPERLINK("https://yt3.ggpht.com/ytc/AOPolaSgLZXE9SL5-5LFtMR4G330meWTQSyPOcCiyA=s88-c-k-c0x00ffffff-no-rj")</f>
        <v>https://yt3.ggpht.com/ytc/AOPolaSgLZXE9SL5-5LFtMR4G330meWTQSyPOcCiyA=s88-c-k-c0x00ffffff-no-rj</v>
      </c>
      <c r="G447" s="67"/>
      <c r="H447" s="71" t="s">
        <v>1734</v>
      </c>
      <c r="I447" s="72"/>
      <c r="J447" s="72" t="s">
        <v>159</v>
      </c>
      <c r="K447" s="71" t="s">
        <v>1734</v>
      </c>
      <c r="L447" s="75">
        <v>1</v>
      </c>
      <c r="M447" s="76">
        <v>7687.60009765625</v>
      </c>
      <c r="N447" s="76">
        <v>1697.78173828125</v>
      </c>
      <c r="O447" s="77"/>
      <c r="P447" s="78"/>
      <c r="Q447" s="78"/>
      <c r="R447" s="88"/>
      <c r="S447" s="49">
        <v>0</v>
      </c>
      <c r="T447" s="49">
        <v>1</v>
      </c>
      <c r="U447" s="50">
        <v>0</v>
      </c>
      <c r="V447" s="50">
        <v>0.021374</v>
      </c>
      <c r="W447" s="50">
        <v>0</v>
      </c>
      <c r="X447" s="50">
        <v>0.001587</v>
      </c>
      <c r="Y447" s="50">
        <v>0</v>
      </c>
      <c r="Z447" s="50">
        <v>0</v>
      </c>
      <c r="AA447" s="73">
        <v>447</v>
      </c>
      <c r="AB447" s="73"/>
      <c r="AC447" s="74"/>
      <c r="AD447" s="81" t="s">
        <v>1734</v>
      </c>
      <c r="AE447" s="81"/>
      <c r="AF447" s="81"/>
      <c r="AG447" s="81"/>
      <c r="AH447" s="81"/>
      <c r="AI447" s="81" t="s">
        <v>2463</v>
      </c>
      <c r="AJ447" s="85">
        <v>43758.60115740741</v>
      </c>
      <c r="AK447" s="83" t="str">
        <f>HYPERLINK("https://yt3.ggpht.com/ytc/AOPolaSgLZXE9SL5-5LFtMR4G330meWTQSyPOcCiyA=s88-c-k-c0x00ffffff-no-rj")</f>
        <v>https://yt3.ggpht.com/ytc/AOPolaSgLZXE9SL5-5LFtMR4G330meWTQSyPOcCiyA=s88-c-k-c0x00ffffff-no-rj</v>
      </c>
      <c r="AL447" s="81">
        <v>0</v>
      </c>
      <c r="AM447" s="81">
        <v>0</v>
      </c>
      <c r="AN447" s="81">
        <v>4</v>
      </c>
      <c r="AO447" s="81" t="b">
        <v>0</v>
      </c>
      <c r="AP447" s="81">
        <v>0</v>
      </c>
      <c r="AQ447" s="81"/>
      <c r="AR447" s="81"/>
      <c r="AS447" s="81" t="s">
        <v>2571</v>
      </c>
      <c r="AT447" s="83" t="str">
        <f>HYPERLINK("https://www.youtube.com/channel/UCNRvBUJ3tvLXgcFg9-wpVag")</f>
        <v>https://www.youtube.com/channel/UCNRvBUJ3tvLXgcFg9-wpVag</v>
      </c>
      <c r="AU447" s="81">
        <v>5</v>
      </c>
      <c r="AV447" s="49">
        <v>5</v>
      </c>
      <c r="AW447" s="50">
        <v>3.2051282051282053</v>
      </c>
      <c r="AX447" s="49">
        <v>9</v>
      </c>
      <c r="AY447" s="50">
        <v>5.769230769230769</v>
      </c>
      <c r="AZ447" s="49">
        <v>0</v>
      </c>
      <c r="BA447" s="50">
        <v>0</v>
      </c>
      <c r="BB447" s="49">
        <v>58</v>
      </c>
      <c r="BC447" s="50">
        <v>37.17948717948718</v>
      </c>
      <c r="BD447" s="49">
        <v>156</v>
      </c>
      <c r="BE447" s="49"/>
      <c r="BF447" s="49"/>
      <c r="BG447" s="49"/>
      <c r="BH447" s="49"/>
      <c r="BI447" s="49"/>
      <c r="BJ447" s="49"/>
      <c r="BK447" s="115" t="s">
        <v>2971</v>
      </c>
      <c r="BL447" s="115" t="s">
        <v>2971</v>
      </c>
      <c r="BM447" s="115" t="s">
        <v>3415</v>
      </c>
      <c r="BN447" s="115" t="s">
        <v>3415</v>
      </c>
      <c r="BO447" s="2"/>
      <c r="BP447" s="3"/>
      <c r="BQ447" s="3"/>
      <c r="BR447" s="3"/>
      <c r="BS447" s="3"/>
    </row>
    <row r="448" spans="1:71" ht="15">
      <c r="A448" s="66" t="s">
        <v>665</v>
      </c>
      <c r="B448" s="67"/>
      <c r="C448" s="67"/>
      <c r="D448" s="68">
        <v>150</v>
      </c>
      <c r="E448" s="70"/>
      <c r="F448" s="102" t="str">
        <f>HYPERLINK("https://yt3.ggpht.com/ytc/AOPolaSVnDlA6dphUpSeIkXXWn7y6fIz_H0krGni9LuUafQ=s88-c-k-c0x00ffffff-no-rj")</f>
        <v>https://yt3.ggpht.com/ytc/AOPolaSVnDlA6dphUpSeIkXXWn7y6fIz_H0krGni9LuUafQ=s88-c-k-c0x00ffffff-no-rj</v>
      </c>
      <c r="G448" s="67"/>
      <c r="H448" s="71" t="s">
        <v>1735</v>
      </c>
      <c r="I448" s="72"/>
      <c r="J448" s="72" t="s">
        <v>159</v>
      </c>
      <c r="K448" s="71" t="s">
        <v>1735</v>
      </c>
      <c r="L448" s="75">
        <v>1</v>
      </c>
      <c r="M448" s="76">
        <v>6518.98046875</v>
      </c>
      <c r="N448" s="76">
        <v>3243.302978515625</v>
      </c>
      <c r="O448" s="77"/>
      <c r="P448" s="78"/>
      <c r="Q448" s="78"/>
      <c r="R448" s="88"/>
      <c r="S448" s="49">
        <v>0</v>
      </c>
      <c r="T448" s="49">
        <v>1</v>
      </c>
      <c r="U448" s="50">
        <v>0</v>
      </c>
      <c r="V448" s="50">
        <v>0.021374</v>
      </c>
      <c r="W448" s="50">
        <v>0</v>
      </c>
      <c r="X448" s="50">
        <v>0.001587</v>
      </c>
      <c r="Y448" s="50">
        <v>0</v>
      </c>
      <c r="Z448" s="50">
        <v>0</v>
      </c>
      <c r="AA448" s="73">
        <v>448</v>
      </c>
      <c r="AB448" s="73"/>
      <c r="AC448" s="74"/>
      <c r="AD448" s="81" t="s">
        <v>1735</v>
      </c>
      <c r="AE448" s="81"/>
      <c r="AF448" s="81"/>
      <c r="AG448" s="81"/>
      <c r="AH448" s="81"/>
      <c r="AI448" s="81" t="s">
        <v>2464</v>
      </c>
      <c r="AJ448" s="85">
        <v>40823.9765162037</v>
      </c>
      <c r="AK448" s="83" t="str">
        <f>HYPERLINK("https://yt3.ggpht.com/ytc/AOPolaSVnDlA6dphUpSeIkXXWn7y6fIz_H0krGni9LuUafQ=s88-c-k-c0x00ffffff-no-rj")</f>
        <v>https://yt3.ggpht.com/ytc/AOPolaSVnDlA6dphUpSeIkXXWn7y6fIz_H0krGni9LuUafQ=s88-c-k-c0x00ffffff-no-rj</v>
      </c>
      <c r="AL448" s="81">
        <v>34845</v>
      </c>
      <c r="AM448" s="81">
        <v>0</v>
      </c>
      <c r="AN448" s="81">
        <v>37</v>
      </c>
      <c r="AO448" s="81" t="b">
        <v>0</v>
      </c>
      <c r="AP448" s="81">
        <v>23</v>
      </c>
      <c r="AQ448" s="81"/>
      <c r="AR448" s="81"/>
      <c r="AS448" s="81" t="s">
        <v>2571</v>
      </c>
      <c r="AT448" s="83" t="str">
        <f>HYPERLINK("https://www.youtube.com/channel/UCqXJmx8_6S9eUmRbvFc9GAA")</f>
        <v>https://www.youtube.com/channel/UCqXJmx8_6S9eUmRbvFc9GAA</v>
      </c>
      <c r="AU448" s="81">
        <v>5</v>
      </c>
      <c r="AV448" s="49">
        <v>6</v>
      </c>
      <c r="AW448" s="50">
        <v>6.25</v>
      </c>
      <c r="AX448" s="49">
        <v>3</v>
      </c>
      <c r="AY448" s="50">
        <v>3.125</v>
      </c>
      <c r="AZ448" s="49">
        <v>0</v>
      </c>
      <c r="BA448" s="50">
        <v>0</v>
      </c>
      <c r="BB448" s="49">
        <v>30</v>
      </c>
      <c r="BC448" s="50">
        <v>31.25</v>
      </c>
      <c r="BD448" s="49">
        <v>96</v>
      </c>
      <c r="BE448" s="49"/>
      <c r="BF448" s="49"/>
      <c r="BG448" s="49"/>
      <c r="BH448" s="49"/>
      <c r="BI448" s="49"/>
      <c r="BJ448" s="49"/>
      <c r="BK448" s="115" t="s">
        <v>2972</v>
      </c>
      <c r="BL448" s="115" t="s">
        <v>2972</v>
      </c>
      <c r="BM448" s="115" t="s">
        <v>3416</v>
      </c>
      <c r="BN448" s="115" t="s">
        <v>3416</v>
      </c>
      <c r="BO448" s="2"/>
      <c r="BP448" s="3"/>
      <c r="BQ448" s="3"/>
      <c r="BR448" s="3"/>
      <c r="BS448" s="3"/>
    </row>
    <row r="449" spans="1:71" ht="15">
      <c r="A449" s="66" t="s">
        <v>666</v>
      </c>
      <c r="B449" s="67"/>
      <c r="C449" s="67"/>
      <c r="D449" s="68">
        <v>150</v>
      </c>
      <c r="E449" s="70"/>
      <c r="F449" s="102" t="str">
        <f>HYPERLINK("https://yt3.ggpht.com/ytc/AOPolaSNvERV3ISYOwLRvlQYDVQNGS0f0oyHan0hq79SC81Zo6Hfl9raBiusnpd14wbc=s88-c-k-c0x00ffffff-no-rj")</f>
        <v>https://yt3.ggpht.com/ytc/AOPolaSNvERV3ISYOwLRvlQYDVQNGS0f0oyHan0hq79SC81Zo6Hfl9raBiusnpd14wbc=s88-c-k-c0x00ffffff-no-rj</v>
      </c>
      <c r="G449" s="67"/>
      <c r="H449" s="71" t="s">
        <v>1736</v>
      </c>
      <c r="I449" s="72"/>
      <c r="J449" s="72" t="s">
        <v>159</v>
      </c>
      <c r="K449" s="71" t="s">
        <v>1736</v>
      </c>
      <c r="L449" s="75">
        <v>1</v>
      </c>
      <c r="M449" s="76">
        <v>7037.87890625</v>
      </c>
      <c r="N449" s="76">
        <v>3155.638671875</v>
      </c>
      <c r="O449" s="77"/>
      <c r="P449" s="78"/>
      <c r="Q449" s="78"/>
      <c r="R449" s="88"/>
      <c r="S449" s="49">
        <v>0</v>
      </c>
      <c r="T449" s="49">
        <v>1</v>
      </c>
      <c r="U449" s="50">
        <v>0</v>
      </c>
      <c r="V449" s="50">
        <v>0.021374</v>
      </c>
      <c r="W449" s="50">
        <v>0</v>
      </c>
      <c r="X449" s="50">
        <v>0.001587</v>
      </c>
      <c r="Y449" s="50">
        <v>0</v>
      </c>
      <c r="Z449" s="50">
        <v>0</v>
      </c>
      <c r="AA449" s="73">
        <v>449</v>
      </c>
      <c r="AB449" s="73"/>
      <c r="AC449" s="74"/>
      <c r="AD449" s="81" t="s">
        <v>1736</v>
      </c>
      <c r="AE449" s="81"/>
      <c r="AF449" s="81"/>
      <c r="AG449" s="81"/>
      <c r="AH449" s="81"/>
      <c r="AI449" s="81" t="s">
        <v>2465</v>
      </c>
      <c r="AJ449" s="85">
        <v>45035.859606481485</v>
      </c>
      <c r="AK449" s="83" t="str">
        <f>HYPERLINK("https://yt3.ggpht.com/ytc/AOPolaSNvERV3ISYOwLRvlQYDVQNGS0f0oyHan0hq79SC81Zo6Hfl9raBiusnpd14wbc=s88-c-k-c0x00ffffff-no-rj")</f>
        <v>https://yt3.ggpht.com/ytc/AOPolaSNvERV3ISYOwLRvlQYDVQNGS0f0oyHan0hq79SC81Zo6Hfl9raBiusnpd14wbc=s88-c-k-c0x00ffffff-no-rj</v>
      </c>
      <c r="AL449" s="81">
        <v>0</v>
      </c>
      <c r="AM449" s="81">
        <v>0</v>
      </c>
      <c r="AN449" s="81">
        <v>9</v>
      </c>
      <c r="AO449" s="81" t="b">
        <v>0</v>
      </c>
      <c r="AP449" s="81">
        <v>0</v>
      </c>
      <c r="AQ449" s="81"/>
      <c r="AR449" s="81"/>
      <c r="AS449" s="81" t="s">
        <v>2571</v>
      </c>
      <c r="AT449" s="83" t="str">
        <f>HYPERLINK("https://www.youtube.com/channel/UC3RbSovcnvfRVt5fqj4rr-Q")</f>
        <v>https://www.youtube.com/channel/UC3RbSovcnvfRVt5fqj4rr-Q</v>
      </c>
      <c r="AU449" s="81">
        <v>5</v>
      </c>
      <c r="AV449" s="49">
        <v>1</v>
      </c>
      <c r="AW449" s="50">
        <v>11.11111111111111</v>
      </c>
      <c r="AX449" s="49">
        <v>0</v>
      </c>
      <c r="AY449" s="50">
        <v>0</v>
      </c>
      <c r="AZ449" s="49">
        <v>0</v>
      </c>
      <c r="BA449" s="50">
        <v>0</v>
      </c>
      <c r="BB449" s="49">
        <v>1</v>
      </c>
      <c r="BC449" s="50">
        <v>11.11111111111111</v>
      </c>
      <c r="BD449" s="49">
        <v>9</v>
      </c>
      <c r="BE449" s="49"/>
      <c r="BF449" s="49"/>
      <c r="BG449" s="49"/>
      <c r="BH449" s="49"/>
      <c r="BI449" s="49"/>
      <c r="BJ449" s="49"/>
      <c r="BK449" s="115" t="s">
        <v>2973</v>
      </c>
      <c r="BL449" s="115" t="s">
        <v>2973</v>
      </c>
      <c r="BM449" s="115" t="s">
        <v>3417</v>
      </c>
      <c r="BN449" s="115" t="s">
        <v>3417</v>
      </c>
      <c r="BO449" s="2"/>
      <c r="BP449" s="3"/>
      <c r="BQ449" s="3"/>
      <c r="BR449" s="3"/>
      <c r="BS449" s="3"/>
    </row>
    <row r="450" spans="1:71" ht="15">
      <c r="A450" s="66" t="s">
        <v>667</v>
      </c>
      <c r="B450" s="67"/>
      <c r="C450" s="67"/>
      <c r="D450" s="68">
        <v>150</v>
      </c>
      <c r="E450" s="70"/>
      <c r="F450" s="102" t="str">
        <f>HYPERLINK("https://yt3.ggpht.com/-dn-vnnP03PlCD3qNfJmhIB7n_nvKivojvaY4aJR2rgKvI86Odv4_Duz9ENaMMK_FiptAuB58pk=s88-c-k-c0x00ffffff-no-rj")</f>
        <v>https://yt3.ggpht.com/-dn-vnnP03PlCD3qNfJmhIB7n_nvKivojvaY4aJR2rgKvI86Odv4_Duz9ENaMMK_FiptAuB58pk=s88-c-k-c0x00ffffff-no-rj</v>
      </c>
      <c r="G450" s="67"/>
      <c r="H450" s="71" t="s">
        <v>1737</v>
      </c>
      <c r="I450" s="72"/>
      <c r="J450" s="72" t="s">
        <v>159</v>
      </c>
      <c r="K450" s="71" t="s">
        <v>1737</v>
      </c>
      <c r="L450" s="75">
        <v>1</v>
      </c>
      <c r="M450" s="76">
        <v>7859.99560546875</v>
      </c>
      <c r="N450" s="76">
        <v>3143.416259765625</v>
      </c>
      <c r="O450" s="77"/>
      <c r="P450" s="78"/>
      <c r="Q450" s="78"/>
      <c r="R450" s="88"/>
      <c r="S450" s="49">
        <v>0</v>
      </c>
      <c r="T450" s="49">
        <v>1</v>
      </c>
      <c r="U450" s="50">
        <v>0</v>
      </c>
      <c r="V450" s="50">
        <v>0.021374</v>
      </c>
      <c r="W450" s="50">
        <v>0</v>
      </c>
      <c r="X450" s="50">
        <v>0.001587</v>
      </c>
      <c r="Y450" s="50">
        <v>0</v>
      </c>
      <c r="Z450" s="50">
        <v>0</v>
      </c>
      <c r="AA450" s="73">
        <v>450</v>
      </c>
      <c r="AB450" s="73"/>
      <c r="AC450" s="74"/>
      <c r="AD450" s="81" t="s">
        <v>1737</v>
      </c>
      <c r="AE450" s="81"/>
      <c r="AF450" s="81"/>
      <c r="AG450" s="81"/>
      <c r="AH450" s="81"/>
      <c r="AI450" s="81" t="s">
        <v>2466</v>
      </c>
      <c r="AJ450" s="85">
        <v>43915.5859375</v>
      </c>
      <c r="AK450" s="83" t="str">
        <f>HYPERLINK("https://yt3.ggpht.com/-dn-vnnP03PlCD3qNfJmhIB7n_nvKivojvaY4aJR2rgKvI86Odv4_Duz9ENaMMK_FiptAuB58pk=s88-c-k-c0x00ffffff-no-rj")</f>
        <v>https://yt3.ggpht.com/-dn-vnnP03PlCD3qNfJmhIB7n_nvKivojvaY4aJR2rgKvI86Odv4_Duz9ENaMMK_FiptAuB58pk=s88-c-k-c0x00ffffff-no-rj</v>
      </c>
      <c r="AL450" s="81">
        <v>0</v>
      </c>
      <c r="AM450" s="81">
        <v>0</v>
      </c>
      <c r="AN450" s="81">
        <v>0</v>
      </c>
      <c r="AO450" s="81" t="b">
        <v>0</v>
      </c>
      <c r="AP450" s="81">
        <v>0</v>
      </c>
      <c r="AQ450" s="81"/>
      <c r="AR450" s="81"/>
      <c r="AS450" s="81" t="s">
        <v>2571</v>
      </c>
      <c r="AT450" s="83" t="str">
        <f>HYPERLINK("https://www.youtube.com/channel/UCI6RmXqnjjOBp5-8ghsBJFw")</f>
        <v>https://www.youtube.com/channel/UCI6RmXqnjjOBp5-8ghsBJFw</v>
      </c>
      <c r="AU450" s="81">
        <v>5</v>
      </c>
      <c r="AV450" s="49">
        <v>2</v>
      </c>
      <c r="AW450" s="50">
        <v>4.081632653061225</v>
      </c>
      <c r="AX450" s="49">
        <v>2</v>
      </c>
      <c r="AY450" s="50">
        <v>4.081632653061225</v>
      </c>
      <c r="AZ450" s="49">
        <v>0</v>
      </c>
      <c r="BA450" s="50">
        <v>0</v>
      </c>
      <c r="BB450" s="49">
        <v>19</v>
      </c>
      <c r="BC450" s="50">
        <v>38.775510204081634</v>
      </c>
      <c r="BD450" s="49">
        <v>49</v>
      </c>
      <c r="BE450" s="49"/>
      <c r="BF450" s="49"/>
      <c r="BG450" s="49"/>
      <c r="BH450" s="49"/>
      <c r="BI450" s="49"/>
      <c r="BJ450" s="49"/>
      <c r="BK450" s="115" t="s">
        <v>2974</v>
      </c>
      <c r="BL450" s="115" t="s">
        <v>2974</v>
      </c>
      <c r="BM450" s="115" t="s">
        <v>3418</v>
      </c>
      <c r="BN450" s="115" t="s">
        <v>3418</v>
      </c>
      <c r="BO450" s="2"/>
      <c r="BP450" s="3"/>
      <c r="BQ450" s="3"/>
      <c r="BR450" s="3"/>
      <c r="BS450" s="3"/>
    </row>
    <row r="451" spans="1:71" ht="15">
      <c r="A451" s="66" t="s">
        <v>669</v>
      </c>
      <c r="B451" s="67"/>
      <c r="C451" s="67"/>
      <c r="D451" s="68">
        <v>150</v>
      </c>
      <c r="E451" s="70"/>
      <c r="F451" s="102" t="str">
        <f>HYPERLINK("https://yt3.ggpht.com/ytc/AOPolaSLnXircA8sD-YXyEhEr3dqoFw603icsEJ1cSqtcA=s88-c-k-c0x00ffffff-no-rj")</f>
        <v>https://yt3.ggpht.com/ytc/AOPolaSLnXircA8sD-YXyEhEr3dqoFw603icsEJ1cSqtcA=s88-c-k-c0x00ffffff-no-rj</v>
      </c>
      <c r="G451" s="67"/>
      <c r="H451" s="71" t="s">
        <v>1738</v>
      </c>
      <c r="I451" s="72"/>
      <c r="J451" s="72" t="s">
        <v>159</v>
      </c>
      <c r="K451" s="71" t="s">
        <v>1738</v>
      </c>
      <c r="L451" s="75">
        <v>1</v>
      </c>
      <c r="M451" s="76">
        <v>7488.23779296875</v>
      </c>
      <c r="N451" s="76">
        <v>2971.36474609375</v>
      </c>
      <c r="O451" s="77"/>
      <c r="P451" s="78"/>
      <c r="Q451" s="78"/>
      <c r="R451" s="88"/>
      <c r="S451" s="49">
        <v>0</v>
      </c>
      <c r="T451" s="49">
        <v>1</v>
      </c>
      <c r="U451" s="50">
        <v>0</v>
      </c>
      <c r="V451" s="50">
        <v>0.021374</v>
      </c>
      <c r="W451" s="50">
        <v>0</v>
      </c>
      <c r="X451" s="50">
        <v>0.001587</v>
      </c>
      <c r="Y451" s="50">
        <v>0</v>
      </c>
      <c r="Z451" s="50">
        <v>0</v>
      </c>
      <c r="AA451" s="73">
        <v>451</v>
      </c>
      <c r="AB451" s="73"/>
      <c r="AC451" s="74"/>
      <c r="AD451" s="81" t="s">
        <v>1738</v>
      </c>
      <c r="AE451" s="81" t="s">
        <v>1995</v>
      </c>
      <c r="AF451" s="81"/>
      <c r="AG451" s="81"/>
      <c r="AH451" s="81"/>
      <c r="AI451" s="81" t="s">
        <v>2467</v>
      </c>
      <c r="AJ451" s="85">
        <v>40852.6977662037</v>
      </c>
      <c r="AK451" s="83" t="str">
        <f>HYPERLINK("https://yt3.ggpht.com/ytc/AOPolaSLnXircA8sD-YXyEhEr3dqoFw603icsEJ1cSqtcA=s88-c-k-c0x00ffffff-no-rj")</f>
        <v>https://yt3.ggpht.com/ytc/AOPolaSLnXircA8sD-YXyEhEr3dqoFw603icsEJ1cSqtcA=s88-c-k-c0x00ffffff-no-rj</v>
      </c>
      <c r="AL451" s="81">
        <v>2644</v>
      </c>
      <c r="AM451" s="81">
        <v>0</v>
      </c>
      <c r="AN451" s="81">
        <v>10</v>
      </c>
      <c r="AO451" s="81" t="b">
        <v>0</v>
      </c>
      <c r="AP451" s="81">
        <v>9</v>
      </c>
      <c r="AQ451" s="81"/>
      <c r="AR451" s="81"/>
      <c r="AS451" s="81" t="s">
        <v>2571</v>
      </c>
      <c r="AT451" s="83" t="str">
        <f>HYPERLINK("https://www.youtube.com/channel/UC67ByJZceqEg7ZdPJHpNMVA")</f>
        <v>https://www.youtube.com/channel/UC67ByJZceqEg7ZdPJHpNMVA</v>
      </c>
      <c r="AU451" s="81">
        <v>5</v>
      </c>
      <c r="AV451" s="49">
        <v>1</v>
      </c>
      <c r="AW451" s="50">
        <v>3.4482758620689653</v>
      </c>
      <c r="AX451" s="49">
        <v>0</v>
      </c>
      <c r="AY451" s="50">
        <v>0</v>
      </c>
      <c r="AZ451" s="49">
        <v>0</v>
      </c>
      <c r="BA451" s="50">
        <v>0</v>
      </c>
      <c r="BB451" s="49">
        <v>11</v>
      </c>
      <c r="BC451" s="50">
        <v>37.93103448275862</v>
      </c>
      <c r="BD451" s="49">
        <v>29</v>
      </c>
      <c r="BE451" s="49"/>
      <c r="BF451" s="49"/>
      <c r="BG451" s="49"/>
      <c r="BH451" s="49"/>
      <c r="BI451" s="49"/>
      <c r="BJ451" s="49"/>
      <c r="BK451" s="115" t="s">
        <v>2975</v>
      </c>
      <c r="BL451" s="115" t="s">
        <v>2975</v>
      </c>
      <c r="BM451" s="115" t="s">
        <v>3419</v>
      </c>
      <c r="BN451" s="115" t="s">
        <v>3419</v>
      </c>
      <c r="BO451" s="2"/>
      <c r="BP451" s="3"/>
      <c r="BQ451" s="3"/>
      <c r="BR451" s="3"/>
      <c r="BS451" s="3"/>
    </row>
    <row r="452" spans="1:71" ht="15">
      <c r="A452" s="66" t="s">
        <v>670</v>
      </c>
      <c r="B452" s="67"/>
      <c r="C452" s="67"/>
      <c r="D452" s="68">
        <v>150</v>
      </c>
      <c r="E452" s="70"/>
      <c r="F452" s="102" t="str">
        <f>HYPERLINK("https://yt3.ggpht.com/XTmH2H2vkao_gMTL8jasYRp9aQtgTc3dvN3Naw707LCnmwxrLGdggJ3x39gNa-7Y3Q6OOIPllA=s88-c-k-c0x00ffffff-no-rj")</f>
        <v>https://yt3.ggpht.com/XTmH2H2vkao_gMTL8jasYRp9aQtgTc3dvN3Naw707LCnmwxrLGdggJ3x39gNa-7Y3Q6OOIPllA=s88-c-k-c0x00ffffff-no-rj</v>
      </c>
      <c r="G452" s="67"/>
      <c r="H452" s="71" t="s">
        <v>1739</v>
      </c>
      <c r="I452" s="72"/>
      <c r="J452" s="72" t="s">
        <v>159</v>
      </c>
      <c r="K452" s="71" t="s">
        <v>1739</v>
      </c>
      <c r="L452" s="75">
        <v>1</v>
      </c>
      <c r="M452" s="76">
        <v>9789.7939453125</v>
      </c>
      <c r="N452" s="76">
        <v>3437.883056640625</v>
      </c>
      <c r="O452" s="77"/>
      <c r="P452" s="78"/>
      <c r="Q452" s="78"/>
      <c r="R452" s="88"/>
      <c r="S452" s="49">
        <v>0</v>
      </c>
      <c r="T452" s="49">
        <v>1</v>
      </c>
      <c r="U452" s="50">
        <v>0</v>
      </c>
      <c r="V452" s="50">
        <v>0.010476</v>
      </c>
      <c r="W452" s="50">
        <v>0</v>
      </c>
      <c r="X452" s="50">
        <v>0.001596</v>
      </c>
      <c r="Y452" s="50">
        <v>0</v>
      </c>
      <c r="Z452" s="50">
        <v>0</v>
      </c>
      <c r="AA452" s="73">
        <v>452</v>
      </c>
      <c r="AB452" s="73"/>
      <c r="AC452" s="74"/>
      <c r="AD452" s="81" t="s">
        <v>1739</v>
      </c>
      <c r="AE452" s="81"/>
      <c r="AF452" s="81"/>
      <c r="AG452" s="81"/>
      <c r="AH452" s="81"/>
      <c r="AI452" s="81" t="s">
        <v>2468</v>
      </c>
      <c r="AJ452" s="85">
        <v>44386.62399305555</v>
      </c>
      <c r="AK452" s="83" t="str">
        <f>HYPERLINK("https://yt3.ggpht.com/XTmH2H2vkao_gMTL8jasYRp9aQtgTc3dvN3Naw707LCnmwxrLGdggJ3x39gNa-7Y3Q6OOIPllA=s88-c-k-c0x00ffffff-no-rj")</f>
        <v>https://yt3.ggpht.com/XTmH2H2vkao_gMTL8jasYRp9aQtgTc3dvN3Naw707LCnmwxrLGdggJ3x39gNa-7Y3Q6OOIPllA=s88-c-k-c0x00ffffff-no-rj</v>
      </c>
      <c r="AL452" s="81">
        <v>0</v>
      </c>
      <c r="AM452" s="81">
        <v>0</v>
      </c>
      <c r="AN452" s="81">
        <v>0</v>
      </c>
      <c r="AO452" s="81" t="b">
        <v>0</v>
      </c>
      <c r="AP452" s="81">
        <v>0</v>
      </c>
      <c r="AQ452" s="81"/>
      <c r="AR452" s="81"/>
      <c r="AS452" s="81" t="s">
        <v>2571</v>
      </c>
      <c r="AT452" s="83" t="str">
        <f>HYPERLINK("https://www.youtube.com/channel/UCcjLqsXt8IZJ9tgdC417Jog")</f>
        <v>https://www.youtube.com/channel/UCcjLqsXt8IZJ9tgdC417Jog</v>
      </c>
      <c r="AU452" s="81">
        <v>7</v>
      </c>
      <c r="AV452" s="49">
        <v>3</v>
      </c>
      <c r="AW452" s="50">
        <v>1.6853932584269662</v>
      </c>
      <c r="AX452" s="49">
        <v>4</v>
      </c>
      <c r="AY452" s="50">
        <v>2.247191011235955</v>
      </c>
      <c r="AZ452" s="49">
        <v>0</v>
      </c>
      <c r="BA452" s="50">
        <v>0</v>
      </c>
      <c r="BB452" s="49">
        <v>53</v>
      </c>
      <c r="BC452" s="50">
        <v>29.775280898876403</v>
      </c>
      <c r="BD452" s="49">
        <v>178</v>
      </c>
      <c r="BE452" s="49" t="s">
        <v>1859</v>
      </c>
      <c r="BF452" s="49" t="s">
        <v>2572</v>
      </c>
      <c r="BG452" s="49" t="s">
        <v>1862</v>
      </c>
      <c r="BH452" s="49" t="s">
        <v>2574</v>
      </c>
      <c r="BI452" s="49"/>
      <c r="BJ452" s="49"/>
      <c r="BK452" s="115" t="s">
        <v>2976</v>
      </c>
      <c r="BL452" s="115" t="s">
        <v>2976</v>
      </c>
      <c r="BM452" s="115" t="s">
        <v>3420</v>
      </c>
      <c r="BN452" s="115" t="s">
        <v>3420</v>
      </c>
      <c r="BO452" s="2"/>
      <c r="BP452" s="3"/>
      <c r="BQ452" s="3"/>
      <c r="BR452" s="3"/>
      <c r="BS452" s="3"/>
    </row>
    <row r="453" spans="1:71" ht="15">
      <c r="A453" s="66" t="s">
        <v>680</v>
      </c>
      <c r="B453" s="67"/>
      <c r="C453" s="67"/>
      <c r="D453" s="68">
        <v>334.7826086956522</v>
      </c>
      <c r="E453" s="70"/>
      <c r="F453" s="102" t="str">
        <f>HYPERLINK("https://yt3.ggpht.com/ytc/AOPolaR5DwNzF52Mzr0J0mXBXr2hnrWiN3xD9LAVL1e2Zg=s88-c-k-c0x00ffffff-no-rj")</f>
        <v>https://yt3.ggpht.com/ytc/AOPolaR5DwNzF52Mzr0J0mXBXr2hnrWiN3xD9LAVL1e2Zg=s88-c-k-c0x00ffffff-no-rj</v>
      </c>
      <c r="G453" s="67"/>
      <c r="H453" s="71" t="s">
        <v>1898</v>
      </c>
      <c r="I453" s="72"/>
      <c r="J453" s="72" t="s">
        <v>75</v>
      </c>
      <c r="K453" s="71" t="s">
        <v>1898</v>
      </c>
      <c r="L453" s="75">
        <v>30.071636267512556</v>
      </c>
      <c r="M453" s="76">
        <v>9001.734375</v>
      </c>
      <c r="N453" s="76">
        <v>3162.3857421875</v>
      </c>
      <c r="O453" s="77"/>
      <c r="P453" s="78"/>
      <c r="Q453" s="78"/>
      <c r="R453" s="88"/>
      <c r="S453" s="49">
        <v>12</v>
      </c>
      <c r="T453" s="49">
        <v>1</v>
      </c>
      <c r="U453" s="50">
        <v>110</v>
      </c>
      <c r="V453" s="50">
        <v>0.02</v>
      </c>
      <c r="W453" s="50">
        <v>0</v>
      </c>
      <c r="X453" s="50">
        <v>0.004228</v>
      </c>
      <c r="Y453" s="50">
        <v>0</v>
      </c>
      <c r="Z453" s="50">
        <v>0</v>
      </c>
      <c r="AA453" s="73">
        <v>453</v>
      </c>
      <c r="AB453" s="73"/>
      <c r="AC453" s="74"/>
      <c r="AD453" s="81" t="s">
        <v>1898</v>
      </c>
      <c r="AE453" s="81" t="s">
        <v>1996</v>
      </c>
      <c r="AF453" s="81"/>
      <c r="AG453" s="81"/>
      <c r="AH453" s="81"/>
      <c r="AI453" s="81" t="s">
        <v>2469</v>
      </c>
      <c r="AJ453" s="85">
        <v>39195.82655092593</v>
      </c>
      <c r="AK453" s="83" t="str">
        <f>HYPERLINK("https://yt3.ggpht.com/ytc/AOPolaR5DwNzF52Mzr0J0mXBXr2hnrWiN3xD9LAVL1e2Zg=s88-c-k-c0x00ffffff-no-rj")</f>
        <v>https://yt3.ggpht.com/ytc/AOPolaR5DwNzF52Mzr0J0mXBXr2hnrWiN3xD9LAVL1e2Zg=s88-c-k-c0x00ffffff-no-rj</v>
      </c>
      <c r="AL453" s="81">
        <v>268986869</v>
      </c>
      <c r="AM453" s="81">
        <v>0</v>
      </c>
      <c r="AN453" s="81">
        <v>22800</v>
      </c>
      <c r="AO453" s="81" t="b">
        <v>0</v>
      </c>
      <c r="AP453" s="81">
        <v>1274</v>
      </c>
      <c r="AQ453" s="81"/>
      <c r="AR453" s="81"/>
      <c r="AS453" s="81" t="s">
        <v>2571</v>
      </c>
      <c r="AT453" s="83" t="str">
        <f>HYPERLINK("https://www.youtube.com/channel/UCDtqUmBIjQWbe9rpnyOQ_Gg")</f>
        <v>https://www.youtube.com/channel/UCDtqUmBIjQWbe9rpnyOQ_Gg</v>
      </c>
      <c r="AU453" s="81">
        <v>7</v>
      </c>
      <c r="AV453" s="49"/>
      <c r="AW453" s="50"/>
      <c r="AX453" s="49"/>
      <c r="AY453" s="50"/>
      <c r="AZ453" s="49"/>
      <c r="BA453" s="50"/>
      <c r="BB453" s="49"/>
      <c r="BC453" s="50"/>
      <c r="BD453" s="49"/>
      <c r="BE453" s="49"/>
      <c r="BF453" s="49"/>
      <c r="BG453" s="49"/>
      <c r="BH453" s="49"/>
      <c r="BI453" s="49"/>
      <c r="BJ453" s="49"/>
      <c r="BK453" s="115" t="s">
        <v>4477</v>
      </c>
      <c r="BL453" s="115" t="s">
        <v>4477</v>
      </c>
      <c r="BM453" s="115" t="s">
        <v>4477</v>
      </c>
      <c r="BN453" s="115" t="s">
        <v>4477</v>
      </c>
      <c r="BO453" s="2"/>
      <c r="BP453" s="3"/>
      <c r="BQ453" s="3"/>
      <c r="BR453" s="3"/>
      <c r="BS453" s="3"/>
    </row>
    <row r="454" spans="1:71" ht="15">
      <c r="A454" s="66" t="s">
        <v>671</v>
      </c>
      <c r="B454" s="67"/>
      <c r="C454" s="67"/>
      <c r="D454" s="68">
        <v>150</v>
      </c>
      <c r="E454" s="70"/>
      <c r="F454" s="102" t="str">
        <f>HYPERLINK("https://yt3.ggpht.com/DWWqX0__ZuePaV4LlW6g3DZsflb9zmM0DmufqD3IsJ3biKcm3-b5tAksR8b2s_ANsWnKmHXNeQ=s88-c-k-c0x00ffffff-no-rj")</f>
        <v>https://yt3.ggpht.com/DWWqX0__ZuePaV4LlW6g3DZsflb9zmM0DmufqD3IsJ3biKcm3-b5tAksR8b2s_ANsWnKmHXNeQ=s88-c-k-c0x00ffffff-no-rj</v>
      </c>
      <c r="G454" s="67"/>
      <c r="H454" s="71" t="s">
        <v>1740</v>
      </c>
      <c r="I454" s="72"/>
      <c r="J454" s="72" t="s">
        <v>159</v>
      </c>
      <c r="K454" s="71" t="s">
        <v>1740</v>
      </c>
      <c r="L454" s="75">
        <v>1</v>
      </c>
      <c r="M454" s="76">
        <v>8860.853515625</v>
      </c>
      <c r="N454" s="76">
        <v>3649.060302734375</v>
      </c>
      <c r="O454" s="77"/>
      <c r="P454" s="78"/>
      <c r="Q454" s="78"/>
      <c r="R454" s="88"/>
      <c r="S454" s="49">
        <v>0</v>
      </c>
      <c r="T454" s="49">
        <v>1</v>
      </c>
      <c r="U454" s="50">
        <v>0</v>
      </c>
      <c r="V454" s="50">
        <v>0.010476</v>
      </c>
      <c r="W454" s="50">
        <v>0</v>
      </c>
      <c r="X454" s="50">
        <v>0.001596</v>
      </c>
      <c r="Y454" s="50">
        <v>0</v>
      </c>
      <c r="Z454" s="50">
        <v>0</v>
      </c>
      <c r="AA454" s="73">
        <v>454</v>
      </c>
      <c r="AB454" s="73"/>
      <c r="AC454" s="74"/>
      <c r="AD454" s="81" t="s">
        <v>1740</v>
      </c>
      <c r="AE454" s="81"/>
      <c r="AF454" s="81"/>
      <c r="AG454" s="81"/>
      <c r="AH454" s="81"/>
      <c r="AI454" s="81" t="s">
        <v>2470</v>
      </c>
      <c r="AJ454" s="85">
        <v>41463.14881944445</v>
      </c>
      <c r="AK454" s="83" t="str">
        <f>HYPERLINK("https://yt3.ggpht.com/DWWqX0__ZuePaV4LlW6g3DZsflb9zmM0DmufqD3IsJ3biKcm3-b5tAksR8b2s_ANsWnKmHXNeQ=s88-c-k-c0x00ffffff-no-rj")</f>
        <v>https://yt3.ggpht.com/DWWqX0__ZuePaV4LlW6g3DZsflb9zmM0DmufqD3IsJ3biKcm3-b5tAksR8b2s_ANsWnKmHXNeQ=s88-c-k-c0x00ffffff-no-rj</v>
      </c>
      <c r="AL454" s="81">
        <v>0</v>
      </c>
      <c r="AM454" s="81">
        <v>0</v>
      </c>
      <c r="AN454" s="81">
        <v>0</v>
      </c>
      <c r="AO454" s="81" t="b">
        <v>0</v>
      </c>
      <c r="AP454" s="81">
        <v>0</v>
      </c>
      <c r="AQ454" s="81"/>
      <c r="AR454" s="81"/>
      <c r="AS454" s="81" t="s">
        <v>2571</v>
      </c>
      <c r="AT454" s="83" t="str">
        <f>HYPERLINK("https://www.youtube.com/channel/UCNKCltKyRNk_ojLGPYcHQhQ")</f>
        <v>https://www.youtube.com/channel/UCNKCltKyRNk_ojLGPYcHQhQ</v>
      </c>
      <c r="AU454" s="81">
        <v>7</v>
      </c>
      <c r="AV454" s="49">
        <v>1</v>
      </c>
      <c r="AW454" s="50">
        <v>3.125</v>
      </c>
      <c r="AX454" s="49">
        <v>0</v>
      </c>
      <c r="AY454" s="50">
        <v>0</v>
      </c>
      <c r="AZ454" s="49">
        <v>0</v>
      </c>
      <c r="BA454" s="50">
        <v>0</v>
      </c>
      <c r="BB454" s="49">
        <v>11</v>
      </c>
      <c r="BC454" s="50">
        <v>34.375</v>
      </c>
      <c r="BD454" s="49">
        <v>32</v>
      </c>
      <c r="BE454" s="49"/>
      <c r="BF454" s="49"/>
      <c r="BG454" s="49"/>
      <c r="BH454" s="49"/>
      <c r="BI454" s="49"/>
      <c r="BJ454" s="49"/>
      <c r="BK454" s="115" t="s">
        <v>2977</v>
      </c>
      <c r="BL454" s="115" t="s">
        <v>2977</v>
      </c>
      <c r="BM454" s="115" t="s">
        <v>3421</v>
      </c>
      <c r="BN454" s="115" t="s">
        <v>3421</v>
      </c>
      <c r="BO454" s="2"/>
      <c r="BP454" s="3"/>
      <c r="BQ454" s="3"/>
      <c r="BR454" s="3"/>
      <c r="BS454" s="3"/>
    </row>
    <row r="455" spans="1:71" ht="15">
      <c r="A455" s="66" t="s">
        <v>672</v>
      </c>
      <c r="B455" s="67"/>
      <c r="C455" s="67"/>
      <c r="D455" s="68">
        <v>150</v>
      </c>
      <c r="E455" s="70"/>
      <c r="F455" s="102" t="str">
        <f>HYPERLINK("https://yt3.ggpht.com/ytc/AOPolaQT7QTHByRTSVNholIs5yNn5ywlvu94qmc1qQ=s88-c-k-c0x00ffffff-no-rj")</f>
        <v>https://yt3.ggpht.com/ytc/AOPolaQT7QTHByRTSVNholIs5yNn5ywlvu94qmc1qQ=s88-c-k-c0x00ffffff-no-rj</v>
      </c>
      <c r="G455" s="67"/>
      <c r="H455" s="71" t="s">
        <v>1741</v>
      </c>
      <c r="I455" s="72"/>
      <c r="J455" s="72" t="s">
        <v>159</v>
      </c>
      <c r="K455" s="71" t="s">
        <v>1741</v>
      </c>
      <c r="L455" s="75">
        <v>1</v>
      </c>
      <c r="M455" s="76">
        <v>8127.10693359375</v>
      </c>
      <c r="N455" s="76">
        <v>3019.86181640625</v>
      </c>
      <c r="O455" s="77"/>
      <c r="P455" s="78"/>
      <c r="Q455" s="78"/>
      <c r="R455" s="88"/>
      <c r="S455" s="49">
        <v>0</v>
      </c>
      <c r="T455" s="49">
        <v>1</v>
      </c>
      <c r="U455" s="50">
        <v>0</v>
      </c>
      <c r="V455" s="50">
        <v>0.010476</v>
      </c>
      <c r="W455" s="50">
        <v>0</v>
      </c>
      <c r="X455" s="50">
        <v>0.001596</v>
      </c>
      <c r="Y455" s="50">
        <v>0</v>
      </c>
      <c r="Z455" s="50">
        <v>0</v>
      </c>
      <c r="AA455" s="73">
        <v>455</v>
      </c>
      <c r="AB455" s="73"/>
      <c r="AC455" s="74"/>
      <c r="AD455" s="81" t="s">
        <v>1741</v>
      </c>
      <c r="AE455" s="81"/>
      <c r="AF455" s="81"/>
      <c r="AG455" s="81"/>
      <c r="AH455" s="81"/>
      <c r="AI455" s="81" t="s">
        <v>2471</v>
      </c>
      <c r="AJ455" s="85">
        <v>42955.957974537036</v>
      </c>
      <c r="AK455" s="83" t="str">
        <f>HYPERLINK("https://yt3.ggpht.com/ytc/AOPolaQT7QTHByRTSVNholIs5yNn5ywlvu94qmc1qQ=s88-c-k-c0x00ffffff-no-rj")</f>
        <v>https://yt3.ggpht.com/ytc/AOPolaQT7QTHByRTSVNholIs5yNn5ywlvu94qmc1qQ=s88-c-k-c0x00ffffff-no-rj</v>
      </c>
      <c r="AL455" s="81">
        <v>0</v>
      </c>
      <c r="AM455" s="81">
        <v>0</v>
      </c>
      <c r="AN455" s="81">
        <v>0</v>
      </c>
      <c r="AO455" s="81" t="b">
        <v>0</v>
      </c>
      <c r="AP455" s="81">
        <v>0</v>
      </c>
      <c r="AQ455" s="81"/>
      <c r="AR455" s="81"/>
      <c r="AS455" s="81" t="s">
        <v>2571</v>
      </c>
      <c r="AT455" s="83" t="str">
        <f>HYPERLINK("https://www.youtube.com/channel/UC1gWGhsNOQWLmz6yxaxjg9w")</f>
        <v>https://www.youtube.com/channel/UC1gWGhsNOQWLmz6yxaxjg9w</v>
      </c>
      <c r="AU455" s="81">
        <v>7</v>
      </c>
      <c r="AV455" s="49">
        <v>1</v>
      </c>
      <c r="AW455" s="50">
        <v>7.142857142857143</v>
      </c>
      <c r="AX455" s="49">
        <v>2</v>
      </c>
      <c r="AY455" s="50">
        <v>14.285714285714286</v>
      </c>
      <c r="AZ455" s="49">
        <v>0</v>
      </c>
      <c r="BA455" s="50">
        <v>0</v>
      </c>
      <c r="BB455" s="49">
        <v>5</v>
      </c>
      <c r="BC455" s="50">
        <v>35.714285714285715</v>
      </c>
      <c r="BD455" s="49">
        <v>14</v>
      </c>
      <c r="BE455" s="49"/>
      <c r="BF455" s="49"/>
      <c r="BG455" s="49"/>
      <c r="BH455" s="49"/>
      <c r="BI455" s="49"/>
      <c r="BJ455" s="49"/>
      <c r="BK455" s="115" t="s">
        <v>2978</v>
      </c>
      <c r="BL455" s="115" t="s">
        <v>2978</v>
      </c>
      <c r="BM455" s="115" t="s">
        <v>3422</v>
      </c>
      <c r="BN455" s="115" t="s">
        <v>3422</v>
      </c>
      <c r="BO455" s="2"/>
      <c r="BP455" s="3"/>
      <c r="BQ455" s="3"/>
      <c r="BR455" s="3"/>
      <c r="BS455" s="3"/>
    </row>
    <row r="456" spans="1:71" ht="15">
      <c r="A456" s="66" t="s">
        <v>673</v>
      </c>
      <c r="B456" s="67"/>
      <c r="C456" s="67"/>
      <c r="D456" s="68">
        <v>150</v>
      </c>
      <c r="E456" s="70"/>
      <c r="F456" s="102" t="str">
        <f>HYPERLINK("https://yt3.ggpht.com/ytc/AOPolaROQ_W48SigJK9PRvNOSQ048cLA_lGMBczrSZC1=s88-c-k-c0x00ffffff-no-rj")</f>
        <v>https://yt3.ggpht.com/ytc/AOPolaROQ_W48SigJK9PRvNOSQ048cLA_lGMBczrSZC1=s88-c-k-c0x00ffffff-no-rj</v>
      </c>
      <c r="G456" s="67"/>
      <c r="H456" s="71" t="s">
        <v>1742</v>
      </c>
      <c r="I456" s="72"/>
      <c r="J456" s="72" t="s">
        <v>159</v>
      </c>
      <c r="K456" s="71" t="s">
        <v>1742</v>
      </c>
      <c r="L456" s="75">
        <v>1</v>
      </c>
      <c r="M456" s="76">
        <v>9392.341796875</v>
      </c>
      <c r="N456" s="76">
        <v>2726.42724609375</v>
      </c>
      <c r="O456" s="77"/>
      <c r="P456" s="78"/>
      <c r="Q456" s="78"/>
      <c r="R456" s="88"/>
      <c r="S456" s="49">
        <v>0</v>
      </c>
      <c r="T456" s="49">
        <v>1</v>
      </c>
      <c r="U456" s="50">
        <v>0</v>
      </c>
      <c r="V456" s="50">
        <v>0.010476</v>
      </c>
      <c r="W456" s="50">
        <v>0</v>
      </c>
      <c r="X456" s="50">
        <v>0.001596</v>
      </c>
      <c r="Y456" s="50">
        <v>0</v>
      </c>
      <c r="Z456" s="50">
        <v>0</v>
      </c>
      <c r="AA456" s="73">
        <v>456</v>
      </c>
      <c r="AB456" s="73"/>
      <c r="AC456" s="74"/>
      <c r="AD456" s="81" t="s">
        <v>1742</v>
      </c>
      <c r="AE456" s="81"/>
      <c r="AF456" s="81"/>
      <c r="AG456" s="81"/>
      <c r="AH456" s="81"/>
      <c r="AI456" s="81" t="s">
        <v>2472</v>
      </c>
      <c r="AJ456" s="85">
        <v>43289.995833333334</v>
      </c>
      <c r="AK456" s="83" t="str">
        <f>HYPERLINK("https://yt3.ggpht.com/ytc/AOPolaROQ_W48SigJK9PRvNOSQ048cLA_lGMBczrSZC1=s88-c-k-c0x00ffffff-no-rj")</f>
        <v>https://yt3.ggpht.com/ytc/AOPolaROQ_W48SigJK9PRvNOSQ048cLA_lGMBczrSZC1=s88-c-k-c0x00ffffff-no-rj</v>
      </c>
      <c r="AL456" s="81">
        <v>0</v>
      </c>
      <c r="AM456" s="81">
        <v>0</v>
      </c>
      <c r="AN456" s="81">
        <v>0</v>
      </c>
      <c r="AO456" s="81" t="b">
        <v>0</v>
      </c>
      <c r="AP456" s="81">
        <v>0</v>
      </c>
      <c r="AQ456" s="81"/>
      <c r="AR456" s="81"/>
      <c r="AS456" s="81" t="s">
        <v>2571</v>
      </c>
      <c r="AT456" s="83" t="str">
        <f>HYPERLINK("https://www.youtube.com/channel/UCLBBTXyFkcZf-pYdsD1yuJg")</f>
        <v>https://www.youtube.com/channel/UCLBBTXyFkcZf-pYdsD1yuJg</v>
      </c>
      <c r="AU456" s="81">
        <v>7</v>
      </c>
      <c r="AV456" s="49">
        <v>0</v>
      </c>
      <c r="AW456" s="50">
        <v>0</v>
      </c>
      <c r="AX456" s="49">
        <v>0</v>
      </c>
      <c r="AY456" s="50">
        <v>0</v>
      </c>
      <c r="AZ456" s="49">
        <v>0</v>
      </c>
      <c r="BA456" s="50">
        <v>0</v>
      </c>
      <c r="BB456" s="49">
        <v>7</v>
      </c>
      <c r="BC456" s="50">
        <v>63.63636363636363</v>
      </c>
      <c r="BD456" s="49">
        <v>11</v>
      </c>
      <c r="BE456" s="49"/>
      <c r="BF456" s="49"/>
      <c r="BG456" s="49"/>
      <c r="BH456" s="49"/>
      <c r="BI456" s="49"/>
      <c r="BJ456" s="49"/>
      <c r="BK456" s="115" t="s">
        <v>2979</v>
      </c>
      <c r="BL456" s="115" t="s">
        <v>2979</v>
      </c>
      <c r="BM456" s="115" t="s">
        <v>3423</v>
      </c>
      <c r="BN456" s="115" t="s">
        <v>3423</v>
      </c>
      <c r="BO456" s="2"/>
      <c r="BP456" s="3"/>
      <c r="BQ456" s="3"/>
      <c r="BR456" s="3"/>
      <c r="BS456" s="3"/>
    </row>
    <row r="457" spans="1:71" ht="15">
      <c r="A457" s="66" t="s">
        <v>674</v>
      </c>
      <c r="B457" s="67"/>
      <c r="C457" s="67"/>
      <c r="D457" s="68">
        <v>150</v>
      </c>
      <c r="E457" s="70"/>
      <c r="F457" s="102" t="str">
        <f>HYPERLINK("https://yt3.ggpht.com/ytc/AOPolaR5ciLmO7mE0eP0kL2GUlEJFRYkNAHIKHYbVOOP6rKRq9EO--GvwNJ-xrBHdeUY=s88-c-k-c0x00ffffff-no-rj")</f>
        <v>https://yt3.ggpht.com/ytc/AOPolaR5ciLmO7mE0eP0kL2GUlEJFRYkNAHIKHYbVOOP6rKRq9EO--GvwNJ-xrBHdeUY=s88-c-k-c0x00ffffff-no-rj</v>
      </c>
      <c r="G457" s="67"/>
      <c r="H457" s="71" t="s">
        <v>1743</v>
      </c>
      <c r="I457" s="72"/>
      <c r="J457" s="72" t="s">
        <v>159</v>
      </c>
      <c r="K457" s="71" t="s">
        <v>1743</v>
      </c>
      <c r="L457" s="75">
        <v>1</v>
      </c>
      <c r="M457" s="76">
        <v>8404.9384765625</v>
      </c>
      <c r="N457" s="76">
        <v>2785.650390625</v>
      </c>
      <c r="O457" s="77"/>
      <c r="P457" s="78"/>
      <c r="Q457" s="78"/>
      <c r="R457" s="88"/>
      <c r="S457" s="49">
        <v>0</v>
      </c>
      <c r="T457" s="49">
        <v>1</v>
      </c>
      <c r="U457" s="50">
        <v>0</v>
      </c>
      <c r="V457" s="50">
        <v>0.010476</v>
      </c>
      <c r="W457" s="50">
        <v>0</v>
      </c>
      <c r="X457" s="50">
        <v>0.001596</v>
      </c>
      <c r="Y457" s="50">
        <v>0</v>
      </c>
      <c r="Z457" s="50">
        <v>0</v>
      </c>
      <c r="AA457" s="73">
        <v>457</v>
      </c>
      <c r="AB457" s="73"/>
      <c r="AC457" s="74"/>
      <c r="AD457" s="81" t="s">
        <v>1743</v>
      </c>
      <c r="AE457" s="81"/>
      <c r="AF457" s="81"/>
      <c r="AG457" s="81"/>
      <c r="AH457" s="81"/>
      <c r="AI457" s="81" t="s">
        <v>2473</v>
      </c>
      <c r="AJ457" s="85">
        <v>44979.647673611114</v>
      </c>
      <c r="AK457" s="83" t="str">
        <f>HYPERLINK("https://yt3.ggpht.com/ytc/AOPolaR5ciLmO7mE0eP0kL2GUlEJFRYkNAHIKHYbVOOP6rKRq9EO--GvwNJ-xrBHdeUY=s88-c-k-c0x00ffffff-no-rj")</f>
        <v>https://yt3.ggpht.com/ytc/AOPolaR5ciLmO7mE0eP0kL2GUlEJFRYkNAHIKHYbVOOP6rKRq9EO--GvwNJ-xrBHdeUY=s88-c-k-c0x00ffffff-no-rj</v>
      </c>
      <c r="AL457" s="81">
        <v>0</v>
      </c>
      <c r="AM457" s="81">
        <v>0</v>
      </c>
      <c r="AN457" s="81">
        <v>0</v>
      </c>
      <c r="AO457" s="81" t="b">
        <v>0</v>
      </c>
      <c r="AP457" s="81">
        <v>0</v>
      </c>
      <c r="AQ457" s="81"/>
      <c r="AR457" s="81"/>
      <c r="AS457" s="81" t="s">
        <v>2571</v>
      </c>
      <c r="AT457" s="83" t="str">
        <f>HYPERLINK("https://www.youtube.com/channel/UCqDUQ46mjsmQ_q-3qCiz2Kw")</f>
        <v>https://www.youtube.com/channel/UCqDUQ46mjsmQ_q-3qCiz2Kw</v>
      </c>
      <c r="AU457" s="81">
        <v>7</v>
      </c>
      <c r="AV457" s="49">
        <v>0</v>
      </c>
      <c r="AW457" s="50">
        <v>0</v>
      </c>
      <c r="AX457" s="49">
        <v>0</v>
      </c>
      <c r="AY457" s="50">
        <v>0</v>
      </c>
      <c r="AZ457" s="49">
        <v>0</v>
      </c>
      <c r="BA457" s="50">
        <v>0</v>
      </c>
      <c r="BB457" s="49">
        <v>7</v>
      </c>
      <c r="BC457" s="50">
        <v>36.8421052631579</v>
      </c>
      <c r="BD457" s="49">
        <v>19</v>
      </c>
      <c r="BE457" s="49"/>
      <c r="BF457" s="49"/>
      <c r="BG457" s="49"/>
      <c r="BH457" s="49"/>
      <c r="BI457" s="49"/>
      <c r="BJ457" s="49"/>
      <c r="BK457" s="115" t="s">
        <v>2980</v>
      </c>
      <c r="BL457" s="115" t="s">
        <v>2980</v>
      </c>
      <c r="BM457" s="115" t="s">
        <v>3424</v>
      </c>
      <c r="BN457" s="115" t="s">
        <v>3424</v>
      </c>
      <c r="BO457" s="2"/>
      <c r="BP457" s="3"/>
      <c r="BQ457" s="3"/>
      <c r="BR457" s="3"/>
      <c r="BS457" s="3"/>
    </row>
    <row r="458" spans="1:71" ht="15">
      <c r="A458" s="66" t="s">
        <v>675</v>
      </c>
      <c r="B458" s="67"/>
      <c r="C458" s="67"/>
      <c r="D458" s="68">
        <v>150</v>
      </c>
      <c r="E458" s="70"/>
      <c r="F458" s="102" t="str">
        <f>HYPERLINK("https://yt3.ggpht.com/ytc/AOPolaSKqbKmmilYL-YnNgNHuZfUFLdUpn6dpwRSwA=s88-c-k-c0x00ffffff-no-rj")</f>
        <v>https://yt3.ggpht.com/ytc/AOPolaSKqbKmmilYL-YnNgNHuZfUFLdUpn6dpwRSwA=s88-c-k-c0x00ffffff-no-rj</v>
      </c>
      <c r="G458" s="67"/>
      <c r="H458" s="71" t="s">
        <v>1744</v>
      </c>
      <c r="I458" s="72"/>
      <c r="J458" s="72" t="s">
        <v>159</v>
      </c>
      <c r="K458" s="71" t="s">
        <v>1744</v>
      </c>
      <c r="L458" s="75">
        <v>1</v>
      </c>
      <c r="M458" s="76">
        <v>8118.513671875</v>
      </c>
      <c r="N458" s="76">
        <v>3295.6298828125</v>
      </c>
      <c r="O458" s="77"/>
      <c r="P458" s="78"/>
      <c r="Q458" s="78"/>
      <c r="R458" s="88"/>
      <c r="S458" s="49">
        <v>0</v>
      </c>
      <c r="T458" s="49">
        <v>1</v>
      </c>
      <c r="U458" s="50">
        <v>0</v>
      </c>
      <c r="V458" s="50">
        <v>0.010476</v>
      </c>
      <c r="W458" s="50">
        <v>0</v>
      </c>
      <c r="X458" s="50">
        <v>0.001596</v>
      </c>
      <c r="Y458" s="50">
        <v>0</v>
      </c>
      <c r="Z458" s="50">
        <v>0</v>
      </c>
      <c r="AA458" s="73">
        <v>458</v>
      </c>
      <c r="AB458" s="73"/>
      <c r="AC458" s="74"/>
      <c r="AD458" s="81" t="s">
        <v>1744</v>
      </c>
      <c r="AE458" s="81"/>
      <c r="AF458" s="81"/>
      <c r="AG458" s="81"/>
      <c r="AH458" s="81"/>
      <c r="AI458" s="81" t="s">
        <v>2474</v>
      </c>
      <c r="AJ458" s="85">
        <v>43673.68798611111</v>
      </c>
      <c r="AK458" s="83" t="str">
        <f>HYPERLINK("https://yt3.ggpht.com/ytc/AOPolaSKqbKmmilYL-YnNgNHuZfUFLdUpn6dpwRSwA=s88-c-k-c0x00ffffff-no-rj")</f>
        <v>https://yt3.ggpht.com/ytc/AOPolaSKqbKmmilYL-YnNgNHuZfUFLdUpn6dpwRSwA=s88-c-k-c0x00ffffff-no-rj</v>
      </c>
      <c r="AL458" s="81">
        <v>0</v>
      </c>
      <c r="AM458" s="81">
        <v>0</v>
      </c>
      <c r="AN458" s="81">
        <v>0</v>
      </c>
      <c r="AO458" s="81" t="b">
        <v>0</v>
      </c>
      <c r="AP458" s="81">
        <v>0</v>
      </c>
      <c r="AQ458" s="81"/>
      <c r="AR458" s="81"/>
      <c r="AS458" s="81" t="s">
        <v>2571</v>
      </c>
      <c r="AT458" s="83" t="str">
        <f>HYPERLINK("https://www.youtube.com/channel/UC1xRO5b_pOmY1lMSKUCNpQA")</f>
        <v>https://www.youtube.com/channel/UC1xRO5b_pOmY1lMSKUCNpQA</v>
      </c>
      <c r="AU458" s="81">
        <v>7</v>
      </c>
      <c r="AV458" s="49">
        <v>1</v>
      </c>
      <c r="AW458" s="50">
        <v>9.090909090909092</v>
      </c>
      <c r="AX458" s="49">
        <v>0</v>
      </c>
      <c r="AY458" s="50">
        <v>0</v>
      </c>
      <c r="AZ458" s="49">
        <v>0</v>
      </c>
      <c r="BA458" s="50">
        <v>0</v>
      </c>
      <c r="BB458" s="49">
        <v>6</v>
      </c>
      <c r="BC458" s="50">
        <v>54.54545454545455</v>
      </c>
      <c r="BD458" s="49">
        <v>11</v>
      </c>
      <c r="BE458" s="49"/>
      <c r="BF458" s="49"/>
      <c r="BG458" s="49"/>
      <c r="BH458" s="49"/>
      <c r="BI458" s="49"/>
      <c r="BJ458" s="49"/>
      <c r="BK458" s="115" t="s">
        <v>2981</v>
      </c>
      <c r="BL458" s="115" t="s">
        <v>2981</v>
      </c>
      <c r="BM458" s="115" t="s">
        <v>3425</v>
      </c>
      <c r="BN458" s="115" t="s">
        <v>3425</v>
      </c>
      <c r="BO458" s="2"/>
      <c r="BP458" s="3"/>
      <c r="BQ458" s="3"/>
      <c r="BR458" s="3"/>
      <c r="BS458" s="3"/>
    </row>
    <row r="459" spans="1:71" ht="15">
      <c r="A459" s="66" t="s">
        <v>676</v>
      </c>
      <c r="B459" s="67"/>
      <c r="C459" s="67"/>
      <c r="D459" s="68">
        <v>150</v>
      </c>
      <c r="E459" s="70"/>
      <c r="F459" s="102" t="str">
        <f>HYPERLINK("https://yt3.ggpht.com/ytc/AOPolaRH2j6BLbkDLCUY2DKxUjSPsq1ZYi_o62Q_X2vJ2g=s88-c-k-c0x00ffffff-no-rj")</f>
        <v>https://yt3.ggpht.com/ytc/AOPolaRH2j6BLbkDLCUY2DKxUjSPsq1ZYi_o62Q_X2vJ2g=s88-c-k-c0x00ffffff-no-rj</v>
      </c>
      <c r="G459" s="67"/>
      <c r="H459" s="71" t="s">
        <v>1745</v>
      </c>
      <c r="I459" s="72"/>
      <c r="J459" s="72" t="s">
        <v>159</v>
      </c>
      <c r="K459" s="71" t="s">
        <v>1745</v>
      </c>
      <c r="L459" s="75">
        <v>1</v>
      </c>
      <c r="M459" s="76">
        <v>8883.705078125</v>
      </c>
      <c r="N459" s="76">
        <v>2672.146484375</v>
      </c>
      <c r="O459" s="77"/>
      <c r="P459" s="78"/>
      <c r="Q459" s="78"/>
      <c r="R459" s="88"/>
      <c r="S459" s="49">
        <v>0</v>
      </c>
      <c r="T459" s="49">
        <v>1</v>
      </c>
      <c r="U459" s="50">
        <v>0</v>
      </c>
      <c r="V459" s="50">
        <v>0.010476</v>
      </c>
      <c r="W459" s="50">
        <v>0</v>
      </c>
      <c r="X459" s="50">
        <v>0.001596</v>
      </c>
      <c r="Y459" s="50">
        <v>0</v>
      </c>
      <c r="Z459" s="50">
        <v>0</v>
      </c>
      <c r="AA459" s="73">
        <v>459</v>
      </c>
      <c r="AB459" s="73"/>
      <c r="AC459" s="74"/>
      <c r="AD459" s="81" t="s">
        <v>1745</v>
      </c>
      <c r="AE459" s="81"/>
      <c r="AF459" s="81"/>
      <c r="AG459" s="81"/>
      <c r="AH459" s="81"/>
      <c r="AI459" s="81" t="s">
        <v>2475</v>
      </c>
      <c r="AJ459" s="85">
        <v>41448.01788194444</v>
      </c>
      <c r="AK459" s="83" t="str">
        <f>HYPERLINK("https://yt3.ggpht.com/ytc/AOPolaRH2j6BLbkDLCUY2DKxUjSPsq1ZYi_o62Q_X2vJ2g=s88-c-k-c0x00ffffff-no-rj")</f>
        <v>https://yt3.ggpht.com/ytc/AOPolaRH2j6BLbkDLCUY2DKxUjSPsq1ZYi_o62Q_X2vJ2g=s88-c-k-c0x00ffffff-no-rj</v>
      </c>
      <c r="AL459" s="81">
        <v>0</v>
      </c>
      <c r="AM459" s="81">
        <v>0</v>
      </c>
      <c r="AN459" s="81">
        <v>0</v>
      </c>
      <c r="AO459" s="81" t="b">
        <v>0</v>
      </c>
      <c r="AP459" s="81">
        <v>0</v>
      </c>
      <c r="AQ459" s="81"/>
      <c r="AR459" s="81"/>
      <c r="AS459" s="81" t="s">
        <v>2571</v>
      </c>
      <c r="AT459" s="83" t="str">
        <f>HYPERLINK("https://www.youtube.com/channel/UCgU61elVyVxGxkkji2CC48w")</f>
        <v>https://www.youtube.com/channel/UCgU61elVyVxGxkkji2CC48w</v>
      </c>
      <c r="AU459" s="81">
        <v>7</v>
      </c>
      <c r="AV459" s="49">
        <v>0</v>
      </c>
      <c r="AW459" s="50">
        <v>0</v>
      </c>
      <c r="AX459" s="49">
        <v>0</v>
      </c>
      <c r="AY459" s="50">
        <v>0</v>
      </c>
      <c r="AZ459" s="49">
        <v>0</v>
      </c>
      <c r="BA459" s="50">
        <v>0</v>
      </c>
      <c r="BB459" s="49">
        <v>4</v>
      </c>
      <c r="BC459" s="50">
        <v>40</v>
      </c>
      <c r="BD459" s="49">
        <v>10</v>
      </c>
      <c r="BE459" s="49"/>
      <c r="BF459" s="49"/>
      <c r="BG459" s="49"/>
      <c r="BH459" s="49"/>
      <c r="BI459" s="49"/>
      <c r="BJ459" s="49"/>
      <c r="BK459" s="115" t="s">
        <v>2982</v>
      </c>
      <c r="BL459" s="115" t="s">
        <v>2982</v>
      </c>
      <c r="BM459" s="115" t="s">
        <v>3426</v>
      </c>
      <c r="BN459" s="115" t="s">
        <v>3426</v>
      </c>
      <c r="BO459" s="2"/>
      <c r="BP459" s="3"/>
      <c r="BQ459" s="3"/>
      <c r="BR459" s="3"/>
      <c r="BS459" s="3"/>
    </row>
    <row r="460" spans="1:71" ht="15">
      <c r="A460" s="66" t="s">
        <v>677</v>
      </c>
      <c r="B460" s="67"/>
      <c r="C460" s="67"/>
      <c r="D460" s="68">
        <v>150</v>
      </c>
      <c r="E460" s="70"/>
      <c r="F460" s="102" t="str">
        <f>HYPERLINK("https://yt3.ggpht.com/ytc/AOPolaSrHP0KclEnLJCEI3C3mt-xno2kHBrJ2V4ing=s88-c-k-c0x00ffffff-no-rj")</f>
        <v>https://yt3.ggpht.com/ytc/AOPolaSrHP0KclEnLJCEI3C3mt-xno2kHBrJ2V4ing=s88-c-k-c0x00ffffff-no-rj</v>
      </c>
      <c r="G460" s="67"/>
      <c r="H460" s="71" t="s">
        <v>1746</v>
      </c>
      <c r="I460" s="72"/>
      <c r="J460" s="72" t="s">
        <v>159</v>
      </c>
      <c r="K460" s="71" t="s">
        <v>1746</v>
      </c>
      <c r="L460" s="75">
        <v>1</v>
      </c>
      <c r="M460" s="76">
        <v>9803.884765625</v>
      </c>
      <c r="N460" s="76">
        <v>2896.974609375</v>
      </c>
      <c r="O460" s="77"/>
      <c r="P460" s="78"/>
      <c r="Q460" s="78"/>
      <c r="R460" s="88"/>
      <c r="S460" s="49">
        <v>0</v>
      </c>
      <c r="T460" s="49">
        <v>1</v>
      </c>
      <c r="U460" s="50">
        <v>0</v>
      </c>
      <c r="V460" s="50">
        <v>0.010476</v>
      </c>
      <c r="W460" s="50">
        <v>0</v>
      </c>
      <c r="X460" s="50">
        <v>0.001596</v>
      </c>
      <c r="Y460" s="50">
        <v>0</v>
      </c>
      <c r="Z460" s="50">
        <v>0</v>
      </c>
      <c r="AA460" s="73">
        <v>460</v>
      </c>
      <c r="AB460" s="73"/>
      <c r="AC460" s="74"/>
      <c r="AD460" s="81" t="s">
        <v>1746</v>
      </c>
      <c r="AE460" s="81" t="s">
        <v>1997</v>
      </c>
      <c r="AF460" s="81"/>
      <c r="AG460" s="81"/>
      <c r="AH460" s="81"/>
      <c r="AI460" s="81" t="s">
        <v>2476</v>
      </c>
      <c r="AJ460" s="85">
        <v>42998.69378472222</v>
      </c>
      <c r="AK460" s="83" t="str">
        <f>HYPERLINK("https://yt3.ggpht.com/ytc/AOPolaSrHP0KclEnLJCEI3C3mt-xno2kHBrJ2V4ing=s88-c-k-c0x00ffffff-no-rj")</f>
        <v>https://yt3.ggpht.com/ytc/AOPolaSrHP0KclEnLJCEI3C3mt-xno2kHBrJ2V4ing=s88-c-k-c0x00ffffff-no-rj</v>
      </c>
      <c r="AL460" s="81">
        <v>0</v>
      </c>
      <c r="AM460" s="81">
        <v>0</v>
      </c>
      <c r="AN460" s="81">
        <v>0</v>
      </c>
      <c r="AO460" s="81" t="b">
        <v>0</v>
      </c>
      <c r="AP460" s="81">
        <v>1</v>
      </c>
      <c r="AQ460" s="81"/>
      <c r="AR460" s="81"/>
      <c r="AS460" s="81" t="s">
        <v>2571</v>
      </c>
      <c r="AT460" s="83" t="str">
        <f>HYPERLINK("https://www.youtube.com/channel/UCjOfdA1KzgHwW4zsFMZmALw")</f>
        <v>https://www.youtube.com/channel/UCjOfdA1KzgHwW4zsFMZmALw</v>
      </c>
      <c r="AU460" s="81">
        <v>7</v>
      </c>
      <c r="AV460" s="49">
        <v>0</v>
      </c>
      <c r="AW460" s="50">
        <v>0</v>
      </c>
      <c r="AX460" s="49">
        <v>1</v>
      </c>
      <c r="AY460" s="50">
        <v>3.4482758620689653</v>
      </c>
      <c r="AZ460" s="49">
        <v>0</v>
      </c>
      <c r="BA460" s="50">
        <v>0</v>
      </c>
      <c r="BB460" s="49">
        <v>4</v>
      </c>
      <c r="BC460" s="50">
        <v>13.793103448275861</v>
      </c>
      <c r="BD460" s="49">
        <v>29</v>
      </c>
      <c r="BE460" s="49"/>
      <c r="BF460" s="49"/>
      <c r="BG460" s="49"/>
      <c r="BH460" s="49"/>
      <c r="BI460" s="49"/>
      <c r="BJ460" s="49"/>
      <c r="BK460" s="115" t="s">
        <v>2983</v>
      </c>
      <c r="BL460" s="115" t="s">
        <v>2983</v>
      </c>
      <c r="BM460" s="115" t="s">
        <v>3427</v>
      </c>
      <c r="BN460" s="115" t="s">
        <v>3427</v>
      </c>
      <c r="BO460" s="2"/>
      <c r="BP460" s="3"/>
      <c r="BQ460" s="3"/>
      <c r="BR460" s="3"/>
      <c r="BS460" s="3"/>
    </row>
    <row r="461" spans="1:71" ht="15">
      <c r="A461" s="66" t="s">
        <v>678</v>
      </c>
      <c r="B461" s="67"/>
      <c r="C461" s="67"/>
      <c r="D461" s="68">
        <v>150</v>
      </c>
      <c r="E461" s="70"/>
      <c r="F461" s="102" t="str">
        <f>HYPERLINK("https://yt3.ggpht.com/ymWxniYeYn450Rm8OeaYBG5lKq8hzF4uF-2b1RXnZUZ6qs2L4hlo4WsOyQjILTjFcqqPpKDPAw=s88-c-k-c0x00ffffff-no-rj")</f>
        <v>https://yt3.ggpht.com/ymWxniYeYn450Rm8OeaYBG5lKq8hzF4uF-2b1RXnZUZ6qs2L4hlo4WsOyQjILTjFcqqPpKDPAw=s88-c-k-c0x00ffffff-no-rj</v>
      </c>
      <c r="G461" s="67"/>
      <c r="H461" s="71" t="s">
        <v>1747</v>
      </c>
      <c r="I461" s="72"/>
      <c r="J461" s="72" t="s">
        <v>159</v>
      </c>
      <c r="K461" s="71" t="s">
        <v>1747</v>
      </c>
      <c r="L461" s="75">
        <v>1</v>
      </c>
      <c r="M461" s="76">
        <v>8392.3310546875</v>
      </c>
      <c r="N461" s="76">
        <v>3530.26708984375</v>
      </c>
      <c r="O461" s="77"/>
      <c r="P461" s="78"/>
      <c r="Q461" s="78"/>
      <c r="R461" s="88"/>
      <c r="S461" s="49">
        <v>0</v>
      </c>
      <c r="T461" s="49">
        <v>1</v>
      </c>
      <c r="U461" s="50">
        <v>0</v>
      </c>
      <c r="V461" s="50">
        <v>0.010476</v>
      </c>
      <c r="W461" s="50">
        <v>0</v>
      </c>
      <c r="X461" s="50">
        <v>0.001596</v>
      </c>
      <c r="Y461" s="50">
        <v>0</v>
      </c>
      <c r="Z461" s="50">
        <v>0</v>
      </c>
      <c r="AA461" s="73">
        <v>461</v>
      </c>
      <c r="AB461" s="73"/>
      <c r="AC461" s="74"/>
      <c r="AD461" s="81" t="s">
        <v>1747</v>
      </c>
      <c r="AE461" s="81"/>
      <c r="AF461" s="81"/>
      <c r="AG461" s="81"/>
      <c r="AH461" s="81"/>
      <c r="AI461" s="81" t="s">
        <v>2477</v>
      </c>
      <c r="AJ461" s="85">
        <v>44964.919224537036</v>
      </c>
      <c r="AK461" s="83" t="str">
        <f>HYPERLINK("https://yt3.ggpht.com/ymWxniYeYn450Rm8OeaYBG5lKq8hzF4uF-2b1RXnZUZ6qs2L4hlo4WsOyQjILTjFcqqPpKDPAw=s88-c-k-c0x00ffffff-no-rj")</f>
        <v>https://yt3.ggpht.com/ymWxniYeYn450Rm8OeaYBG5lKq8hzF4uF-2b1RXnZUZ6qs2L4hlo4WsOyQjILTjFcqqPpKDPAw=s88-c-k-c0x00ffffff-no-rj</v>
      </c>
      <c r="AL461" s="81">
        <v>0</v>
      </c>
      <c r="AM461" s="81">
        <v>0</v>
      </c>
      <c r="AN461" s="81">
        <v>0</v>
      </c>
      <c r="AO461" s="81" t="b">
        <v>0</v>
      </c>
      <c r="AP461" s="81">
        <v>0</v>
      </c>
      <c r="AQ461" s="81"/>
      <c r="AR461" s="81"/>
      <c r="AS461" s="81" t="s">
        <v>2571</v>
      </c>
      <c r="AT461" s="83" t="str">
        <f>HYPERLINK("https://www.youtube.com/channel/UCcndhjlrsFV4Yr29aBFo9Uw")</f>
        <v>https://www.youtube.com/channel/UCcndhjlrsFV4Yr29aBFo9Uw</v>
      </c>
      <c r="AU461" s="81">
        <v>7</v>
      </c>
      <c r="AV461" s="49">
        <v>0</v>
      </c>
      <c r="AW461" s="50">
        <v>0</v>
      </c>
      <c r="AX461" s="49">
        <v>0</v>
      </c>
      <c r="AY461" s="50">
        <v>0</v>
      </c>
      <c r="AZ461" s="49">
        <v>0</v>
      </c>
      <c r="BA461" s="50">
        <v>0</v>
      </c>
      <c r="BB461" s="49">
        <v>3</v>
      </c>
      <c r="BC461" s="50">
        <v>30</v>
      </c>
      <c r="BD461" s="49">
        <v>10</v>
      </c>
      <c r="BE461" s="49"/>
      <c r="BF461" s="49"/>
      <c r="BG461" s="49"/>
      <c r="BH461" s="49"/>
      <c r="BI461" s="49"/>
      <c r="BJ461" s="49"/>
      <c r="BK461" s="115" t="s">
        <v>2984</v>
      </c>
      <c r="BL461" s="115" t="s">
        <v>2984</v>
      </c>
      <c r="BM461" s="115" t="s">
        <v>3428</v>
      </c>
      <c r="BN461" s="115" t="s">
        <v>3428</v>
      </c>
      <c r="BO461" s="2"/>
      <c r="BP461" s="3"/>
      <c r="BQ461" s="3"/>
      <c r="BR461" s="3"/>
      <c r="BS461" s="3"/>
    </row>
    <row r="462" spans="1:71" ht="15">
      <c r="A462" s="66" t="s">
        <v>679</v>
      </c>
      <c r="B462" s="67"/>
      <c r="C462" s="67"/>
      <c r="D462" s="68">
        <v>150</v>
      </c>
      <c r="E462" s="70"/>
      <c r="F462" s="102" t="str">
        <f>HYPERLINK("https://yt3.ggpht.com/ytc/AOPolaSm93_1qHsaW4nshE3P2p-C3xzjfQbOyvgmFaCgkX6FETtH-a6uGBNO0JbOIAhV=s88-c-k-c0x00ffffff-no-rj")</f>
        <v>https://yt3.ggpht.com/ytc/AOPolaSm93_1qHsaW4nshE3P2p-C3xzjfQbOyvgmFaCgkX6FETtH-a6uGBNO0JbOIAhV=s88-c-k-c0x00ffffff-no-rj</v>
      </c>
      <c r="G462" s="67"/>
      <c r="H462" s="71" t="s">
        <v>1748</v>
      </c>
      <c r="I462" s="72"/>
      <c r="J462" s="72" t="s">
        <v>159</v>
      </c>
      <c r="K462" s="71" t="s">
        <v>1748</v>
      </c>
      <c r="L462" s="75">
        <v>1</v>
      </c>
      <c r="M462" s="76">
        <v>9869.3115234375</v>
      </c>
      <c r="N462" s="76">
        <v>3168.077392578125</v>
      </c>
      <c r="O462" s="77"/>
      <c r="P462" s="78"/>
      <c r="Q462" s="78"/>
      <c r="R462" s="88"/>
      <c r="S462" s="49">
        <v>0</v>
      </c>
      <c r="T462" s="49">
        <v>1</v>
      </c>
      <c r="U462" s="50">
        <v>0</v>
      </c>
      <c r="V462" s="50">
        <v>0.010476</v>
      </c>
      <c r="W462" s="50">
        <v>0</v>
      </c>
      <c r="X462" s="50">
        <v>0.001596</v>
      </c>
      <c r="Y462" s="50">
        <v>0</v>
      </c>
      <c r="Z462" s="50">
        <v>0</v>
      </c>
      <c r="AA462" s="73">
        <v>462</v>
      </c>
      <c r="AB462" s="73"/>
      <c r="AC462" s="74"/>
      <c r="AD462" s="81" t="s">
        <v>1748</v>
      </c>
      <c r="AE462" s="81"/>
      <c r="AF462" s="81"/>
      <c r="AG462" s="81"/>
      <c r="AH462" s="81"/>
      <c r="AI462" s="81" t="s">
        <v>2478</v>
      </c>
      <c r="AJ462" s="85">
        <v>45085.3353125</v>
      </c>
      <c r="AK462" s="83" t="str">
        <f>HYPERLINK("https://yt3.ggpht.com/ytc/AOPolaSm93_1qHsaW4nshE3P2p-C3xzjfQbOyvgmFaCgkX6FETtH-a6uGBNO0JbOIAhV=s88-c-k-c0x00ffffff-no-rj")</f>
        <v>https://yt3.ggpht.com/ytc/AOPolaSm93_1qHsaW4nshE3P2p-C3xzjfQbOyvgmFaCgkX6FETtH-a6uGBNO0JbOIAhV=s88-c-k-c0x00ffffff-no-rj</v>
      </c>
      <c r="AL462" s="81">
        <v>0</v>
      </c>
      <c r="AM462" s="81">
        <v>0</v>
      </c>
      <c r="AN462" s="81">
        <v>0</v>
      </c>
      <c r="AO462" s="81" t="b">
        <v>0</v>
      </c>
      <c r="AP462" s="81">
        <v>0</v>
      </c>
      <c r="AQ462" s="81"/>
      <c r="AR462" s="81"/>
      <c r="AS462" s="81" t="s">
        <v>2571</v>
      </c>
      <c r="AT462" s="83" t="str">
        <f>HYPERLINK("https://www.youtube.com/channel/UCRZy7IXMuEE1OEeTLkvmlfw")</f>
        <v>https://www.youtube.com/channel/UCRZy7IXMuEE1OEeTLkvmlfw</v>
      </c>
      <c r="AU462" s="81">
        <v>7</v>
      </c>
      <c r="AV462" s="49">
        <v>0</v>
      </c>
      <c r="AW462" s="50">
        <v>0</v>
      </c>
      <c r="AX462" s="49">
        <v>0</v>
      </c>
      <c r="AY462" s="50">
        <v>0</v>
      </c>
      <c r="AZ462" s="49">
        <v>0</v>
      </c>
      <c r="BA462" s="50">
        <v>0</v>
      </c>
      <c r="BB462" s="49">
        <v>4</v>
      </c>
      <c r="BC462" s="50">
        <v>50</v>
      </c>
      <c r="BD462" s="49">
        <v>8</v>
      </c>
      <c r="BE462" s="49"/>
      <c r="BF462" s="49"/>
      <c r="BG462" s="49"/>
      <c r="BH462" s="49"/>
      <c r="BI462" s="49"/>
      <c r="BJ462" s="49"/>
      <c r="BK462" s="115" t="s">
        <v>2985</v>
      </c>
      <c r="BL462" s="115" t="s">
        <v>2985</v>
      </c>
      <c r="BM462" s="115" t="s">
        <v>3429</v>
      </c>
      <c r="BN462" s="115" t="s">
        <v>3429</v>
      </c>
      <c r="BO462" s="2"/>
      <c r="BP462" s="3"/>
      <c r="BQ462" s="3"/>
      <c r="BR462" s="3"/>
      <c r="BS462" s="3"/>
    </row>
    <row r="463" spans="1:71" ht="15">
      <c r="A463" s="66" t="s">
        <v>681</v>
      </c>
      <c r="B463" s="67"/>
      <c r="C463" s="67"/>
      <c r="D463" s="68">
        <v>150</v>
      </c>
      <c r="E463" s="70"/>
      <c r="F463" s="102" t="str">
        <f>HYPERLINK("https://yt3.ggpht.com/r6j9HdU8FT3IqbsCaQ8KFH8oAG2c2Fw8ejHIZoSN8Le67nPOcmbA5bHUksmGIyHkMjJBDro71bM=s88-c-k-c0x00ffffff-no-rj")</f>
        <v>https://yt3.ggpht.com/r6j9HdU8FT3IqbsCaQ8KFH8oAG2c2Fw8ejHIZoSN8Le67nPOcmbA5bHUksmGIyHkMjJBDro71bM=s88-c-k-c0x00ffffff-no-rj</v>
      </c>
      <c r="G463" s="67"/>
      <c r="H463" s="71" t="s">
        <v>1749</v>
      </c>
      <c r="I463" s="72"/>
      <c r="J463" s="72" t="s">
        <v>159</v>
      </c>
      <c r="K463" s="71" t="s">
        <v>1749</v>
      </c>
      <c r="L463" s="75">
        <v>1</v>
      </c>
      <c r="M463" s="76">
        <v>9372.2392578125</v>
      </c>
      <c r="N463" s="76">
        <v>3605.574462890625</v>
      </c>
      <c r="O463" s="77"/>
      <c r="P463" s="78"/>
      <c r="Q463" s="78"/>
      <c r="R463" s="88"/>
      <c r="S463" s="49">
        <v>0</v>
      </c>
      <c r="T463" s="49">
        <v>1</v>
      </c>
      <c r="U463" s="50">
        <v>0</v>
      </c>
      <c r="V463" s="50">
        <v>0.010476</v>
      </c>
      <c r="W463" s="50">
        <v>0</v>
      </c>
      <c r="X463" s="50">
        <v>0.001596</v>
      </c>
      <c r="Y463" s="50">
        <v>0</v>
      </c>
      <c r="Z463" s="50">
        <v>0</v>
      </c>
      <c r="AA463" s="73">
        <v>463</v>
      </c>
      <c r="AB463" s="73"/>
      <c r="AC463" s="74"/>
      <c r="AD463" s="81" t="s">
        <v>1749</v>
      </c>
      <c r="AE463" s="81"/>
      <c r="AF463" s="81"/>
      <c r="AG463" s="81"/>
      <c r="AH463" s="81"/>
      <c r="AI463" s="81" t="s">
        <v>2479</v>
      </c>
      <c r="AJ463" s="85">
        <v>44960.57320601852</v>
      </c>
      <c r="AK463" s="83" t="str">
        <f>HYPERLINK("https://yt3.ggpht.com/r6j9HdU8FT3IqbsCaQ8KFH8oAG2c2Fw8ejHIZoSN8Le67nPOcmbA5bHUksmGIyHkMjJBDro71bM=s88-c-k-c0x00ffffff-no-rj")</f>
        <v>https://yt3.ggpht.com/r6j9HdU8FT3IqbsCaQ8KFH8oAG2c2Fw8ejHIZoSN8Le67nPOcmbA5bHUksmGIyHkMjJBDro71bM=s88-c-k-c0x00ffffff-no-rj</v>
      </c>
      <c r="AL463" s="81">
        <v>0</v>
      </c>
      <c r="AM463" s="81">
        <v>0</v>
      </c>
      <c r="AN463" s="81">
        <v>0</v>
      </c>
      <c r="AO463" s="81" t="b">
        <v>0</v>
      </c>
      <c r="AP463" s="81">
        <v>0</v>
      </c>
      <c r="AQ463" s="81"/>
      <c r="AR463" s="81"/>
      <c r="AS463" s="81" t="s">
        <v>2571</v>
      </c>
      <c r="AT463" s="83" t="str">
        <f>HYPERLINK("https://www.youtube.com/channel/UCEBLRxDfnpw6KYChcCy5uVA")</f>
        <v>https://www.youtube.com/channel/UCEBLRxDfnpw6KYChcCy5uVA</v>
      </c>
      <c r="AU463" s="81">
        <v>7</v>
      </c>
      <c r="AV463" s="49">
        <v>0</v>
      </c>
      <c r="AW463" s="50">
        <v>0</v>
      </c>
      <c r="AX463" s="49">
        <v>0</v>
      </c>
      <c r="AY463" s="50">
        <v>0</v>
      </c>
      <c r="AZ463" s="49">
        <v>0</v>
      </c>
      <c r="BA463" s="50">
        <v>0</v>
      </c>
      <c r="BB463" s="49">
        <v>7</v>
      </c>
      <c r="BC463" s="50">
        <v>24.137931034482758</v>
      </c>
      <c r="BD463" s="49">
        <v>29</v>
      </c>
      <c r="BE463" s="49"/>
      <c r="BF463" s="49"/>
      <c r="BG463" s="49"/>
      <c r="BH463" s="49"/>
      <c r="BI463" s="49"/>
      <c r="BJ463" s="49"/>
      <c r="BK463" s="115" t="s">
        <v>2986</v>
      </c>
      <c r="BL463" s="115" t="s">
        <v>2986</v>
      </c>
      <c r="BM463" s="115" t="s">
        <v>3430</v>
      </c>
      <c r="BN463" s="115" t="s">
        <v>3430</v>
      </c>
      <c r="BO463" s="2"/>
      <c r="BP463" s="3"/>
      <c r="BQ463" s="3"/>
      <c r="BR463" s="3"/>
      <c r="BS463" s="3"/>
    </row>
    <row r="464" spans="1:71" ht="15">
      <c r="A464" s="66" t="s">
        <v>682</v>
      </c>
      <c r="B464" s="67"/>
      <c r="C464" s="67"/>
      <c r="D464" s="68">
        <v>150</v>
      </c>
      <c r="E464" s="70"/>
      <c r="F464" s="102" t="str">
        <f>HYPERLINK("https://yt3.ggpht.com/ytc/AOPolaSva7b5jhaBoQ1S0onSwJrMrMXPwN0SVgdvhd_H1O8K9lxxe_VnbcNNIoJJ1tCW=s88-c-k-c0x00ffffff-no-rj")</f>
        <v>https://yt3.ggpht.com/ytc/AOPolaSva7b5jhaBoQ1S0onSwJrMrMXPwN0SVgdvhd_H1O8K9lxxe_VnbcNNIoJJ1tCW=s88-c-k-c0x00ffffff-no-rj</v>
      </c>
      <c r="G464" s="67"/>
      <c r="H464" s="71" t="s">
        <v>1750</v>
      </c>
      <c r="I464" s="72"/>
      <c r="J464" s="72" t="s">
        <v>159</v>
      </c>
      <c r="K464" s="71" t="s">
        <v>1750</v>
      </c>
      <c r="L464" s="75">
        <v>1</v>
      </c>
      <c r="M464" s="76">
        <v>9733.1376953125</v>
      </c>
      <c r="N464" s="76">
        <v>1124.169189453125</v>
      </c>
      <c r="O464" s="77"/>
      <c r="P464" s="78"/>
      <c r="Q464" s="78"/>
      <c r="R464" s="88"/>
      <c r="S464" s="49">
        <v>0</v>
      </c>
      <c r="T464" s="49">
        <v>1</v>
      </c>
      <c r="U464" s="50">
        <v>0</v>
      </c>
      <c r="V464" s="50">
        <v>0.001818</v>
      </c>
      <c r="W464" s="50">
        <v>0</v>
      </c>
      <c r="X464" s="50">
        <v>0.001688</v>
      </c>
      <c r="Y464" s="50">
        <v>0</v>
      </c>
      <c r="Z464" s="50">
        <v>0</v>
      </c>
      <c r="AA464" s="73">
        <v>464</v>
      </c>
      <c r="AB464" s="73"/>
      <c r="AC464" s="74"/>
      <c r="AD464" s="81" t="s">
        <v>1750</v>
      </c>
      <c r="AE464" s="81"/>
      <c r="AF464" s="81"/>
      <c r="AG464" s="81"/>
      <c r="AH464" s="81"/>
      <c r="AI464" s="81" t="s">
        <v>2480</v>
      </c>
      <c r="AJ464" s="85">
        <v>44944.839537037034</v>
      </c>
      <c r="AK464" s="83" t="str">
        <f>HYPERLINK("https://yt3.ggpht.com/ytc/AOPolaSva7b5jhaBoQ1S0onSwJrMrMXPwN0SVgdvhd_H1O8K9lxxe_VnbcNNIoJJ1tCW=s88-c-k-c0x00ffffff-no-rj")</f>
        <v>https://yt3.ggpht.com/ytc/AOPolaSva7b5jhaBoQ1S0onSwJrMrMXPwN0SVgdvhd_H1O8K9lxxe_VnbcNNIoJJ1tCW=s88-c-k-c0x00ffffff-no-rj</v>
      </c>
      <c r="AL464" s="81">
        <v>0</v>
      </c>
      <c r="AM464" s="81">
        <v>0</v>
      </c>
      <c r="AN464" s="81">
        <v>0</v>
      </c>
      <c r="AO464" s="81" t="b">
        <v>0</v>
      </c>
      <c r="AP464" s="81">
        <v>0</v>
      </c>
      <c r="AQ464" s="81"/>
      <c r="AR464" s="81"/>
      <c r="AS464" s="81" t="s">
        <v>2571</v>
      </c>
      <c r="AT464" s="83" t="str">
        <f>HYPERLINK("https://www.youtube.com/channel/UCEqFPaBdYvPflg9x0ahKARw")</f>
        <v>https://www.youtube.com/channel/UCEqFPaBdYvPflg9x0ahKARw</v>
      </c>
      <c r="AU464" s="81">
        <v>13</v>
      </c>
      <c r="AV464" s="49">
        <v>3</v>
      </c>
      <c r="AW464" s="50">
        <v>16.666666666666668</v>
      </c>
      <c r="AX464" s="49">
        <v>1</v>
      </c>
      <c r="AY464" s="50">
        <v>5.555555555555555</v>
      </c>
      <c r="AZ464" s="49">
        <v>0</v>
      </c>
      <c r="BA464" s="50">
        <v>0</v>
      </c>
      <c r="BB464" s="49">
        <v>3</v>
      </c>
      <c r="BC464" s="50">
        <v>16.666666666666668</v>
      </c>
      <c r="BD464" s="49">
        <v>18</v>
      </c>
      <c r="BE464" s="49"/>
      <c r="BF464" s="49"/>
      <c r="BG464" s="49"/>
      <c r="BH464" s="49"/>
      <c r="BI464" s="49"/>
      <c r="BJ464" s="49"/>
      <c r="BK464" s="115" t="s">
        <v>2987</v>
      </c>
      <c r="BL464" s="115" t="s">
        <v>2987</v>
      </c>
      <c r="BM464" s="115" t="s">
        <v>3431</v>
      </c>
      <c r="BN464" s="115" t="s">
        <v>3431</v>
      </c>
      <c r="BO464" s="2"/>
      <c r="BP464" s="3"/>
      <c r="BQ464" s="3"/>
      <c r="BR464" s="3"/>
      <c r="BS464" s="3"/>
    </row>
    <row r="465" spans="1:71" ht="15">
      <c r="A465" s="66" t="s">
        <v>683</v>
      </c>
      <c r="B465" s="67"/>
      <c r="C465" s="67"/>
      <c r="D465" s="68">
        <v>150</v>
      </c>
      <c r="E465" s="70"/>
      <c r="F465" s="102" t="str">
        <f>HYPERLINK("https://yt3.ggpht.com/rUoTzv-GS1x-yz8pFA2rvrNTWsZtBcktlql9HATP0bxIOHU-uWBO9W2b4gzkwDleFCmxjsuo=s88-c-k-c0x00ffffff-no-rj")</f>
        <v>https://yt3.ggpht.com/rUoTzv-GS1x-yz8pFA2rvrNTWsZtBcktlql9HATP0bxIOHU-uWBO9W2b4gzkwDleFCmxjsuo=s88-c-k-c0x00ffffff-no-rj</v>
      </c>
      <c r="G465" s="67"/>
      <c r="H465" s="71" t="s">
        <v>1899</v>
      </c>
      <c r="I465" s="72"/>
      <c r="J465" s="72" t="s">
        <v>159</v>
      </c>
      <c r="K465" s="71" t="s">
        <v>1899</v>
      </c>
      <c r="L465" s="75">
        <v>1</v>
      </c>
      <c r="M465" s="76">
        <v>9733.1376953125</v>
      </c>
      <c r="N465" s="76">
        <v>757.8265380859375</v>
      </c>
      <c r="O465" s="77"/>
      <c r="P465" s="78"/>
      <c r="Q465" s="78"/>
      <c r="R465" s="88"/>
      <c r="S465" s="49">
        <v>2</v>
      </c>
      <c r="T465" s="49">
        <v>1</v>
      </c>
      <c r="U465" s="50">
        <v>0</v>
      </c>
      <c r="V465" s="50">
        <v>0.001818</v>
      </c>
      <c r="W465" s="50">
        <v>0</v>
      </c>
      <c r="X465" s="50">
        <v>0.001942</v>
      </c>
      <c r="Y465" s="50">
        <v>0</v>
      </c>
      <c r="Z465" s="50">
        <v>0</v>
      </c>
      <c r="AA465" s="73">
        <v>465</v>
      </c>
      <c r="AB465" s="73"/>
      <c r="AC465" s="74"/>
      <c r="AD465" s="81" t="s">
        <v>1899</v>
      </c>
      <c r="AE465" s="81" t="s">
        <v>1998</v>
      </c>
      <c r="AF465" s="81"/>
      <c r="AG465" s="81"/>
      <c r="AH465" s="81"/>
      <c r="AI465" s="81" t="s">
        <v>2481</v>
      </c>
      <c r="AJ465" s="85">
        <v>44469.75021990741</v>
      </c>
      <c r="AK465" s="83" t="str">
        <f>HYPERLINK("https://yt3.ggpht.com/rUoTzv-GS1x-yz8pFA2rvrNTWsZtBcktlql9HATP0bxIOHU-uWBO9W2b4gzkwDleFCmxjsuo=s88-c-k-c0x00ffffff-no-rj")</f>
        <v>https://yt3.ggpht.com/rUoTzv-GS1x-yz8pFA2rvrNTWsZtBcktlql9HATP0bxIOHU-uWBO9W2b4gzkwDleFCmxjsuo=s88-c-k-c0x00ffffff-no-rj</v>
      </c>
      <c r="AL465" s="81">
        <v>2684561</v>
      </c>
      <c r="AM465" s="81">
        <v>0</v>
      </c>
      <c r="AN465" s="81">
        <v>91</v>
      </c>
      <c r="AO465" s="81" t="b">
        <v>0</v>
      </c>
      <c r="AP465" s="81">
        <v>34</v>
      </c>
      <c r="AQ465" s="81"/>
      <c r="AR465" s="81"/>
      <c r="AS465" s="81" t="s">
        <v>2571</v>
      </c>
      <c r="AT465" s="83" t="str">
        <f>HYPERLINK("https://www.youtube.com/channel/UC6uXQpDkNbPa9bHV8P0PPRA")</f>
        <v>https://www.youtube.com/channel/UC6uXQpDkNbPa9bHV8P0PPRA</v>
      </c>
      <c r="AU465" s="81">
        <v>13</v>
      </c>
      <c r="AV465" s="49"/>
      <c r="AW465" s="50"/>
      <c r="AX465" s="49"/>
      <c r="AY465" s="50"/>
      <c r="AZ465" s="49"/>
      <c r="BA465" s="50"/>
      <c r="BB465" s="49"/>
      <c r="BC465" s="50"/>
      <c r="BD465" s="49"/>
      <c r="BE465" s="49"/>
      <c r="BF465" s="49"/>
      <c r="BG465" s="49"/>
      <c r="BH465" s="49"/>
      <c r="BI465" s="49"/>
      <c r="BJ465" s="49"/>
      <c r="BK465" s="115" t="s">
        <v>4477</v>
      </c>
      <c r="BL465" s="115" t="s">
        <v>4477</v>
      </c>
      <c r="BM465" s="115" t="s">
        <v>4477</v>
      </c>
      <c r="BN465" s="115" t="s">
        <v>4477</v>
      </c>
      <c r="BO465" s="2"/>
      <c r="BP465" s="3"/>
      <c r="BQ465" s="3"/>
      <c r="BR465" s="3"/>
      <c r="BS465" s="3"/>
    </row>
    <row r="466" spans="1:71" ht="15">
      <c r="A466" s="66" t="s">
        <v>684</v>
      </c>
      <c r="B466" s="67"/>
      <c r="C466" s="67"/>
      <c r="D466" s="68">
        <v>150</v>
      </c>
      <c r="E466" s="70"/>
      <c r="F466" s="102" t="str">
        <f>HYPERLINK("https://yt3.ggpht.com/rkwCtsKzYO9nMVMIvDeei3uDg7u-FkhVaGpbHrB2LwEmDPDUbufSv8JSASDq8iEkvSJ7rYpGTg=s88-c-k-c0x00ffffff-no-rj")</f>
        <v>https://yt3.ggpht.com/rkwCtsKzYO9nMVMIvDeei3uDg7u-FkhVaGpbHrB2LwEmDPDUbufSv8JSASDq8iEkvSJ7rYpGTg=s88-c-k-c0x00ffffff-no-rj</v>
      </c>
      <c r="G466" s="67"/>
      <c r="H466" s="71" t="s">
        <v>1736</v>
      </c>
      <c r="I466" s="72"/>
      <c r="J466" s="72" t="s">
        <v>159</v>
      </c>
      <c r="K466" s="71" t="s">
        <v>1736</v>
      </c>
      <c r="L466" s="75">
        <v>1</v>
      </c>
      <c r="M466" s="76">
        <v>9363.525390625</v>
      </c>
      <c r="N466" s="76">
        <v>287.32757568359375</v>
      </c>
      <c r="O466" s="77"/>
      <c r="P466" s="78"/>
      <c r="Q466" s="78"/>
      <c r="R466" s="88"/>
      <c r="S466" s="49">
        <v>0</v>
      </c>
      <c r="T466" s="49">
        <v>1</v>
      </c>
      <c r="U466" s="50">
        <v>0</v>
      </c>
      <c r="V466" s="50">
        <v>0.001818</v>
      </c>
      <c r="W466" s="50">
        <v>0</v>
      </c>
      <c r="X466" s="50">
        <v>0.001688</v>
      </c>
      <c r="Y466" s="50">
        <v>0</v>
      </c>
      <c r="Z466" s="50">
        <v>0</v>
      </c>
      <c r="AA466" s="73">
        <v>466</v>
      </c>
      <c r="AB466" s="73"/>
      <c r="AC466" s="74"/>
      <c r="AD466" s="81" t="s">
        <v>1736</v>
      </c>
      <c r="AE466" s="81"/>
      <c r="AF466" s="81"/>
      <c r="AG466" s="81"/>
      <c r="AH466" s="81"/>
      <c r="AI466" s="81" t="s">
        <v>2482</v>
      </c>
      <c r="AJ466" s="85">
        <v>45039.617789351854</v>
      </c>
      <c r="AK466" s="83" t="str">
        <f>HYPERLINK("https://yt3.ggpht.com/rkwCtsKzYO9nMVMIvDeei3uDg7u-FkhVaGpbHrB2LwEmDPDUbufSv8JSASDq8iEkvSJ7rYpGTg=s88-c-k-c0x00ffffff-no-rj")</f>
        <v>https://yt3.ggpht.com/rkwCtsKzYO9nMVMIvDeei3uDg7u-FkhVaGpbHrB2LwEmDPDUbufSv8JSASDq8iEkvSJ7rYpGTg=s88-c-k-c0x00ffffff-no-rj</v>
      </c>
      <c r="AL466" s="81">
        <v>0</v>
      </c>
      <c r="AM466" s="81">
        <v>0</v>
      </c>
      <c r="AN466" s="81">
        <v>11</v>
      </c>
      <c r="AO466" s="81" t="b">
        <v>0</v>
      </c>
      <c r="AP466" s="81">
        <v>0</v>
      </c>
      <c r="AQ466" s="81"/>
      <c r="AR466" s="81"/>
      <c r="AS466" s="81" t="s">
        <v>2571</v>
      </c>
      <c r="AT466" s="83" t="str">
        <f>HYPERLINK("https://www.youtube.com/channel/UCwBtuBSQJvCyBghKP84irzg")</f>
        <v>https://www.youtube.com/channel/UCwBtuBSQJvCyBghKP84irzg</v>
      </c>
      <c r="AU466" s="81">
        <v>12</v>
      </c>
      <c r="AV466" s="49">
        <v>0</v>
      </c>
      <c r="AW466" s="50">
        <v>0</v>
      </c>
      <c r="AX466" s="49">
        <v>0</v>
      </c>
      <c r="AY466" s="50">
        <v>0</v>
      </c>
      <c r="AZ466" s="49">
        <v>0</v>
      </c>
      <c r="BA466" s="50">
        <v>0</v>
      </c>
      <c r="BB466" s="49">
        <v>2</v>
      </c>
      <c r="BC466" s="50">
        <v>22.22222222222222</v>
      </c>
      <c r="BD466" s="49">
        <v>9</v>
      </c>
      <c r="BE466" s="49"/>
      <c r="BF466" s="49"/>
      <c r="BG466" s="49"/>
      <c r="BH466" s="49"/>
      <c r="BI466" s="49"/>
      <c r="BJ466" s="49"/>
      <c r="BK466" s="115" t="s">
        <v>2988</v>
      </c>
      <c r="BL466" s="115" t="s">
        <v>2988</v>
      </c>
      <c r="BM466" s="115" t="s">
        <v>3432</v>
      </c>
      <c r="BN466" s="115" t="s">
        <v>3432</v>
      </c>
      <c r="BO466" s="2"/>
      <c r="BP466" s="3"/>
      <c r="BQ466" s="3"/>
      <c r="BR466" s="3"/>
      <c r="BS466" s="3"/>
    </row>
    <row r="467" spans="1:71" ht="15">
      <c r="A467" s="66" t="s">
        <v>685</v>
      </c>
      <c r="B467" s="67"/>
      <c r="C467" s="67"/>
      <c r="D467" s="68">
        <v>150</v>
      </c>
      <c r="E467" s="70"/>
      <c r="F467" s="102" t="str">
        <f>HYPERLINK("https://yt3.ggpht.com/ytc/AOPolaRcGnx5yNwdoDbhlPkWZ0AVdffUQ6WmLxK8tFpGQw=s88-c-k-c0x00ffffff-no-rj")</f>
        <v>https://yt3.ggpht.com/ytc/AOPolaRcGnx5yNwdoDbhlPkWZ0AVdffUQ6WmLxK8tFpGQw=s88-c-k-c0x00ffffff-no-rj</v>
      </c>
      <c r="G467" s="67"/>
      <c r="H467" s="71" t="s">
        <v>1900</v>
      </c>
      <c r="I467" s="72"/>
      <c r="J467" s="72" t="s">
        <v>159</v>
      </c>
      <c r="K467" s="71" t="s">
        <v>1900</v>
      </c>
      <c r="L467" s="75">
        <v>1</v>
      </c>
      <c r="M467" s="76">
        <v>9700.7158203125</v>
      </c>
      <c r="N467" s="76">
        <v>287.32757568359375</v>
      </c>
      <c r="O467" s="77"/>
      <c r="P467" s="78"/>
      <c r="Q467" s="78"/>
      <c r="R467" s="88"/>
      <c r="S467" s="49">
        <v>2</v>
      </c>
      <c r="T467" s="49">
        <v>1</v>
      </c>
      <c r="U467" s="50">
        <v>0</v>
      </c>
      <c r="V467" s="50">
        <v>0.001818</v>
      </c>
      <c r="W467" s="50">
        <v>0</v>
      </c>
      <c r="X467" s="50">
        <v>0.001942</v>
      </c>
      <c r="Y467" s="50">
        <v>0</v>
      </c>
      <c r="Z467" s="50">
        <v>0</v>
      </c>
      <c r="AA467" s="73">
        <v>467</v>
      </c>
      <c r="AB467" s="73"/>
      <c r="AC467" s="74"/>
      <c r="AD467" s="81" t="s">
        <v>1900</v>
      </c>
      <c r="AE467" s="81" t="s">
        <v>1999</v>
      </c>
      <c r="AF467" s="81"/>
      <c r="AG467" s="81"/>
      <c r="AH467" s="81"/>
      <c r="AI467" s="81" t="s">
        <v>2483</v>
      </c>
      <c r="AJ467" s="85">
        <v>40008.8950462963</v>
      </c>
      <c r="AK467" s="83" t="str">
        <f>HYPERLINK("https://yt3.ggpht.com/ytc/AOPolaRcGnx5yNwdoDbhlPkWZ0AVdffUQ6WmLxK8tFpGQw=s88-c-k-c0x00ffffff-no-rj")</f>
        <v>https://yt3.ggpht.com/ytc/AOPolaRcGnx5yNwdoDbhlPkWZ0AVdffUQ6WmLxK8tFpGQw=s88-c-k-c0x00ffffff-no-rj</v>
      </c>
      <c r="AL467" s="81">
        <v>40373101</v>
      </c>
      <c r="AM467" s="81">
        <v>0</v>
      </c>
      <c r="AN467" s="81">
        <v>182000</v>
      </c>
      <c r="AO467" s="81" t="b">
        <v>0</v>
      </c>
      <c r="AP467" s="81">
        <v>38508</v>
      </c>
      <c r="AQ467" s="81"/>
      <c r="AR467" s="81"/>
      <c r="AS467" s="81" t="s">
        <v>2571</v>
      </c>
      <c r="AT467" s="83" t="str">
        <f>HYPERLINK("https://www.youtube.com/channel/UCsba91UGiQLFOb5DN3Z_AdQ")</f>
        <v>https://www.youtube.com/channel/UCsba91UGiQLFOb5DN3Z_AdQ</v>
      </c>
      <c r="AU467" s="81">
        <v>12</v>
      </c>
      <c r="AV467" s="49"/>
      <c r="AW467" s="50"/>
      <c r="AX467" s="49"/>
      <c r="AY467" s="50"/>
      <c r="AZ467" s="49"/>
      <c r="BA467" s="50"/>
      <c r="BB467" s="49"/>
      <c r="BC467" s="50"/>
      <c r="BD467" s="49"/>
      <c r="BE467" s="49"/>
      <c r="BF467" s="49"/>
      <c r="BG467" s="49"/>
      <c r="BH467" s="49"/>
      <c r="BI467" s="49"/>
      <c r="BJ467" s="49"/>
      <c r="BK467" s="115" t="s">
        <v>4477</v>
      </c>
      <c r="BL467" s="115" t="s">
        <v>4477</v>
      </c>
      <c r="BM467" s="115" t="s">
        <v>4477</v>
      </c>
      <c r="BN467" s="115" t="s">
        <v>4477</v>
      </c>
      <c r="BO467" s="2"/>
      <c r="BP467" s="3"/>
      <c r="BQ467" s="3"/>
      <c r="BR467" s="3"/>
      <c r="BS467" s="3"/>
    </row>
    <row r="468" spans="1:71" ht="15">
      <c r="A468" s="66" t="s">
        <v>686</v>
      </c>
      <c r="B468" s="67"/>
      <c r="C468" s="67"/>
      <c r="D468" s="68">
        <v>150</v>
      </c>
      <c r="E468" s="70"/>
      <c r="F468" s="102" t="str">
        <f>HYPERLINK("https://yt3.ggpht.com/ytc/AOPolaTuQj7VlHu8iPNwHKlKNgm8WaSdHjUNg30ftA=s88-c-k-c0x00ffffff-no-rj")</f>
        <v>https://yt3.ggpht.com/ytc/AOPolaTuQj7VlHu8iPNwHKlKNgm8WaSdHjUNg30ftA=s88-c-k-c0x00ffffff-no-rj</v>
      </c>
      <c r="G468" s="67"/>
      <c r="H468" s="71" t="s">
        <v>1751</v>
      </c>
      <c r="I468" s="72"/>
      <c r="J468" s="72" t="s">
        <v>159</v>
      </c>
      <c r="K468" s="71" t="s">
        <v>1751</v>
      </c>
      <c r="L468" s="75">
        <v>1</v>
      </c>
      <c r="M468" s="76">
        <v>2960.14404296875</v>
      </c>
      <c r="N468" s="76">
        <v>270.43585205078125</v>
      </c>
      <c r="O468" s="77"/>
      <c r="P468" s="78"/>
      <c r="Q468" s="78"/>
      <c r="R468" s="88"/>
      <c r="S468" s="49">
        <v>0</v>
      </c>
      <c r="T468" s="49">
        <v>1</v>
      </c>
      <c r="U468" s="50">
        <v>0</v>
      </c>
      <c r="V468" s="50">
        <v>0.135911</v>
      </c>
      <c r="W468" s="50">
        <v>0</v>
      </c>
      <c r="X468" s="50">
        <v>0.00158</v>
      </c>
      <c r="Y468" s="50">
        <v>0</v>
      </c>
      <c r="Z468" s="50">
        <v>0</v>
      </c>
      <c r="AA468" s="73">
        <v>468</v>
      </c>
      <c r="AB468" s="73"/>
      <c r="AC468" s="74"/>
      <c r="AD468" s="81" t="s">
        <v>1751</v>
      </c>
      <c r="AE468" s="81" t="s">
        <v>2000</v>
      </c>
      <c r="AF468" s="81"/>
      <c r="AG468" s="81"/>
      <c r="AH468" s="81"/>
      <c r="AI468" s="81" t="s">
        <v>2484</v>
      </c>
      <c r="AJ468" s="85">
        <v>41502.920115740744</v>
      </c>
      <c r="AK468" s="83" t="str">
        <f>HYPERLINK("https://yt3.ggpht.com/ytc/AOPolaTuQj7VlHu8iPNwHKlKNgm8WaSdHjUNg30ftA=s88-c-k-c0x00ffffff-no-rj")</f>
        <v>https://yt3.ggpht.com/ytc/AOPolaTuQj7VlHu8iPNwHKlKNgm8WaSdHjUNg30ftA=s88-c-k-c0x00ffffff-no-rj</v>
      </c>
      <c r="AL468" s="81">
        <v>0</v>
      </c>
      <c r="AM468" s="81">
        <v>0</v>
      </c>
      <c r="AN468" s="81">
        <v>39</v>
      </c>
      <c r="AO468" s="81" t="b">
        <v>0</v>
      </c>
      <c r="AP468" s="81">
        <v>0</v>
      </c>
      <c r="AQ468" s="81"/>
      <c r="AR468" s="81"/>
      <c r="AS468" s="81" t="s">
        <v>2571</v>
      </c>
      <c r="AT468" s="83" t="str">
        <f>HYPERLINK("https://www.youtube.com/channel/UCIilJVJpNJ1Wl_nMajXdXqA")</f>
        <v>https://www.youtube.com/channel/UCIilJVJpNJ1Wl_nMajXdXqA</v>
      </c>
      <c r="AU468" s="81">
        <v>2</v>
      </c>
      <c r="AV468" s="49">
        <v>0</v>
      </c>
      <c r="AW468" s="50">
        <v>0</v>
      </c>
      <c r="AX468" s="49">
        <v>0</v>
      </c>
      <c r="AY468" s="50">
        <v>0</v>
      </c>
      <c r="AZ468" s="49">
        <v>0</v>
      </c>
      <c r="BA468" s="50">
        <v>0</v>
      </c>
      <c r="BB468" s="49">
        <v>5</v>
      </c>
      <c r="BC468" s="50">
        <v>38.46153846153846</v>
      </c>
      <c r="BD468" s="49">
        <v>13</v>
      </c>
      <c r="BE468" s="49"/>
      <c r="BF468" s="49"/>
      <c r="BG468" s="49"/>
      <c r="BH468" s="49"/>
      <c r="BI468" s="49"/>
      <c r="BJ468" s="49"/>
      <c r="BK468" s="115" t="s">
        <v>2989</v>
      </c>
      <c r="BL468" s="115" t="s">
        <v>2989</v>
      </c>
      <c r="BM468" s="115" t="s">
        <v>3433</v>
      </c>
      <c r="BN468" s="115" t="s">
        <v>3433</v>
      </c>
      <c r="BO468" s="2"/>
      <c r="BP468" s="3"/>
      <c r="BQ468" s="3"/>
      <c r="BR468" s="3"/>
      <c r="BS468" s="3"/>
    </row>
    <row r="469" spans="1:71" ht="15">
      <c r="A469" s="66" t="s">
        <v>687</v>
      </c>
      <c r="B469" s="67"/>
      <c r="C469" s="67"/>
      <c r="D469" s="68">
        <v>150</v>
      </c>
      <c r="E469" s="70"/>
      <c r="F469" s="102" t="str">
        <f>HYPERLINK("https://yt3.ggpht.com/ytc/AOPolaSmxV9XkqMPLJu4pA7dZ_byBdojMv_gI2RIgQ=s88-c-k-c0x00ffffff-no-rj")</f>
        <v>https://yt3.ggpht.com/ytc/AOPolaSmxV9XkqMPLJu4pA7dZ_byBdojMv_gI2RIgQ=s88-c-k-c0x00ffffff-no-rj</v>
      </c>
      <c r="G469" s="67"/>
      <c r="H469" s="71" t="s">
        <v>1752</v>
      </c>
      <c r="I469" s="72"/>
      <c r="J469" s="72" t="s">
        <v>159</v>
      </c>
      <c r="K469" s="71" t="s">
        <v>1752</v>
      </c>
      <c r="L469" s="75">
        <v>1</v>
      </c>
      <c r="M469" s="76">
        <v>3960.587646484375</v>
      </c>
      <c r="N469" s="76">
        <v>389.772216796875</v>
      </c>
      <c r="O469" s="77"/>
      <c r="P469" s="78"/>
      <c r="Q469" s="78"/>
      <c r="R469" s="88"/>
      <c r="S469" s="49">
        <v>0</v>
      </c>
      <c r="T469" s="49">
        <v>1</v>
      </c>
      <c r="U469" s="50">
        <v>0</v>
      </c>
      <c r="V469" s="50">
        <v>0.135911</v>
      </c>
      <c r="W469" s="50">
        <v>0</v>
      </c>
      <c r="X469" s="50">
        <v>0.00158</v>
      </c>
      <c r="Y469" s="50">
        <v>0</v>
      </c>
      <c r="Z469" s="50">
        <v>0</v>
      </c>
      <c r="AA469" s="73">
        <v>469</v>
      </c>
      <c r="AB469" s="73"/>
      <c r="AC469" s="74"/>
      <c r="AD469" s="81" t="s">
        <v>1752</v>
      </c>
      <c r="AE469" s="81"/>
      <c r="AF469" s="81"/>
      <c r="AG469" s="81"/>
      <c r="AH469" s="81"/>
      <c r="AI469" s="81" t="s">
        <v>2485</v>
      </c>
      <c r="AJ469" s="85">
        <v>44096.76954861111</v>
      </c>
      <c r="AK469" s="83" t="str">
        <f>HYPERLINK("https://yt3.ggpht.com/ytc/AOPolaSmxV9XkqMPLJu4pA7dZ_byBdojMv_gI2RIgQ=s88-c-k-c0x00ffffff-no-rj")</f>
        <v>https://yt3.ggpht.com/ytc/AOPolaSmxV9XkqMPLJu4pA7dZ_byBdojMv_gI2RIgQ=s88-c-k-c0x00ffffff-no-rj</v>
      </c>
      <c r="AL469" s="81">
        <v>0</v>
      </c>
      <c r="AM469" s="81">
        <v>0</v>
      </c>
      <c r="AN469" s="81">
        <v>1</v>
      </c>
      <c r="AO469" s="81" t="b">
        <v>0</v>
      </c>
      <c r="AP469" s="81">
        <v>0</v>
      </c>
      <c r="AQ469" s="81"/>
      <c r="AR469" s="81"/>
      <c r="AS469" s="81" t="s">
        <v>2571</v>
      </c>
      <c r="AT469" s="83" t="str">
        <f>HYPERLINK("https://www.youtube.com/channel/UCxXrlyseexGXxmP73jScvFQ")</f>
        <v>https://www.youtube.com/channel/UCxXrlyseexGXxmP73jScvFQ</v>
      </c>
      <c r="AU469" s="81">
        <v>2</v>
      </c>
      <c r="AV469" s="49">
        <v>0</v>
      </c>
      <c r="AW469" s="50">
        <v>0</v>
      </c>
      <c r="AX469" s="49">
        <v>0</v>
      </c>
      <c r="AY469" s="50">
        <v>0</v>
      </c>
      <c r="AZ469" s="49">
        <v>0</v>
      </c>
      <c r="BA469" s="50">
        <v>0</v>
      </c>
      <c r="BB469" s="49">
        <v>2</v>
      </c>
      <c r="BC469" s="50">
        <v>25</v>
      </c>
      <c r="BD469" s="49">
        <v>8</v>
      </c>
      <c r="BE469" s="49"/>
      <c r="BF469" s="49"/>
      <c r="BG469" s="49"/>
      <c r="BH469" s="49"/>
      <c r="BI469" s="49"/>
      <c r="BJ469" s="49"/>
      <c r="BK469" s="115" t="s">
        <v>2990</v>
      </c>
      <c r="BL469" s="115" t="s">
        <v>2990</v>
      </c>
      <c r="BM469" s="115" t="s">
        <v>3434</v>
      </c>
      <c r="BN469" s="115" t="s">
        <v>3434</v>
      </c>
      <c r="BO469" s="2"/>
      <c r="BP469" s="3"/>
      <c r="BQ469" s="3"/>
      <c r="BR469" s="3"/>
      <c r="BS469" s="3"/>
    </row>
    <row r="470" spans="1:71" ht="15">
      <c r="A470" s="66" t="s">
        <v>688</v>
      </c>
      <c r="B470" s="67"/>
      <c r="C470" s="67"/>
      <c r="D470" s="68">
        <v>150</v>
      </c>
      <c r="E470" s="70"/>
      <c r="F470" s="102" t="str">
        <f>HYPERLINK("https://yt3.ggpht.com/fJuzJqkyg1KWv9s7GpvUwWquWUa_2TVwjSE_UEEIU7ZRqiJZgQ3V0y2UuzEz8cAe5nf7_pfN=s88-c-k-c0x00ffffff-no-rj")</f>
        <v>https://yt3.ggpht.com/fJuzJqkyg1KWv9s7GpvUwWquWUa_2TVwjSE_UEEIU7ZRqiJZgQ3V0y2UuzEz8cAe5nf7_pfN=s88-c-k-c0x00ffffff-no-rj</v>
      </c>
      <c r="G470" s="67"/>
      <c r="H470" s="71" t="s">
        <v>1753</v>
      </c>
      <c r="I470" s="72"/>
      <c r="J470" s="72" t="s">
        <v>159</v>
      </c>
      <c r="K470" s="71" t="s">
        <v>1753</v>
      </c>
      <c r="L470" s="75">
        <v>1</v>
      </c>
      <c r="M470" s="76">
        <v>4562.7080078125</v>
      </c>
      <c r="N470" s="76">
        <v>3175.401123046875</v>
      </c>
      <c r="O470" s="77"/>
      <c r="P470" s="78"/>
      <c r="Q470" s="78"/>
      <c r="R470" s="88"/>
      <c r="S470" s="49">
        <v>0</v>
      </c>
      <c r="T470" s="49">
        <v>1</v>
      </c>
      <c r="U470" s="50">
        <v>0</v>
      </c>
      <c r="V470" s="50">
        <v>0.135911</v>
      </c>
      <c r="W470" s="50">
        <v>0</v>
      </c>
      <c r="X470" s="50">
        <v>0.00158</v>
      </c>
      <c r="Y470" s="50">
        <v>0</v>
      </c>
      <c r="Z470" s="50">
        <v>0</v>
      </c>
      <c r="AA470" s="73">
        <v>470</v>
      </c>
      <c r="AB470" s="73"/>
      <c r="AC470" s="74"/>
      <c r="AD470" s="81" t="s">
        <v>1753</v>
      </c>
      <c r="AE470" s="81"/>
      <c r="AF470" s="81"/>
      <c r="AG470" s="81"/>
      <c r="AH470" s="81"/>
      <c r="AI470" s="81" t="s">
        <v>2486</v>
      </c>
      <c r="AJ470" s="85">
        <v>45130.8478125</v>
      </c>
      <c r="AK470" s="83" t="str">
        <f>HYPERLINK("https://yt3.ggpht.com/fJuzJqkyg1KWv9s7GpvUwWquWUa_2TVwjSE_UEEIU7ZRqiJZgQ3V0y2UuzEz8cAe5nf7_pfN=s88-c-k-c0x00ffffff-no-rj")</f>
        <v>https://yt3.ggpht.com/fJuzJqkyg1KWv9s7GpvUwWquWUa_2TVwjSE_UEEIU7ZRqiJZgQ3V0y2UuzEz8cAe5nf7_pfN=s88-c-k-c0x00ffffff-no-rj</v>
      </c>
      <c r="AL470" s="81">
        <v>0</v>
      </c>
      <c r="AM470" s="81">
        <v>0</v>
      </c>
      <c r="AN470" s="81">
        <v>0</v>
      </c>
      <c r="AO470" s="81" t="b">
        <v>0</v>
      </c>
      <c r="AP470" s="81">
        <v>0</v>
      </c>
      <c r="AQ470" s="81"/>
      <c r="AR470" s="81"/>
      <c r="AS470" s="81" t="s">
        <v>2571</v>
      </c>
      <c r="AT470" s="83" t="str">
        <f>HYPERLINK("https://www.youtube.com/channel/UCH5BZoWAlkqtDje0mDgPwrg")</f>
        <v>https://www.youtube.com/channel/UCH5BZoWAlkqtDje0mDgPwrg</v>
      </c>
      <c r="AU470" s="81">
        <v>2</v>
      </c>
      <c r="AV470" s="49">
        <v>0</v>
      </c>
      <c r="AW470" s="50">
        <v>0</v>
      </c>
      <c r="AX470" s="49">
        <v>0</v>
      </c>
      <c r="AY470" s="50">
        <v>0</v>
      </c>
      <c r="AZ470" s="49">
        <v>0</v>
      </c>
      <c r="BA470" s="50">
        <v>0</v>
      </c>
      <c r="BB470" s="49">
        <v>3</v>
      </c>
      <c r="BC470" s="50">
        <v>60</v>
      </c>
      <c r="BD470" s="49">
        <v>5</v>
      </c>
      <c r="BE470" s="49"/>
      <c r="BF470" s="49"/>
      <c r="BG470" s="49"/>
      <c r="BH470" s="49"/>
      <c r="BI470" s="49"/>
      <c r="BJ470" s="49"/>
      <c r="BK470" s="115" t="s">
        <v>2991</v>
      </c>
      <c r="BL470" s="115" t="s">
        <v>2991</v>
      </c>
      <c r="BM470" s="115" t="s">
        <v>3435</v>
      </c>
      <c r="BN470" s="115" t="s">
        <v>3435</v>
      </c>
      <c r="BO470" s="2"/>
      <c r="BP470" s="3"/>
      <c r="BQ470" s="3"/>
      <c r="BR470" s="3"/>
      <c r="BS470" s="3"/>
    </row>
    <row r="471" spans="1:71" ht="15">
      <c r="A471" s="66" t="s">
        <v>689</v>
      </c>
      <c r="B471" s="67"/>
      <c r="C471" s="67"/>
      <c r="D471" s="68">
        <v>150</v>
      </c>
      <c r="E471" s="70"/>
      <c r="F471" s="102" t="str">
        <f>HYPERLINK("https://yt3.ggpht.com/WgxY-2S09QeOThTtsQpteBqy9TJMwaHQ-vR2HWOs8GkAoy77FfT5fPY7cBt4MLob82ggXpX2mWI=s88-c-k-c0x00ffffff-no-rj")</f>
        <v>https://yt3.ggpht.com/WgxY-2S09QeOThTtsQpteBqy9TJMwaHQ-vR2HWOs8GkAoy77FfT5fPY7cBt4MLob82ggXpX2mWI=s88-c-k-c0x00ffffff-no-rj</v>
      </c>
      <c r="G471" s="67"/>
      <c r="H471" s="71" t="s">
        <v>1754</v>
      </c>
      <c r="I471" s="72"/>
      <c r="J471" s="72" t="s">
        <v>159</v>
      </c>
      <c r="K471" s="71" t="s">
        <v>1754</v>
      </c>
      <c r="L471" s="75">
        <v>1</v>
      </c>
      <c r="M471" s="76">
        <v>1938.556396484375</v>
      </c>
      <c r="N471" s="76">
        <v>1640.1251220703125</v>
      </c>
      <c r="O471" s="77"/>
      <c r="P471" s="78"/>
      <c r="Q471" s="78"/>
      <c r="R471" s="88"/>
      <c r="S471" s="49">
        <v>0</v>
      </c>
      <c r="T471" s="49">
        <v>1</v>
      </c>
      <c r="U471" s="50">
        <v>0</v>
      </c>
      <c r="V471" s="50">
        <v>0.135911</v>
      </c>
      <c r="W471" s="50">
        <v>0</v>
      </c>
      <c r="X471" s="50">
        <v>0.00158</v>
      </c>
      <c r="Y471" s="50">
        <v>0</v>
      </c>
      <c r="Z471" s="50">
        <v>0</v>
      </c>
      <c r="AA471" s="73">
        <v>471</v>
      </c>
      <c r="AB471" s="73"/>
      <c r="AC471" s="74"/>
      <c r="AD471" s="81" t="s">
        <v>1754</v>
      </c>
      <c r="AE471" s="81" t="s">
        <v>2001</v>
      </c>
      <c r="AF471" s="81"/>
      <c r="AG471" s="81"/>
      <c r="AH471" s="81"/>
      <c r="AI471" s="81" t="s">
        <v>2487</v>
      </c>
      <c r="AJ471" s="85">
        <v>41005.093981481485</v>
      </c>
      <c r="AK471" s="83" t="str">
        <f>HYPERLINK("https://yt3.ggpht.com/WgxY-2S09QeOThTtsQpteBqy9TJMwaHQ-vR2HWOs8GkAoy77FfT5fPY7cBt4MLob82ggXpX2mWI=s88-c-k-c0x00ffffff-no-rj")</f>
        <v>https://yt3.ggpht.com/WgxY-2S09QeOThTtsQpteBqy9TJMwaHQ-vR2HWOs8GkAoy77FfT5fPY7cBt4MLob82ggXpX2mWI=s88-c-k-c0x00ffffff-no-rj</v>
      </c>
      <c r="AL471" s="81">
        <v>0</v>
      </c>
      <c r="AM471" s="81">
        <v>0</v>
      </c>
      <c r="AN471" s="81">
        <v>4</v>
      </c>
      <c r="AO471" s="81" t="b">
        <v>0</v>
      </c>
      <c r="AP471" s="81">
        <v>0</v>
      </c>
      <c r="AQ471" s="81"/>
      <c r="AR471" s="81"/>
      <c r="AS471" s="81" t="s">
        <v>2571</v>
      </c>
      <c r="AT471" s="83" t="str">
        <f>HYPERLINK("https://www.youtube.com/channel/UCJUkxCgf2-A8bTRuKiUXFag")</f>
        <v>https://www.youtube.com/channel/UCJUkxCgf2-A8bTRuKiUXFag</v>
      </c>
      <c r="AU471" s="81">
        <v>2</v>
      </c>
      <c r="AV471" s="49">
        <v>1</v>
      </c>
      <c r="AW471" s="50">
        <v>2.7027027027027026</v>
      </c>
      <c r="AX471" s="49">
        <v>0</v>
      </c>
      <c r="AY471" s="50">
        <v>0</v>
      </c>
      <c r="AZ471" s="49">
        <v>0</v>
      </c>
      <c r="BA471" s="50">
        <v>0</v>
      </c>
      <c r="BB471" s="49">
        <v>14</v>
      </c>
      <c r="BC471" s="50">
        <v>37.83783783783784</v>
      </c>
      <c r="BD471" s="49">
        <v>37</v>
      </c>
      <c r="BE471" s="49"/>
      <c r="BF471" s="49"/>
      <c r="BG471" s="49"/>
      <c r="BH471" s="49"/>
      <c r="BI471" s="49"/>
      <c r="BJ471" s="49"/>
      <c r="BK471" s="115" t="s">
        <v>2992</v>
      </c>
      <c r="BL471" s="115" t="s">
        <v>2992</v>
      </c>
      <c r="BM471" s="115" t="s">
        <v>3436</v>
      </c>
      <c r="BN471" s="115" t="s">
        <v>3436</v>
      </c>
      <c r="BO471" s="2"/>
      <c r="BP471" s="3"/>
      <c r="BQ471" s="3"/>
      <c r="BR471" s="3"/>
      <c r="BS471" s="3"/>
    </row>
    <row r="472" spans="1:71" ht="15">
      <c r="A472" s="66" t="s">
        <v>690</v>
      </c>
      <c r="B472" s="67"/>
      <c r="C472" s="67"/>
      <c r="D472" s="68">
        <v>150</v>
      </c>
      <c r="E472" s="70"/>
      <c r="F472" s="102" t="str">
        <f>HYPERLINK("https://yt3.ggpht.com/7Ew1VuBm6uEhHN5GbwdgsDv4CtnCUOIb9VbAQS56GYe0QAXRdyUV0-CaNxQUUnnWuriFTda3WZI=s88-c-k-c0x00ffffff-no-rj")</f>
        <v>https://yt3.ggpht.com/7Ew1VuBm6uEhHN5GbwdgsDv4CtnCUOIb9VbAQS56GYe0QAXRdyUV0-CaNxQUUnnWuriFTda3WZI=s88-c-k-c0x00ffffff-no-rj</v>
      </c>
      <c r="G472" s="67"/>
      <c r="H472" s="71" t="s">
        <v>1755</v>
      </c>
      <c r="I472" s="72"/>
      <c r="J472" s="72" t="s">
        <v>159</v>
      </c>
      <c r="K472" s="71" t="s">
        <v>1755</v>
      </c>
      <c r="L472" s="75">
        <v>1</v>
      </c>
      <c r="M472" s="76">
        <v>458.281494140625</v>
      </c>
      <c r="N472" s="76">
        <v>2009.046630859375</v>
      </c>
      <c r="O472" s="77"/>
      <c r="P472" s="78"/>
      <c r="Q472" s="78"/>
      <c r="R472" s="88"/>
      <c r="S472" s="49">
        <v>0</v>
      </c>
      <c r="T472" s="49">
        <v>1</v>
      </c>
      <c r="U472" s="50">
        <v>0</v>
      </c>
      <c r="V472" s="50">
        <v>0.135911</v>
      </c>
      <c r="W472" s="50">
        <v>0</v>
      </c>
      <c r="X472" s="50">
        <v>0.00158</v>
      </c>
      <c r="Y472" s="50">
        <v>0</v>
      </c>
      <c r="Z472" s="50">
        <v>0</v>
      </c>
      <c r="AA472" s="73">
        <v>472</v>
      </c>
      <c r="AB472" s="73"/>
      <c r="AC472" s="74"/>
      <c r="AD472" s="81" t="s">
        <v>1755</v>
      </c>
      <c r="AE472" s="81"/>
      <c r="AF472" s="81"/>
      <c r="AG472" s="81"/>
      <c r="AH472" s="81"/>
      <c r="AI472" s="81" t="s">
        <v>2488</v>
      </c>
      <c r="AJ472" s="85">
        <v>40885.05304398148</v>
      </c>
      <c r="AK472" s="83" t="str">
        <f>HYPERLINK("https://yt3.ggpht.com/7Ew1VuBm6uEhHN5GbwdgsDv4CtnCUOIb9VbAQS56GYe0QAXRdyUV0-CaNxQUUnnWuriFTda3WZI=s88-c-k-c0x00ffffff-no-rj")</f>
        <v>https://yt3.ggpht.com/7Ew1VuBm6uEhHN5GbwdgsDv4CtnCUOIb9VbAQS56GYe0QAXRdyUV0-CaNxQUUnnWuriFTda3WZI=s88-c-k-c0x00ffffff-no-rj</v>
      </c>
      <c r="AL472" s="81">
        <v>0</v>
      </c>
      <c r="AM472" s="81">
        <v>0</v>
      </c>
      <c r="AN472" s="81">
        <v>13</v>
      </c>
      <c r="AO472" s="81" t="b">
        <v>0</v>
      </c>
      <c r="AP472" s="81">
        <v>0</v>
      </c>
      <c r="AQ472" s="81"/>
      <c r="AR472" s="81"/>
      <c r="AS472" s="81" t="s">
        <v>2571</v>
      </c>
      <c r="AT472" s="83" t="str">
        <f>HYPERLINK("https://www.youtube.com/channel/UCS3zgpGpu_U4oU4Lsdz1IUg")</f>
        <v>https://www.youtube.com/channel/UCS3zgpGpu_U4oU4Lsdz1IUg</v>
      </c>
      <c r="AU472" s="81">
        <v>2</v>
      </c>
      <c r="AV472" s="49">
        <v>1</v>
      </c>
      <c r="AW472" s="50">
        <v>2.380952380952381</v>
      </c>
      <c r="AX472" s="49">
        <v>0</v>
      </c>
      <c r="AY472" s="50">
        <v>0</v>
      </c>
      <c r="AZ472" s="49">
        <v>0</v>
      </c>
      <c r="BA472" s="50">
        <v>0</v>
      </c>
      <c r="BB472" s="49">
        <v>15</v>
      </c>
      <c r="BC472" s="50">
        <v>35.714285714285715</v>
      </c>
      <c r="BD472" s="49">
        <v>42</v>
      </c>
      <c r="BE472" s="49"/>
      <c r="BF472" s="49"/>
      <c r="BG472" s="49"/>
      <c r="BH472" s="49"/>
      <c r="BI472" s="49"/>
      <c r="BJ472" s="49"/>
      <c r="BK472" s="115" t="s">
        <v>2993</v>
      </c>
      <c r="BL472" s="115" t="s">
        <v>2993</v>
      </c>
      <c r="BM472" s="115" t="s">
        <v>3437</v>
      </c>
      <c r="BN472" s="115" t="s">
        <v>3437</v>
      </c>
      <c r="BO472" s="2"/>
      <c r="BP472" s="3"/>
      <c r="BQ472" s="3"/>
      <c r="BR472" s="3"/>
      <c r="BS472" s="3"/>
    </row>
    <row r="473" spans="1:71" ht="15">
      <c r="A473" s="66" t="s">
        <v>691</v>
      </c>
      <c r="B473" s="67"/>
      <c r="C473" s="67"/>
      <c r="D473" s="68">
        <v>150</v>
      </c>
      <c r="E473" s="70"/>
      <c r="F473" s="102" t="str">
        <f>HYPERLINK("https://yt3.ggpht.com/ytc/AOPolaS_oUrmN3UeTC2rJm8H0Cc226PiDxIJIZ77nlbwCA=s88-c-k-c0x00ffffff-no-rj")</f>
        <v>https://yt3.ggpht.com/ytc/AOPolaS_oUrmN3UeTC2rJm8H0Cc226PiDxIJIZ77nlbwCA=s88-c-k-c0x00ffffff-no-rj</v>
      </c>
      <c r="G473" s="67"/>
      <c r="H473" s="71" t="s">
        <v>1756</v>
      </c>
      <c r="I473" s="72"/>
      <c r="J473" s="72" t="s">
        <v>159</v>
      </c>
      <c r="K473" s="71" t="s">
        <v>1756</v>
      </c>
      <c r="L473" s="75">
        <v>1</v>
      </c>
      <c r="M473" s="76">
        <v>4154.65625</v>
      </c>
      <c r="N473" s="76">
        <v>391.9082336425781</v>
      </c>
      <c r="O473" s="77"/>
      <c r="P473" s="78"/>
      <c r="Q473" s="78"/>
      <c r="R473" s="88"/>
      <c r="S473" s="49">
        <v>0</v>
      </c>
      <c r="T473" s="49">
        <v>1</v>
      </c>
      <c r="U473" s="50">
        <v>0</v>
      </c>
      <c r="V473" s="50">
        <v>0.135911</v>
      </c>
      <c r="W473" s="50">
        <v>0</v>
      </c>
      <c r="X473" s="50">
        <v>0.00158</v>
      </c>
      <c r="Y473" s="50">
        <v>0</v>
      </c>
      <c r="Z473" s="50">
        <v>0</v>
      </c>
      <c r="AA473" s="73">
        <v>473</v>
      </c>
      <c r="AB473" s="73"/>
      <c r="AC473" s="74"/>
      <c r="AD473" s="81" t="s">
        <v>1756</v>
      </c>
      <c r="AE473" s="81"/>
      <c r="AF473" s="81"/>
      <c r="AG473" s="81"/>
      <c r="AH473" s="81"/>
      <c r="AI473" s="81" t="s">
        <v>2489</v>
      </c>
      <c r="AJ473" s="85">
        <v>42642.36856481482</v>
      </c>
      <c r="AK473" s="83" t="str">
        <f>HYPERLINK("https://yt3.ggpht.com/ytc/AOPolaS_oUrmN3UeTC2rJm8H0Cc226PiDxIJIZ77nlbwCA=s88-c-k-c0x00ffffff-no-rj")</f>
        <v>https://yt3.ggpht.com/ytc/AOPolaS_oUrmN3UeTC2rJm8H0Cc226PiDxIJIZ77nlbwCA=s88-c-k-c0x00ffffff-no-rj</v>
      </c>
      <c r="AL473" s="81">
        <v>85</v>
      </c>
      <c r="AM473" s="81">
        <v>0</v>
      </c>
      <c r="AN473" s="81">
        <v>4</v>
      </c>
      <c r="AO473" s="81" t="b">
        <v>0</v>
      </c>
      <c r="AP473" s="81">
        <v>3</v>
      </c>
      <c r="AQ473" s="81"/>
      <c r="AR473" s="81"/>
      <c r="AS473" s="81" t="s">
        <v>2571</v>
      </c>
      <c r="AT473" s="83" t="str">
        <f>HYPERLINK("https://www.youtube.com/channel/UCqPuEe1SgLWoCukMWSrzFOA")</f>
        <v>https://www.youtube.com/channel/UCqPuEe1SgLWoCukMWSrzFOA</v>
      </c>
      <c r="AU473" s="81">
        <v>2</v>
      </c>
      <c r="AV473" s="49">
        <v>0</v>
      </c>
      <c r="AW473" s="50">
        <v>0</v>
      </c>
      <c r="AX473" s="49">
        <v>0</v>
      </c>
      <c r="AY473" s="50">
        <v>0</v>
      </c>
      <c r="AZ473" s="49">
        <v>0</v>
      </c>
      <c r="BA473" s="50">
        <v>0</v>
      </c>
      <c r="BB473" s="49">
        <v>3</v>
      </c>
      <c r="BC473" s="50">
        <v>30</v>
      </c>
      <c r="BD473" s="49">
        <v>10</v>
      </c>
      <c r="BE473" s="49"/>
      <c r="BF473" s="49"/>
      <c r="BG473" s="49"/>
      <c r="BH473" s="49"/>
      <c r="BI473" s="49"/>
      <c r="BJ473" s="49"/>
      <c r="BK473" s="115" t="s">
        <v>2994</v>
      </c>
      <c r="BL473" s="115" t="s">
        <v>2994</v>
      </c>
      <c r="BM473" s="115" t="s">
        <v>3438</v>
      </c>
      <c r="BN473" s="115" t="s">
        <v>3438</v>
      </c>
      <c r="BO473" s="2"/>
      <c r="BP473" s="3"/>
      <c r="BQ473" s="3"/>
      <c r="BR473" s="3"/>
      <c r="BS473" s="3"/>
    </row>
    <row r="474" spans="1:71" ht="15">
      <c r="A474" s="66" t="s">
        <v>692</v>
      </c>
      <c r="B474" s="67"/>
      <c r="C474" s="67"/>
      <c r="D474" s="68">
        <v>150</v>
      </c>
      <c r="E474" s="70"/>
      <c r="F474" s="102" t="str">
        <f>HYPERLINK("https://yt3.ggpht.com/ytc/AOPolaR7K3igstHQ9dh87oowAPaQtANTc-0Ed5leIw=s88-c-k-c0x00ffffff-no-rj")</f>
        <v>https://yt3.ggpht.com/ytc/AOPolaR7K3igstHQ9dh87oowAPaQtANTc-0Ed5leIw=s88-c-k-c0x00ffffff-no-rj</v>
      </c>
      <c r="G474" s="67"/>
      <c r="H474" s="71" t="s">
        <v>1757</v>
      </c>
      <c r="I474" s="72"/>
      <c r="J474" s="72" t="s">
        <v>159</v>
      </c>
      <c r="K474" s="71" t="s">
        <v>1757</v>
      </c>
      <c r="L474" s="75">
        <v>1</v>
      </c>
      <c r="M474" s="76">
        <v>1776.771240234375</v>
      </c>
      <c r="N474" s="76">
        <v>3574.825927734375</v>
      </c>
      <c r="O474" s="77"/>
      <c r="P474" s="78"/>
      <c r="Q474" s="78"/>
      <c r="R474" s="88"/>
      <c r="S474" s="49">
        <v>0</v>
      </c>
      <c r="T474" s="49">
        <v>1</v>
      </c>
      <c r="U474" s="50">
        <v>0</v>
      </c>
      <c r="V474" s="50">
        <v>0.135911</v>
      </c>
      <c r="W474" s="50">
        <v>0</v>
      </c>
      <c r="X474" s="50">
        <v>0.00158</v>
      </c>
      <c r="Y474" s="50">
        <v>0</v>
      </c>
      <c r="Z474" s="50">
        <v>0</v>
      </c>
      <c r="AA474" s="73">
        <v>474</v>
      </c>
      <c r="AB474" s="73"/>
      <c r="AC474" s="74"/>
      <c r="AD474" s="81" t="s">
        <v>1757</v>
      </c>
      <c r="AE474" s="81"/>
      <c r="AF474" s="81"/>
      <c r="AG474" s="81"/>
      <c r="AH474" s="81"/>
      <c r="AI474" s="81" t="s">
        <v>2490</v>
      </c>
      <c r="AJ474" s="85">
        <v>43879.08525462963</v>
      </c>
      <c r="AK474" s="83" t="str">
        <f>HYPERLINK("https://yt3.ggpht.com/ytc/AOPolaR7K3igstHQ9dh87oowAPaQtANTc-0Ed5leIw=s88-c-k-c0x00ffffff-no-rj")</f>
        <v>https://yt3.ggpht.com/ytc/AOPolaR7K3igstHQ9dh87oowAPaQtANTc-0Ed5leIw=s88-c-k-c0x00ffffff-no-rj</v>
      </c>
      <c r="AL474" s="81">
        <v>25</v>
      </c>
      <c r="AM474" s="81">
        <v>0</v>
      </c>
      <c r="AN474" s="81">
        <v>3</v>
      </c>
      <c r="AO474" s="81" t="b">
        <v>0</v>
      </c>
      <c r="AP474" s="81">
        <v>1</v>
      </c>
      <c r="AQ474" s="81"/>
      <c r="AR474" s="81"/>
      <c r="AS474" s="81" t="s">
        <v>2571</v>
      </c>
      <c r="AT474" s="83" t="str">
        <f>HYPERLINK("https://www.youtube.com/channel/UCwlTNogRVdJjrj9AHoZG3Mg")</f>
        <v>https://www.youtube.com/channel/UCwlTNogRVdJjrj9AHoZG3Mg</v>
      </c>
      <c r="AU474" s="81">
        <v>2</v>
      </c>
      <c r="AV474" s="49">
        <v>1</v>
      </c>
      <c r="AW474" s="50">
        <v>5</v>
      </c>
      <c r="AX474" s="49">
        <v>0</v>
      </c>
      <c r="AY474" s="50">
        <v>0</v>
      </c>
      <c r="AZ474" s="49">
        <v>0</v>
      </c>
      <c r="BA474" s="50">
        <v>0</v>
      </c>
      <c r="BB474" s="49">
        <v>9</v>
      </c>
      <c r="BC474" s="50">
        <v>45</v>
      </c>
      <c r="BD474" s="49">
        <v>20</v>
      </c>
      <c r="BE474" s="49"/>
      <c r="BF474" s="49"/>
      <c r="BG474" s="49"/>
      <c r="BH474" s="49"/>
      <c r="BI474" s="49"/>
      <c r="BJ474" s="49"/>
      <c r="BK474" s="115" t="s">
        <v>2995</v>
      </c>
      <c r="BL474" s="115" t="s">
        <v>2995</v>
      </c>
      <c r="BM474" s="115" t="s">
        <v>3439</v>
      </c>
      <c r="BN474" s="115" t="s">
        <v>3439</v>
      </c>
      <c r="BO474" s="2"/>
      <c r="BP474" s="3"/>
      <c r="BQ474" s="3"/>
      <c r="BR474" s="3"/>
      <c r="BS474" s="3"/>
    </row>
    <row r="475" spans="1:71" ht="15">
      <c r="A475" s="66" t="s">
        <v>693</v>
      </c>
      <c r="B475" s="67"/>
      <c r="C475" s="67"/>
      <c r="D475" s="68">
        <v>150</v>
      </c>
      <c r="E475" s="70"/>
      <c r="F475" s="102" t="str">
        <f>HYPERLINK("https://yt3.ggpht.com/I6QPXqNotYakuy30nLpArv6F4upa-k2AE6bxi8Q85unk11BBR-uo8AsLO0GSXxy1_wMt8-YL4w=s88-c-k-c0x00ffffff-no-rj")</f>
        <v>https://yt3.ggpht.com/I6QPXqNotYakuy30nLpArv6F4upa-k2AE6bxi8Q85unk11BBR-uo8AsLO0GSXxy1_wMt8-YL4w=s88-c-k-c0x00ffffff-no-rj</v>
      </c>
      <c r="G475" s="67"/>
      <c r="H475" s="71" t="s">
        <v>1758</v>
      </c>
      <c r="I475" s="72"/>
      <c r="J475" s="72" t="s">
        <v>159</v>
      </c>
      <c r="K475" s="71" t="s">
        <v>1758</v>
      </c>
      <c r="L475" s="75">
        <v>1</v>
      </c>
      <c r="M475" s="76">
        <v>5791.287109375</v>
      </c>
      <c r="N475" s="76">
        <v>2580.150634765625</v>
      </c>
      <c r="O475" s="77"/>
      <c r="P475" s="78"/>
      <c r="Q475" s="78"/>
      <c r="R475" s="88"/>
      <c r="S475" s="49">
        <v>0</v>
      </c>
      <c r="T475" s="49">
        <v>1</v>
      </c>
      <c r="U475" s="50">
        <v>0</v>
      </c>
      <c r="V475" s="50">
        <v>0.135911</v>
      </c>
      <c r="W475" s="50">
        <v>0</v>
      </c>
      <c r="X475" s="50">
        <v>0.00158</v>
      </c>
      <c r="Y475" s="50">
        <v>0</v>
      </c>
      <c r="Z475" s="50">
        <v>0</v>
      </c>
      <c r="AA475" s="73">
        <v>475</v>
      </c>
      <c r="AB475" s="73"/>
      <c r="AC475" s="74"/>
      <c r="AD475" s="81" t="s">
        <v>1758</v>
      </c>
      <c r="AE475" s="81"/>
      <c r="AF475" s="81"/>
      <c r="AG475" s="81"/>
      <c r="AH475" s="81"/>
      <c r="AI475" s="81" t="s">
        <v>2491</v>
      </c>
      <c r="AJ475" s="85">
        <v>45148.564791666664</v>
      </c>
      <c r="AK475" s="83" t="str">
        <f>HYPERLINK("https://yt3.ggpht.com/I6QPXqNotYakuy30nLpArv6F4upa-k2AE6bxi8Q85unk11BBR-uo8AsLO0GSXxy1_wMt8-YL4w=s88-c-k-c0x00ffffff-no-rj")</f>
        <v>https://yt3.ggpht.com/I6QPXqNotYakuy30nLpArv6F4upa-k2AE6bxi8Q85unk11BBR-uo8AsLO0GSXxy1_wMt8-YL4w=s88-c-k-c0x00ffffff-no-rj</v>
      </c>
      <c r="AL475" s="81">
        <v>0</v>
      </c>
      <c r="AM475" s="81">
        <v>0</v>
      </c>
      <c r="AN475" s="81">
        <v>0</v>
      </c>
      <c r="AO475" s="81" t="b">
        <v>0</v>
      </c>
      <c r="AP475" s="81">
        <v>0</v>
      </c>
      <c r="AQ475" s="81"/>
      <c r="AR475" s="81"/>
      <c r="AS475" s="81" t="s">
        <v>2571</v>
      </c>
      <c r="AT475" s="83" t="str">
        <f>HYPERLINK("https://www.youtube.com/channel/UCj8XF379pUvcEMXF3CbdXkw")</f>
        <v>https://www.youtube.com/channel/UCj8XF379pUvcEMXF3CbdXkw</v>
      </c>
      <c r="AU475" s="81">
        <v>2</v>
      </c>
      <c r="AV475" s="49">
        <v>2</v>
      </c>
      <c r="AW475" s="50">
        <v>12.5</v>
      </c>
      <c r="AX475" s="49">
        <v>0</v>
      </c>
      <c r="AY475" s="50">
        <v>0</v>
      </c>
      <c r="AZ475" s="49">
        <v>0</v>
      </c>
      <c r="BA475" s="50">
        <v>0</v>
      </c>
      <c r="BB475" s="49">
        <v>4</v>
      </c>
      <c r="BC475" s="50">
        <v>25</v>
      </c>
      <c r="BD475" s="49">
        <v>16</v>
      </c>
      <c r="BE475" s="49"/>
      <c r="BF475" s="49"/>
      <c r="BG475" s="49"/>
      <c r="BH475" s="49"/>
      <c r="BI475" s="49"/>
      <c r="BJ475" s="49"/>
      <c r="BK475" s="115" t="s">
        <v>2996</v>
      </c>
      <c r="BL475" s="115" t="s">
        <v>2996</v>
      </c>
      <c r="BM475" s="115" t="s">
        <v>3440</v>
      </c>
      <c r="BN475" s="115" t="s">
        <v>3440</v>
      </c>
      <c r="BO475" s="2"/>
      <c r="BP475" s="3"/>
      <c r="BQ475" s="3"/>
      <c r="BR475" s="3"/>
      <c r="BS475" s="3"/>
    </row>
    <row r="476" spans="1:71" ht="15">
      <c r="A476" s="66" t="s">
        <v>694</v>
      </c>
      <c r="B476" s="67"/>
      <c r="C476" s="67"/>
      <c r="D476" s="68">
        <v>150</v>
      </c>
      <c r="E476" s="70"/>
      <c r="F476" s="102" t="str">
        <f>HYPERLINK("https://yt3.ggpht.com/ytc/AOPolaQQNRfoDeF-w0VmZ0q5XSzxkyTyMu_6l9nUn9MnPg=s88-c-k-c0x00ffffff-no-rj")</f>
        <v>https://yt3.ggpht.com/ytc/AOPolaQQNRfoDeF-w0VmZ0q5XSzxkyTyMu_6l9nUn9MnPg=s88-c-k-c0x00ffffff-no-rj</v>
      </c>
      <c r="G476" s="67"/>
      <c r="H476" s="71" t="s">
        <v>1759</v>
      </c>
      <c r="I476" s="72"/>
      <c r="J476" s="72" t="s">
        <v>159</v>
      </c>
      <c r="K476" s="71" t="s">
        <v>1759</v>
      </c>
      <c r="L476" s="75">
        <v>1</v>
      </c>
      <c r="M476" s="76">
        <v>5140.2705078125</v>
      </c>
      <c r="N476" s="76">
        <v>3236.96484375</v>
      </c>
      <c r="O476" s="77"/>
      <c r="P476" s="78"/>
      <c r="Q476" s="78"/>
      <c r="R476" s="88"/>
      <c r="S476" s="49">
        <v>0</v>
      </c>
      <c r="T476" s="49">
        <v>1</v>
      </c>
      <c r="U476" s="50">
        <v>0</v>
      </c>
      <c r="V476" s="50">
        <v>0.135911</v>
      </c>
      <c r="W476" s="50">
        <v>0</v>
      </c>
      <c r="X476" s="50">
        <v>0.00158</v>
      </c>
      <c r="Y476" s="50">
        <v>0</v>
      </c>
      <c r="Z476" s="50">
        <v>0</v>
      </c>
      <c r="AA476" s="73">
        <v>476</v>
      </c>
      <c r="AB476" s="73"/>
      <c r="AC476" s="74"/>
      <c r="AD476" s="81" t="s">
        <v>1759</v>
      </c>
      <c r="AE476" s="81"/>
      <c r="AF476" s="81"/>
      <c r="AG476" s="81"/>
      <c r="AH476" s="81"/>
      <c r="AI476" s="81" t="s">
        <v>2492</v>
      </c>
      <c r="AJ476" s="85">
        <v>41585.67135416667</v>
      </c>
      <c r="AK476" s="83" t="str">
        <f>HYPERLINK("https://yt3.ggpht.com/ytc/AOPolaQQNRfoDeF-w0VmZ0q5XSzxkyTyMu_6l9nUn9MnPg=s88-c-k-c0x00ffffff-no-rj")</f>
        <v>https://yt3.ggpht.com/ytc/AOPolaQQNRfoDeF-w0VmZ0q5XSzxkyTyMu_6l9nUn9MnPg=s88-c-k-c0x00ffffff-no-rj</v>
      </c>
      <c r="AL476" s="81">
        <v>0</v>
      </c>
      <c r="AM476" s="81">
        <v>0</v>
      </c>
      <c r="AN476" s="81">
        <v>0</v>
      </c>
      <c r="AO476" s="81" t="b">
        <v>0</v>
      </c>
      <c r="AP476" s="81">
        <v>0</v>
      </c>
      <c r="AQ476" s="81"/>
      <c r="AR476" s="81"/>
      <c r="AS476" s="81" t="s">
        <v>2571</v>
      </c>
      <c r="AT476" s="83" t="str">
        <f>HYPERLINK("https://www.youtube.com/channel/UC19sWaqXdxrjnCRXKy4mg-Q")</f>
        <v>https://www.youtube.com/channel/UC19sWaqXdxrjnCRXKy4mg-Q</v>
      </c>
      <c r="AU476" s="81">
        <v>2</v>
      </c>
      <c r="AV476" s="49">
        <v>0</v>
      </c>
      <c r="AW476" s="50">
        <v>0</v>
      </c>
      <c r="AX476" s="49">
        <v>1</v>
      </c>
      <c r="AY476" s="50">
        <v>5.555555555555555</v>
      </c>
      <c r="AZ476" s="49">
        <v>0</v>
      </c>
      <c r="BA476" s="50">
        <v>0</v>
      </c>
      <c r="BB476" s="49">
        <v>11</v>
      </c>
      <c r="BC476" s="50">
        <v>61.111111111111114</v>
      </c>
      <c r="BD476" s="49">
        <v>18</v>
      </c>
      <c r="BE476" s="49"/>
      <c r="BF476" s="49"/>
      <c r="BG476" s="49"/>
      <c r="BH476" s="49"/>
      <c r="BI476" s="49"/>
      <c r="BJ476" s="49"/>
      <c r="BK476" s="115" t="s">
        <v>2997</v>
      </c>
      <c r="BL476" s="115" t="s">
        <v>2997</v>
      </c>
      <c r="BM476" s="115" t="s">
        <v>3441</v>
      </c>
      <c r="BN476" s="115" t="s">
        <v>3441</v>
      </c>
      <c r="BO476" s="2"/>
      <c r="BP476" s="3"/>
      <c r="BQ476" s="3"/>
      <c r="BR476" s="3"/>
      <c r="BS476" s="3"/>
    </row>
    <row r="477" spans="1:71" ht="15">
      <c r="A477" s="66" t="s">
        <v>695</v>
      </c>
      <c r="B477" s="67"/>
      <c r="C477" s="67"/>
      <c r="D477" s="68">
        <v>150</v>
      </c>
      <c r="E477" s="70"/>
      <c r="F477" s="102" t="str">
        <f>HYPERLINK("https://yt3.ggpht.com/ytc/AOPolaRBDqR4AfuFl2IwznCBFdzF_SoMZuqm0R6xd7qC=s88-c-k-c0x00ffffff-no-rj")</f>
        <v>https://yt3.ggpht.com/ytc/AOPolaRBDqR4AfuFl2IwznCBFdzF_SoMZuqm0R6xd7qC=s88-c-k-c0x00ffffff-no-rj</v>
      </c>
      <c r="G477" s="67"/>
      <c r="H477" s="71" t="s">
        <v>1760</v>
      </c>
      <c r="I477" s="72"/>
      <c r="J477" s="72" t="s">
        <v>159</v>
      </c>
      <c r="K477" s="71" t="s">
        <v>1760</v>
      </c>
      <c r="L477" s="75">
        <v>1</v>
      </c>
      <c r="M477" s="76">
        <v>2411.62841796875</v>
      </c>
      <c r="N477" s="76">
        <v>3135.498779296875</v>
      </c>
      <c r="O477" s="77"/>
      <c r="P477" s="78"/>
      <c r="Q477" s="78"/>
      <c r="R477" s="88"/>
      <c r="S477" s="49">
        <v>0</v>
      </c>
      <c r="T477" s="49">
        <v>1</v>
      </c>
      <c r="U477" s="50">
        <v>0</v>
      </c>
      <c r="V477" s="50">
        <v>0.135911</v>
      </c>
      <c r="W477" s="50">
        <v>0</v>
      </c>
      <c r="X477" s="50">
        <v>0.00158</v>
      </c>
      <c r="Y477" s="50">
        <v>0</v>
      </c>
      <c r="Z477" s="50">
        <v>0</v>
      </c>
      <c r="AA477" s="73">
        <v>477</v>
      </c>
      <c r="AB477" s="73"/>
      <c r="AC477" s="74"/>
      <c r="AD477" s="81" t="s">
        <v>1760</v>
      </c>
      <c r="AE477" s="81"/>
      <c r="AF477" s="81"/>
      <c r="AG477" s="81"/>
      <c r="AH477" s="81"/>
      <c r="AI477" s="81" t="s">
        <v>2493</v>
      </c>
      <c r="AJ477" s="85">
        <v>39915.88711805556</v>
      </c>
      <c r="AK477" s="83" t="str">
        <f>HYPERLINK("https://yt3.ggpht.com/ytc/AOPolaRBDqR4AfuFl2IwznCBFdzF_SoMZuqm0R6xd7qC=s88-c-k-c0x00ffffff-no-rj")</f>
        <v>https://yt3.ggpht.com/ytc/AOPolaRBDqR4AfuFl2IwznCBFdzF_SoMZuqm0R6xd7qC=s88-c-k-c0x00ffffff-no-rj</v>
      </c>
      <c r="AL477" s="81">
        <v>0</v>
      </c>
      <c r="AM477" s="81">
        <v>0</v>
      </c>
      <c r="AN477" s="81">
        <v>44</v>
      </c>
      <c r="AO477" s="81" t="b">
        <v>0</v>
      </c>
      <c r="AP477" s="81">
        <v>0</v>
      </c>
      <c r="AQ477" s="81"/>
      <c r="AR477" s="81"/>
      <c r="AS477" s="81" t="s">
        <v>2571</v>
      </c>
      <c r="AT477" s="83" t="str">
        <f>HYPERLINK("https://www.youtube.com/channel/UCMmYeNobfU1erL5KunJ0OfQ")</f>
        <v>https://www.youtube.com/channel/UCMmYeNobfU1erL5KunJ0OfQ</v>
      </c>
      <c r="AU477" s="81">
        <v>2</v>
      </c>
      <c r="AV477" s="49">
        <v>1</v>
      </c>
      <c r="AW477" s="50">
        <v>3.7037037037037037</v>
      </c>
      <c r="AX477" s="49">
        <v>1</v>
      </c>
      <c r="AY477" s="50">
        <v>3.7037037037037037</v>
      </c>
      <c r="AZ477" s="49">
        <v>0</v>
      </c>
      <c r="BA477" s="50">
        <v>0</v>
      </c>
      <c r="BB477" s="49">
        <v>10</v>
      </c>
      <c r="BC477" s="50">
        <v>37.03703703703704</v>
      </c>
      <c r="BD477" s="49">
        <v>27</v>
      </c>
      <c r="BE477" s="49"/>
      <c r="BF477" s="49"/>
      <c r="BG477" s="49"/>
      <c r="BH477" s="49"/>
      <c r="BI477" s="49"/>
      <c r="BJ477" s="49"/>
      <c r="BK477" s="115" t="s">
        <v>2998</v>
      </c>
      <c r="BL477" s="115" t="s">
        <v>2998</v>
      </c>
      <c r="BM477" s="115" t="s">
        <v>3442</v>
      </c>
      <c r="BN477" s="115" t="s">
        <v>3442</v>
      </c>
      <c r="BO477" s="2"/>
      <c r="BP477" s="3"/>
      <c r="BQ477" s="3"/>
      <c r="BR477" s="3"/>
      <c r="BS477" s="3"/>
    </row>
    <row r="478" spans="1:71" ht="15">
      <c r="A478" s="66" t="s">
        <v>696</v>
      </c>
      <c r="B478" s="67"/>
      <c r="C478" s="67"/>
      <c r="D478" s="68">
        <v>150</v>
      </c>
      <c r="E478" s="70"/>
      <c r="F478" s="102" t="str">
        <f>HYPERLINK("https://yt3.ggpht.com/ytc/AOPolaQ9rzwXNaRdERew8wqvn9Zgvu26fWS_s8hFU9YH=s88-c-k-c0x00ffffff-no-rj")</f>
        <v>https://yt3.ggpht.com/ytc/AOPolaQ9rzwXNaRdERew8wqvn9Zgvu26fWS_s8hFU9YH=s88-c-k-c0x00ffffff-no-rj</v>
      </c>
      <c r="G478" s="67"/>
      <c r="H478" s="71" t="s">
        <v>1761</v>
      </c>
      <c r="I478" s="72"/>
      <c r="J478" s="72" t="s">
        <v>159</v>
      </c>
      <c r="K478" s="71" t="s">
        <v>1761</v>
      </c>
      <c r="L478" s="75">
        <v>1</v>
      </c>
      <c r="M478" s="76">
        <v>799.2589111328125</v>
      </c>
      <c r="N478" s="76">
        <v>1217.39453125</v>
      </c>
      <c r="O478" s="77"/>
      <c r="P478" s="78"/>
      <c r="Q478" s="78"/>
      <c r="R478" s="88"/>
      <c r="S478" s="49">
        <v>0</v>
      </c>
      <c r="T478" s="49">
        <v>1</v>
      </c>
      <c r="U478" s="50">
        <v>0</v>
      </c>
      <c r="V478" s="50">
        <v>0.135911</v>
      </c>
      <c r="W478" s="50">
        <v>0</v>
      </c>
      <c r="X478" s="50">
        <v>0.00158</v>
      </c>
      <c r="Y478" s="50">
        <v>0</v>
      </c>
      <c r="Z478" s="50">
        <v>0</v>
      </c>
      <c r="AA478" s="73">
        <v>478</v>
      </c>
      <c r="AB478" s="73"/>
      <c r="AC478" s="74"/>
      <c r="AD478" s="81" t="s">
        <v>1761</v>
      </c>
      <c r="AE478" s="81"/>
      <c r="AF478" s="81"/>
      <c r="AG478" s="81"/>
      <c r="AH478" s="81"/>
      <c r="AI478" s="81" t="s">
        <v>2494</v>
      </c>
      <c r="AJ478" s="85">
        <v>44082.36618055555</v>
      </c>
      <c r="AK478" s="83" t="str">
        <f>HYPERLINK("https://yt3.ggpht.com/ytc/AOPolaQ9rzwXNaRdERew8wqvn9Zgvu26fWS_s8hFU9YH=s88-c-k-c0x00ffffff-no-rj")</f>
        <v>https://yt3.ggpht.com/ytc/AOPolaQ9rzwXNaRdERew8wqvn9Zgvu26fWS_s8hFU9YH=s88-c-k-c0x00ffffff-no-rj</v>
      </c>
      <c r="AL478" s="81">
        <v>0</v>
      </c>
      <c r="AM478" s="81">
        <v>0</v>
      </c>
      <c r="AN478" s="81">
        <v>1</v>
      </c>
      <c r="AO478" s="81" t="b">
        <v>0</v>
      </c>
      <c r="AP478" s="81">
        <v>0</v>
      </c>
      <c r="AQ478" s="81"/>
      <c r="AR478" s="81"/>
      <c r="AS478" s="81" t="s">
        <v>2571</v>
      </c>
      <c r="AT478" s="83" t="str">
        <f>HYPERLINK("https://www.youtube.com/channel/UCblXTng8t8ELWi2_bvR0VnA")</f>
        <v>https://www.youtube.com/channel/UCblXTng8t8ELWi2_bvR0VnA</v>
      </c>
      <c r="AU478" s="81">
        <v>2</v>
      </c>
      <c r="AV478" s="49">
        <v>0</v>
      </c>
      <c r="AW478" s="50">
        <v>0</v>
      </c>
      <c r="AX478" s="49">
        <v>1</v>
      </c>
      <c r="AY478" s="50">
        <v>7.6923076923076925</v>
      </c>
      <c r="AZ478" s="49">
        <v>0</v>
      </c>
      <c r="BA478" s="50">
        <v>0</v>
      </c>
      <c r="BB478" s="49">
        <v>3</v>
      </c>
      <c r="BC478" s="50">
        <v>23.076923076923077</v>
      </c>
      <c r="BD478" s="49">
        <v>13</v>
      </c>
      <c r="BE478" s="49"/>
      <c r="BF478" s="49"/>
      <c r="BG478" s="49"/>
      <c r="BH478" s="49"/>
      <c r="BI478" s="49"/>
      <c r="BJ478" s="49"/>
      <c r="BK478" s="115" t="s">
        <v>2999</v>
      </c>
      <c r="BL478" s="115" t="s">
        <v>2999</v>
      </c>
      <c r="BM478" s="115" t="s">
        <v>3443</v>
      </c>
      <c r="BN478" s="115" t="s">
        <v>3443</v>
      </c>
      <c r="BO478" s="2"/>
      <c r="BP478" s="3"/>
      <c r="BQ478" s="3"/>
      <c r="BR478" s="3"/>
      <c r="BS478" s="3"/>
    </row>
    <row r="479" spans="1:71" ht="15">
      <c r="A479" s="66" t="s">
        <v>697</v>
      </c>
      <c r="B479" s="67"/>
      <c r="C479" s="67"/>
      <c r="D479" s="68">
        <v>150</v>
      </c>
      <c r="E479" s="70"/>
      <c r="F479" s="102" t="str">
        <f>HYPERLINK("https://yt3.ggpht.com/WSm7oFSu9FmpykZd3ShHVtZf9bs_7NuNI93yL_2DozUKT9Wn8A5vbXK98D-MKM988IEWnWJt=s88-c-k-c0x00ffffff-no-rj")</f>
        <v>https://yt3.ggpht.com/WSm7oFSu9FmpykZd3ShHVtZf9bs_7NuNI93yL_2DozUKT9Wn8A5vbXK98D-MKM988IEWnWJt=s88-c-k-c0x00ffffff-no-rj</v>
      </c>
      <c r="G479" s="67"/>
      <c r="H479" s="71" t="s">
        <v>1762</v>
      </c>
      <c r="I479" s="72"/>
      <c r="J479" s="72" t="s">
        <v>159</v>
      </c>
      <c r="K479" s="71" t="s">
        <v>1762</v>
      </c>
      <c r="L479" s="75">
        <v>1</v>
      </c>
      <c r="M479" s="76">
        <v>792.4763793945312</v>
      </c>
      <c r="N479" s="76">
        <v>3351.637939453125</v>
      </c>
      <c r="O479" s="77"/>
      <c r="P479" s="78"/>
      <c r="Q479" s="78"/>
      <c r="R479" s="88"/>
      <c r="S479" s="49">
        <v>0</v>
      </c>
      <c r="T479" s="49">
        <v>1</v>
      </c>
      <c r="U479" s="50">
        <v>0</v>
      </c>
      <c r="V479" s="50">
        <v>0.135911</v>
      </c>
      <c r="W479" s="50">
        <v>0</v>
      </c>
      <c r="X479" s="50">
        <v>0.00158</v>
      </c>
      <c r="Y479" s="50">
        <v>0</v>
      </c>
      <c r="Z479" s="50">
        <v>0</v>
      </c>
      <c r="AA479" s="73">
        <v>479</v>
      </c>
      <c r="AB479" s="73"/>
      <c r="AC479" s="74"/>
      <c r="AD479" s="81" t="s">
        <v>1762</v>
      </c>
      <c r="AE479" s="81"/>
      <c r="AF479" s="81"/>
      <c r="AG479" s="81"/>
      <c r="AH479" s="81"/>
      <c r="AI479" s="81" t="s">
        <v>2495</v>
      </c>
      <c r="AJ479" s="85">
        <v>41757.21053240741</v>
      </c>
      <c r="AK479" s="83" t="str">
        <f>HYPERLINK("https://yt3.ggpht.com/WSm7oFSu9FmpykZd3ShHVtZf9bs_7NuNI93yL_2DozUKT9Wn8A5vbXK98D-MKM988IEWnWJt=s88-c-k-c0x00ffffff-no-rj")</f>
        <v>https://yt3.ggpht.com/WSm7oFSu9FmpykZd3ShHVtZf9bs_7NuNI93yL_2DozUKT9Wn8A5vbXK98D-MKM988IEWnWJt=s88-c-k-c0x00ffffff-no-rj</v>
      </c>
      <c r="AL479" s="81">
        <v>0</v>
      </c>
      <c r="AM479" s="81">
        <v>0</v>
      </c>
      <c r="AN479" s="81">
        <v>3</v>
      </c>
      <c r="AO479" s="81" t="b">
        <v>0</v>
      </c>
      <c r="AP479" s="81">
        <v>0</v>
      </c>
      <c r="AQ479" s="81"/>
      <c r="AR479" s="81"/>
      <c r="AS479" s="81" t="s">
        <v>2571</v>
      </c>
      <c r="AT479" s="83" t="str">
        <f>HYPERLINK("https://www.youtube.com/channel/UCfuVPsdveNmN7ZotWZXLnVQ")</f>
        <v>https://www.youtube.com/channel/UCfuVPsdveNmN7ZotWZXLnVQ</v>
      </c>
      <c r="AU479" s="81">
        <v>2</v>
      </c>
      <c r="AV479" s="49">
        <v>0</v>
      </c>
      <c r="AW479" s="50">
        <v>0</v>
      </c>
      <c r="AX479" s="49">
        <v>0</v>
      </c>
      <c r="AY479" s="50">
        <v>0</v>
      </c>
      <c r="AZ479" s="49">
        <v>0</v>
      </c>
      <c r="BA479" s="50">
        <v>0</v>
      </c>
      <c r="BB479" s="49">
        <v>5</v>
      </c>
      <c r="BC479" s="50">
        <v>31.25</v>
      </c>
      <c r="BD479" s="49">
        <v>16</v>
      </c>
      <c r="BE479" s="49"/>
      <c r="BF479" s="49"/>
      <c r="BG479" s="49"/>
      <c r="BH479" s="49"/>
      <c r="BI479" s="49"/>
      <c r="BJ479" s="49"/>
      <c r="BK479" s="115" t="s">
        <v>3000</v>
      </c>
      <c r="BL479" s="115" t="s">
        <v>3000</v>
      </c>
      <c r="BM479" s="115" t="s">
        <v>3444</v>
      </c>
      <c r="BN479" s="115" t="s">
        <v>3444</v>
      </c>
      <c r="BO479" s="2"/>
      <c r="BP479" s="3"/>
      <c r="BQ479" s="3"/>
      <c r="BR479" s="3"/>
      <c r="BS479" s="3"/>
    </row>
    <row r="480" spans="1:71" ht="15">
      <c r="A480" s="66" t="s">
        <v>698</v>
      </c>
      <c r="B480" s="67"/>
      <c r="C480" s="67"/>
      <c r="D480" s="68">
        <v>150</v>
      </c>
      <c r="E480" s="70"/>
      <c r="F480" s="102" t="str">
        <f>HYPERLINK("https://yt3.ggpht.com/ytc/AOPolaRV9asIrN0eaPgye55enk4iJqErrWS1C8DLx_A5W_iPuf6VHiK15MqlF5UAGDMM=s88-c-k-c0x00ffffff-no-rj")</f>
        <v>https://yt3.ggpht.com/ytc/AOPolaRV9asIrN0eaPgye55enk4iJqErrWS1C8DLx_A5W_iPuf6VHiK15MqlF5UAGDMM=s88-c-k-c0x00ffffff-no-rj</v>
      </c>
      <c r="G480" s="67"/>
      <c r="H480" s="71" t="s">
        <v>1763</v>
      </c>
      <c r="I480" s="72"/>
      <c r="J480" s="72" t="s">
        <v>159</v>
      </c>
      <c r="K480" s="71" t="s">
        <v>1763</v>
      </c>
      <c r="L480" s="75">
        <v>1</v>
      </c>
      <c r="M480" s="76">
        <v>3116.54833984375</v>
      </c>
      <c r="N480" s="76">
        <v>3475.9130859375</v>
      </c>
      <c r="O480" s="77"/>
      <c r="P480" s="78"/>
      <c r="Q480" s="78"/>
      <c r="R480" s="88"/>
      <c r="S480" s="49">
        <v>0</v>
      </c>
      <c r="T480" s="49">
        <v>1</v>
      </c>
      <c r="U480" s="50">
        <v>0</v>
      </c>
      <c r="V480" s="50">
        <v>0.135911</v>
      </c>
      <c r="W480" s="50">
        <v>0</v>
      </c>
      <c r="X480" s="50">
        <v>0.00158</v>
      </c>
      <c r="Y480" s="50">
        <v>0</v>
      </c>
      <c r="Z480" s="50">
        <v>0</v>
      </c>
      <c r="AA480" s="73">
        <v>480</v>
      </c>
      <c r="AB480" s="73"/>
      <c r="AC480" s="74"/>
      <c r="AD480" s="81" t="s">
        <v>1763</v>
      </c>
      <c r="AE480" s="81"/>
      <c r="AF480" s="81"/>
      <c r="AG480" s="81"/>
      <c r="AH480" s="81"/>
      <c r="AI480" s="81" t="s">
        <v>2496</v>
      </c>
      <c r="AJ480" s="85">
        <v>40681.08877314815</v>
      </c>
      <c r="AK480" s="83" t="str">
        <f>HYPERLINK("https://yt3.ggpht.com/ytc/AOPolaRV9asIrN0eaPgye55enk4iJqErrWS1C8DLx_A5W_iPuf6VHiK15MqlF5UAGDMM=s88-c-k-c0x00ffffff-no-rj")</f>
        <v>https://yt3.ggpht.com/ytc/AOPolaRV9asIrN0eaPgye55enk4iJqErrWS1C8DLx_A5W_iPuf6VHiK15MqlF5UAGDMM=s88-c-k-c0x00ffffff-no-rj</v>
      </c>
      <c r="AL480" s="81">
        <v>0</v>
      </c>
      <c r="AM480" s="81">
        <v>0</v>
      </c>
      <c r="AN480" s="81">
        <v>1</v>
      </c>
      <c r="AO480" s="81" t="b">
        <v>0</v>
      </c>
      <c r="AP480" s="81">
        <v>0</v>
      </c>
      <c r="AQ480" s="81"/>
      <c r="AR480" s="81"/>
      <c r="AS480" s="81" t="s">
        <v>2571</v>
      </c>
      <c r="AT480" s="83" t="str">
        <f>HYPERLINK("https://www.youtube.com/channel/UC-Vsu2Rq8-B4Us_LD6XsTrw")</f>
        <v>https://www.youtube.com/channel/UC-Vsu2Rq8-B4Us_LD6XsTrw</v>
      </c>
      <c r="AU480" s="81">
        <v>2</v>
      </c>
      <c r="AV480" s="49">
        <v>0</v>
      </c>
      <c r="AW480" s="50">
        <v>0</v>
      </c>
      <c r="AX480" s="49">
        <v>1</v>
      </c>
      <c r="AY480" s="50">
        <v>5.882352941176471</v>
      </c>
      <c r="AZ480" s="49">
        <v>0</v>
      </c>
      <c r="BA480" s="50">
        <v>0</v>
      </c>
      <c r="BB480" s="49">
        <v>6</v>
      </c>
      <c r="BC480" s="50">
        <v>35.294117647058826</v>
      </c>
      <c r="BD480" s="49">
        <v>17</v>
      </c>
      <c r="BE480" s="49"/>
      <c r="BF480" s="49"/>
      <c r="BG480" s="49"/>
      <c r="BH480" s="49"/>
      <c r="BI480" s="49"/>
      <c r="BJ480" s="49"/>
      <c r="BK480" s="115" t="s">
        <v>3001</v>
      </c>
      <c r="BL480" s="115" t="s">
        <v>3001</v>
      </c>
      <c r="BM480" s="115" t="s">
        <v>3445</v>
      </c>
      <c r="BN480" s="115" t="s">
        <v>3445</v>
      </c>
      <c r="BO480" s="2"/>
      <c r="BP480" s="3"/>
      <c r="BQ480" s="3"/>
      <c r="BR480" s="3"/>
      <c r="BS480" s="3"/>
    </row>
    <row r="481" spans="1:71" ht="15">
      <c r="A481" s="66" t="s">
        <v>699</v>
      </c>
      <c r="B481" s="67"/>
      <c r="C481" s="67"/>
      <c r="D481" s="68">
        <v>150</v>
      </c>
      <c r="E481" s="70"/>
      <c r="F481" s="102" t="str">
        <f>HYPERLINK("https://yt3.ggpht.com/ytc/AOPolaSY18R0R1jCZUsXpFj4QeLgWd1tSyCUC08cAA=s88-c-k-c0x00ffffff-no-rj")</f>
        <v>https://yt3.ggpht.com/ytc/AOPolaSY18R0R1jCZUsXpFj4QeLgWd1tSyCUC08cAA=s88-c-k-c0x00ffffff-no-rj</v>
      </c>
      <c r="G481" s="67"/>
      <c r="H481" s="71" t="s">
        <v>1764</v>
      </c>
      <c r="I481" s="72"/>
      <c r="J481" s="72" t="s">
        <v>159</v>
      </c>
      <c r="K481" s="71" t="s">
        <v>1764</v>
      </c>
      <c r="L481" s="75">
        <v>1</v>
      </c>
      <c r="M481" s="76">
        <v>2620.677978515625</v>
      </c>
      <c r="N481" s="76">
        <v>2099.209228515625</v>
      </c>
      <c r="O481" s="77"/>
      <c r="P481" s="78"/>
      <c r="Q481" s="78"/>
      <c r="R481" s="88"/>
      <c r="S481" s="49">
        <v>0</v>
      </c>
      <c r="T481" s="49">
        <v>1</v>
      </c>
      <c r="U481" s="50">
        <v>0</v>
      </c>
      <c r="V481" s="50">
        <v>0.135911</v>
      </c>
      <c r="W481" s="50">
        <v>0</v>
      </c>
      <c r="X481" s="50">
        <v>0.00158</v>
      </c>
      <c r="Y481" s="50">
        <v>0</v>
      </c>
      <c r="Z481" s="50">
        <v>0</v>
      </c>
      <c r="AA481" s="73">
        <v>481</v>
      </c>
      <c r="AB481" s="73"/>
      <c r="AC481" s="74"/>
      <c r="AD481" s="81" t="s">
        <v>1764</v>
      </c>
      <c r="AE481" s="81"/>
      <c r="AF481" s="81"/>
      <c r="AG481" s="81"/>
      <c r="AH481" s="81"/>
      <c r="AI481" s="81" t="s">
        <v>2497</v>
      </c>
      <c r="AJ481" s="85">
        <v>41331.41630787037</v>
      </c>
      <c r="AK481" s="83" t="str">
        <f>HYPERLINK("https://yt3.ggpht.com/ytc/AOPolaSY18R0R1jCZUsXpFj4QeLgWd1tSyCUC08cAA=s88-c-k-c0x00ffffff-no-rj")</f>
        <v>https://yt3.ggpht.com/ytc/AOPolaSY18R0R1jCZUsXpFj4QeLgWd1tSyCUC08cAA=s88-c-k-c0x00ffffff-no-rj</v>
      </c>
      <c r="AL481" s="81">
        <v>0</v>
      </c>
      <c r="AM481" s="81">
        <v>0</v>
      </c>
      <c r="AN481" s="81">
        <v>2</v>
      </c>
      <c r="AO481" s="81" t="b">
        <v>0</v>
      </c>
      <c r="AP481" s="81">
        <v>0</v>
      </c>
      <c r="AQ481" s="81"/>
      <c r="AR481" s="81"/>
      <c r="AS481" s="81" t="s">
        <v>2571</v>
      </c>
      <c r="AT481" s="83" t="str">
        <f>HYPERLINK("https://www.youtube.com/channel/UCf4pZc-iceY4rRW_FIH1Unw")</f>
        <v>https://www.youtube.com/channel/UCf4pZc-iceY4rRW_FIH1Unw</v>
      </c>
      <c r="AU481" s="81">
        <v>2</v>
      </c>
      <c r="AV481" s="49">
        <v>1</v>
      </c>
      <c r="AW481" s="50">
        <v>7.6923076923076925</v>
      </c>
      <c r="AX481" s="49">
        <v>0</v>
      </c>
      <c r="AY481" s="50">
        <v>0</v>
      </c>
      <c r="AZ481" s="49">
        <v>0</v>
      </c>
      <c r="BA481" s="50">
        <v>0</v>
      </c>
      <c r="BB481" s="49">
        <v>5</v>
      </c>
      <c r="BC481" s="50">
        <v>38.46153846153846</v>
      </c>
      <c r="BD481" s="49">
        <v>13</v>
      </c>
      <c r="BE481" s="49"/>
      <c r="BF481" s="49"/>
      <c r="BG481" s="49"/>
      <c r="BH481" s="49"/>
      <c r="BI481" s="49"/>
      <c r="BJ481" s="49"/>
      <c r="BK481" s="115" t="s">
        <v>3002</v>
      </c>
      <c r="BL481" s="115" t="s">
        <v>3002</v>
      </c>
      <c r="BM481" s="115" t="s">
        <v>3446</v>
      </c>
      <c r="BN481" s="115" t="s">
        <v>3446</v>
      </c>
      <c r="BO481" s="2"/>
      <c r="BP481" s="3"/>
      <c r="BQ481" s="3"/>
      <c r="BR481" s="3"/>
      <c r="BS481" s="3"/>
    </row>
    <row r="482" spans="1:71" ht="15">
      <c r="A482" s="66" t="s">
        <v>700</v>
      </c>
      <c r="B482" s="67"/>
      <c r="C482" s="67"/>
      <c r="D482" s="68">
        <v>150</v>
      </c>
      <c r="E482" s="70"/>
      <c r="F482" s="102" t="str">
        <f>HYPERLINK("https://yt3.ggpht.com/ytc/AOPolaTZvUQoKtzGbG5l1JxPBJARd7QqIzML6djFTg=s88-c-k-c0x00ffffff-no-rj")</f>
        <v>https://yt3.ggpht.com/ytc/AOPolaTZvUQoKtzGbG5l1JxPBJARd7QqIzML6djFTg=s88-c-k-c0x00ffffff-no-rj</v>
      </c>
      <c r="G482" s="67"/>
      <c r="H482" s="71" t="s">
        <v>1765</v>
      </c>
      <c r="I482" s="72"/>
      <c r="J482" s="72" t="s">
        <v>159</v>
      </c>
      <c r="K482" s="71" t="s">
        <v>1765</v>
      </c>
      <c r="L482" s="75">
        <v>1</v>
      </c>
      <c r="M482" s="76">
        <v>4670.12353515625</v>
      </c>
      <c r="N482" s="76">
        <v>2104.42822265625</v>
      </c>
      <c r="O482" s="77"/>
      <c r="P482" s="78"/>
      <c r="Q482" s="78"/>
      <c r="R482" s="88"/>
      <c r="S482" s="49">
        <v>0</v>
      </c>
      <c r="T482" s="49">
        <v>1</v>
      </c>
      <c r="U482" s="50">
        <v>0</v>
      </c>
      <c r="V482" s="50">
        <v>0.135911</v>
      </c>
      <c r="W482" s="50">
        <v>0</v>
      </c>
      <c r="X482" s="50">
        <v>0.00158</v>
      </c>
      <c r="Y482" s="50">
        <v>0</v>
      </c>
      <c r="Z482" s="50">
        <v>0</v>
      </c>
      <c r="AA482" s="73">
        <v>482</v>
      </c>
      <c r="AB482" s="73"/>
      <c r="AC482" s="74"/>
      <c r="AD482" s="81" t="s">
        <v>1765</v>
      </c>
      <c r="AE482" s="81"/>
      <c r="AF482" s="81"/>
      <c r="AG482" s="81"/>
      <c r="AH482" s="81"/>
      <c r="AI482" s="81" t="s">
        <v>2498</v>
      </c>
      <c r="AJ482" s="85">
        <v>41531.94133101852</v>
      </c>
      <c r="AK482" s="83" t="str">
        <f>HYPERLINK("https://yt3.ggpht.com/ytc/AOPolaTZvUQoKtzGbG5l1JxPBJARd7QqIzML6djFTg=s88-c-k-c0x00ffffff-no-rj")</f>
        <v>https://yt3.ggpht.com/ytc/AOPolaTZvUQoKtzGbG5l1JxPBJARd7QqIzML6djFTg=s88-c-k-c0x00ffffff-no-rj</v>
      </c>
      <c r="AL482" s="81">
        <v>516</v>
      </c>
      <c r="AM482" s="81">
        <v>0</v>
      </c>
      <c r="AN482" s="81">
        <v>2</v>
      </c>
      <c r="AO482" s="81" t="b">
        <v>0</v>
      </c>
      <c r="AP482" s="81">
        <v>2</v>
      </c>
      <c r="AQ482" s="81"/>
      <c r="AR482" s="81"/>
      <c r="AS482" s="81" t="s">
        <v>2571</v>
      </c>
      <c r="AT482" s="83" t="str">
        <f>HYPERLINK("https://www.youtube.com/channel/UCORptN_cZjib1yvvXJb0qDQ")</f>
        <v>https://www.youtube.com/channel/UCORptN_cZjib1yvvXJb0qDQ</v>
      </c>
      <c r="AU482" s="81">
        <v>2</v>
      </c>
      <c r="AV482" s="49">
        <v>1</v>
      </c>
      <c r="AW482" s="50">
        <v>4.166666666666667</v>
      </c>
      <c r="AX482" s="49">
        <v>0</v>
      </c>
      <c r="AY482" s="50">
        <v>0</v>
      </c>
      <c r="AZ482" s="49">
        <v>0</v>
      </c>
      <c r="BA482" s="50">
        <v>0</v>
      </c>
      <c r="BB482" s="49">
        <v>9</v>
      </c>
      <c r="BC482" s="50">
        <v>37.5</v>
      </c>
      <c r="BD482" s="49">
        <v>24</v>
      </c>
      <c r="BE482" s="49"/>
      <c r="BF482" s="49"/>
      <c r="BG482" s="49"/>
      <c r="BH482" s="49"/>
      <c r="BI482" s="49"/>
      <c r="BJ482" s="49"/>
      <c r="BK482" s="115" t="s">
        <v>3003</v>
      </c>
      <c r="BL482" s="115" t="s">
        <v>3003</v>
      </c>
      <c r="BM482" s="115" t="s">
        <v>3447</v>
      </c>
      <c r="BN482" s="115" t="s">
        <v>3447</v>
      </c>
      <c r="BO482" s="2"/>
      <c r="BP482" s="3"/>
      <c r="BQ482" s="3"/>
      <c r="BR482" s="3"/>
      <c r="BS482" s="3"/>
    </row>
    <row r="483" spans="1:71" ht="15">
      <c r="A483" s="66" t="s">
        <v>701</v>
      </c>
      <c r="B483" s="67"/>
      <c r="C483" s="67"/>
      <c r="D483" s="68">
        <v>150</v>
      </c>
      <c r="E483" s="70"/>
      <c r="F483" s="102" t="str">
        <f>HYPERLINK("https://yt3.ggpht.com/ytc/AOPolaRVzcpzSX3wkYRyduUgI54E7W-7wLDXa9RovQ=s88-c-k-c0x00ffffff-no-rj")</f>
        <v>https://yt3.ggpht.com/ytc/AOPolaRVzcpzSX3wkYRyduUgI54E7W-7wLDXa9RovQ=s88-c-k-c0x00ffffff-no-rj</v>
      </c>
      <c r="G483" s="67"/>
      <c r="H483" s="71" t="s">
        <v>1766</v>
      </c>
      <c r="I483" s="72"/>
      <c r="J483" s="72" t="s">
        <v>159</v>
      </c>
      <c r="K483" s="71" t="s">
        <v>1766</v>
      </c>
      <c r="L483" s="75">
        <v>1</v>
      </c>
      <c r="M483" s="76">
        <v>2707.4833984375</v>
      </c>
      <c r="N483" s="76">
        <v>407.7257995605469</v>
      </c>
      <c r="O483" s="77"/>
      <c r="P483" s="78"/>
      <c r="Q483" s="78"/>
      <c r="R483" s="88"/>
      <c r="S483" s="49">
        <v>0</v>
      </c>
      <c r="T483" s="49">
        <v>1</v>
      </c>
      <c r="U483" s="50">
        <v>0</v>
      </c>
      <c r="V483" s="50">
        <v>0.135911</v>
      </c>
      <c r="W483" s="50">
        <v>0</v>
      </c>
      <c r="X483" s="50">
        <v>0.00158</v>
      </c>
      <c r="Y483" s="50">
        <v>0</v>
      </c>
      <c r="Z483" s="50">
        <v>0</v>
      </c>
      <c r="AA483" s="73">
        <v>483</v>
      </c>
      <c r="AB483" s="73"/>
      <c r="AC483" s="74"/>
      <c r="AD483" s="81" t="s">
        <v>1766</v>
      </c>
      <c r="AE483" s="81"/>
      <c r="AF483" s="81"/>
      <c r="AG483" s="81"/>
      <c r="AH483" s="81"/>
      <c r="AI483" s="81" t="s">
        <v>2499</v>
      </c>
      <c r="AJ483" s="85">
        <v>40409.51263888889</v>
      </c>
      <c r="AK483" s="83" t="str">
        <f>HYPERLINK("https://yt3.ggpht.com/ytc/AOPolaRVzcpzSX3wkYRyduUgI54E7W-7wLDXa9RovQ=s88-c-k-c0x00ffffff-no-rj")</f>
        <v>https://yt3.ggpht.com/ytc/AOPolaRVzcpzSX3wkYRyduUgI54E7W-7wLDXa9RovQ=s88-c-k-c0x00ffffff-no-rj</v>
      </c>
      <c r="AL483" s="81">
        <v>0</v>
      </c>
      <c r="AM483" s="81">
        <v>0</v>
      </c>
      <c r="AN483" s="81">
        <v>0</v>
      </c>
      <c r="AO483" s="81" t="b">
        <v>0</v>
      </c>
      <c r="AP483" s="81">
        <v>0</v>
      </c>
      <c r="AQ483" s="81"/>
      <c r="AR483" s="81"/>
      <c r="AS483" s="81" t="s">
        <v>2571</v>
      </c>
      <c r="AT483" s="83" t="str">
        <f>HYPERLINK("https://www.youtube.com/channel/UCH_Mw514yZ1p-1goGHzqPAg")</f>
        <v>https://www.youtube.com/channel/UCH_Mw514yZ1p-1goGHzqPAg</v>
      </c>
      <c r="AU483" s="81">
        <v>2</v>
      </c>
      <c r="AV483" s="49">
        <v>0</v>
      </c>
      <c r="AW483" s="50">
        <v>0</v>
      </c>
      <c r="AX483" s="49">
        <v>0</v>
      </c>
      <c r="AY483" s="50">
        <v>0</v>
      </c>
      <c r="AZ483" s="49">
        <v>0</v>
      </c>
      <c r="BA483" s="50">
        <v>0</v>
      </c>
      <c r="BB483" s="49">
        <v>0</v>
      </c>
      <c r="BC483" s="50">
        <v>0</v>
      </c>
      <c r="BD483" s="49">
        <v>0</v>
      </c>
      <c r="BE483" s="49"/>
      <c r="BF483" s="49"/>
      <c r="BG483" s="49"/>
      <c r="BH483" s="49"/>
      <c r="BI483" s="49"/>
      <c r="BJ483" s="49"/>
      <c r="BK483" s="115" t="s">
        <v>4477</v>
      </c>
      <c r="BL483" s="115" t="s">
        <v>4477</v>
      </c>
      <c r="BM483" s="115" t="s">
        <v>4477</v>
      </c>
      <c r="BN483" s="115" t="s">
        <v>4477</v>
      </c>
      <c r="BO483" s="2"/>
      <c r="BP483" s="3"/>
      <c r="BQ483" s="3"/>
      <c r="BR483" s="3"/>
      <c r="BS483" s="3"/>
    </row>
    <row r="484" spans="1:71" ht="15">
      <c r="A484" s="66" t="s">
        <v>702</v>
      </c>
      <c r="B484" s="67"/>
      <c r="C484" s="67"/>
      <c r="D484" s="68">
        <v>150</v>
      </c>
      <c r="E484" s="70"/>
      <c r="F484" s="102" t="str">
        <f>HYPERLINK("https://yt3.ggpht.com/ytc/AOPolaTuJITPyHyZcsDoutkUfiPGj4FV7CltsQRyGQ=s88-c-k-c0x00ffffff-no-rj")</f>
        <v>https://yt3.ggpht.com/ytc/AOPolaTuJITPyHyZcsDoutkUfiPGj4FV7CltsQRyGQ=s88-c-k-c0x00ffffff-no-rj</v>
      </c>
      <c r="G484" s="67"/>
      <c r="H484" s="71" t="s">
        <v>1767</v>
      </c>
      <c r="I484" s="72"/>
      <c r="J484" s="72" t="s">
        <v>159</v>
      </c>
      <c r="K484" s="71" t="s">
        <v>1767</v>
      </c>
      <c r="L484" s="75">
        <v>1</v>
      </c>
      <c r="M484" s="76">
        <v>5414.4775390625</v>
      </c>
      <c r="N484" s="76">
        <v>925.0706787109375</v>
      </c>
      <c r="O484" s="77"/>
      <c r="P484" s="78"/>
      <c r="Q484" s="78"/>
      <c r="R484" s="88"/>
      <c r="S484" s="49">
        <v>0</v>
      </c>
      <c r="T484" s="49">
        <v>1</v>
      </c>
      <c r="U484" s="50">
        <v>0</v>
      </c>
      <c r="V484" s="50">
        <v>0.135911</v>
      </c>
      <c r="W484" s="50">
        <v>0</v>
      </c>
      <c r="X484" s="50">
        <v>0.00158</v>
      </c>
      <c r="Y484" s="50">
        <v>0</v>
      </c>
      <c r="Z484" s="50">
        <v>0</v>
      </c>
      <c r="AA484" s="73">
        <v>484</v>
      </c>
      <c r="AB484" s="73"/>
      <c r="AC484" s="74"/>
      <c r="AD484" s="81" t="s">
        <v>1767</v>
      </c>
      <c r="AE484" s="81"/>
      <c r="AF484" s="81"/>
      <c r="AG484" s="81"/>
      <c r="AH484" s="81"/>
      <c r="AI484" s="81" t="s">
        <v>2500</v>
      </c>
      <c r="AJ484" s="85">
        <v>42948.67847222222</v>
      </c>
      <c r="AK484" s="83" t="str">
        <f>HYPERLINK("https://yt3.ggpht.com/ytc/AOPolaTuJITPyHyZcsDoutkUfiPGj4FV7CltsQRyGQ=s88-c-k-c0x00ffffff-no-rj")</f>
        <v>https://yt3.ggpht.com/ytc/AOPolaTuJITPyHyZcsDoutkUfiPGj4FV7CltsQRyGQ=s88-c-k-c0x00ffffff-no-rj</v>
      </c>
      <c r="AL484" s="81">
        <v>0</v>
      </c>
      <c r="AM484" s="81">
        <v>0</v>
      </c>
      <c r="AN484" s="81">
        <v>1</v>
      </c>
      <c r="AO484" s="81" t="b">
        <v>0</v>
      </c>
      <c r="AP484" s="81">
        <v>0</v>
      </c>
      <c r="AQ484" s="81"/>
      <c r="AR484" s="81"/>
      <c r="AS484" s="81" t="s">
        <v>2571</v>
      </c>
      <c r="AT484" s="83" t="str">
        <f>HYPERLINK("https://www.youtube.com/channel/UC3_WGzeTLyiVjTdOCrDzBgg")</f>
        <v>https://www.youtube.com/channel/UC3_WGzeTLyiVjTdOCrDzBgg</v>
      </c>
      <c r="AU484" s="81">
        <v>2</v>
      </c>
      <c r="AV484" s="49">
        <v>0</v>
      </c>
      <c r="AW484" s="50">
        <v>0</v>
      </c>
      <c r="AX484" s="49">
        <v>1</v>
      </c>
      <c r="AY484" s="50">
        <v>5.555555555555555</v>
      </c>
      <c r="AZ484" s="49">
        <v>0</v>
      </c>
      <c r="BA484" s="50">
        <v>0</v>
      </c>
      <c r="BB484" s="49">
        <v>5</v>
      </c>
      <c r="BC484" s="50">
        <v>27.77777777777778</v>
      </c>
      <c r="BD484" s="49">
        <v>18</v>
      </c>
      <c r="BE484" s="49"/>
      <c r="BF484" s="49"/>
      <c r="BG484" s="49"/>
      <c r="BH484" s="49"/>
      <c r="BI484" s="49"/>
      <c r="BJ484" s="49"/>
      <c r="BK484" s="115" t="s">
        <v>3004</v>
      </c>
      <c r="BL484" s="115" t="s">
        <v>3004</v>
      </c>
      <c r="BM484" s="115" t="s">
        <v>3448</v>
      </c>
      <c r="BN484" s="115" t="s">
        <v>3448</v>
      </c>
      <c r="BO484" s="2"/>
      <c r="BP484" s="3"/>
      <c r="BQ484" s="3"/>
      <c r="BR484" s="3"/>
      <c r="BS484" s="3"/>
    </row>
    <row r="485" spans="1:71" ht="15">
      <c r="A485" s="66" t="s">
        <v>703</v>
      </c>
      <c r="B485" s="67"/>
      <c r="C485" s="67"/>
      <c r="D485" s="68">
        <v>150</v>
      </c>
      <c r="E485" s="70"/>
      <c r="F485" s="102" t="str">
        <f>HYPERLINK("https://yt3.ggpht.com/ytc/AOPolaS0GMsixwtqJjl_vc4qVEnp_brLrc2cxFH9RjAffFr9RgcxytmGJO5SINzTuB8H=s88-c-k-c0x00ffffff-no-rj")</f>
        <v>https://yt3.ggpht.com/ytc/AOPolaS0GMsixwtqJjl_vc4qVEnp_brLrc2cxFH9RjAffFr9RgcxytmGJO5SINzTuB8H=s88-c-k-c0x00ffffff-no-rj</v>
      </c>
      <c r="G485" s="67"/>
      <c r="H485" s="71" t="s">
        <v>1768</v>
      </c>
      <c r="I485" s="72"/>
      <c r="J485" s="72" t="s">
        <v>159</v>
      </c>
      <c r="K485" s="71" t="s">
        <v>1768</v>
      </c>
      <c r="L485" s="75">
        <v>1</v>
      </c>
      <c r="M485" s="76">
        <v>440.83636474609375</v>
      </c>
      <c r="N485" s="76">
        <v>3061.671875</v>
      </c>
      <c r="O485" s="77"/>
      <c r="P485" s="78"/>
      <c r="Q485" s="78"/>
      <c r="R485" s="88"/>
      <c r="S485" s="49">
        <v>0</v>
      </c>
      <c r="T485" s="49">
        <v>1</v>
      </c>
      <c r="U485" s="50">
        <v>0</v>
      </c>
      <c r="V485" s="50">
        <v>0.135911</v>
      </c>
      <c r="W485" s="50">
        <v>0</v>
      </c>
      <c r="X485" s="50">
        <v>0.00158</v>
      </c>
      <c r="Y485" s="50">
        <v>0</v>
      </c>
      <c r="Z485" s="50">
        <v>0</v>
      </c>
      <c r="AA485" s="73">
        <v>485</v>
      </c>
      <c r="AB485" s="73"/>
      <c r="AC485" s="74"/>
      <c r="AD485" s="81" t="s">
        <v>1768</v>
      </c>
      <c r="AE485" s="81"/>
      <c r="AF485" s="81"/>
      <c r="AG485" s="81"/>
      <c r="AH485" s="81"/>
      <c r="AI485" s="81" t="s">
        <v>2501</v>
      </c>
      <c r="AJ485" s="85">
        <v>44514.862592592595</v>
      </c>
      <c r="AK485" s="83" t="str">
        <f>HYPERLINK("https://yt3.ggpht.com/ytc/AOPolaS0GMsixwtqJjl_vc4qVEnp_brLrc2cxFH9RjAffFr9RgcxytmGJO5SINzTuB8H=s88-c-k-c0x00ffffff-no-rj")</f>
        <v>https://yt3.ggpht.com/ytc/AOPolaS0GMsixwtqJjl_vc4qVEnp_brLrc2cxFH9RjAffFr9RgcxytmGJO5SINzTuB8H=s88-c-k-c0x00ffffff-no-rj</v>
      </c>
      <c r="AL485" s="81">
        <v>0</v>
      </c>
      <c r="AM485" s="81">
        <v>0</v>
      </c>
      <c r="AN485" s="81">
        <v>0</v>
      </c>
      <c r="AO485" s="81" t="b">
        <v>0</v>
      </c>
      <c r="AP485" s="81">
        <v>0</v>
      </c>
      <c r="AQ485" s="81"/>
      <c r="AR485" s="81"/>
      <c r="AS485" s="81" t="s">
        <v>2571</v>
      </c>
      <c r="AT485" s="83" t="str">
        <f>HYPERLINK("https://www.youtube.com/channel/UCb3poqstXx4qdaw2w_5tBQw")</f>
        <v>https://www.youtube.com/channel/UCb3poqstXx4qdaw2w_5tBQw</v>
      </c>
      <c r="AU485" s="81">
        <v>2</v>
      </c>
      <c r="AV485" s="49">
        <v>0</v>
      </c>
      <c r="AW485" s="50">
        <v>0</v>
      </c>
      <c r="AX485" s="49">
        <v>0</v>
      </c>
      <c r="AY485" s="50">
        <v>0</v>
      </c>
      <c r="AZ485" s="49">
        <v>0</v>
      </c>
      <c r="BA485" s="50">
        <v>0</v>
      </c>
      <c r="BB485" s="49">
        <v>5</v>
      </c>
      <c r="BC485" s="50">
        <v>23.80952380952381</v>
      </c>
      <c r="BD485" s="49">
        <v>21</v>
      </c>
      <c r="BE485" s="49"/>
      <c r="BF485" s="49"/>
      <c r="BG485" s="49"/>
      <c r="BH485" s="49"/>
      <c r="BI485" s="49"/>
      <c r="BJ485" s="49"/>
      <c r="BK485" s="115" t="s">
        <v>3005</v>
      </c>
      <c r="BL485" s="115" t="s">
        <v>3005</v>
      </c>
      <c r="BM485" s="115" t="s">
        <v>3449</v>
      </c>
      <c r="BN485" s="115" t="s">
        <v>3449</v>
      </c>
      <c r="BO485" s="2"/>
      <c r="BP485" s="3"/>
      <c r="BQ485" s="3"/>
      <c r="BR485" s="3"/>
      <c r="BS485" s="3"/>
    </row>
    <row r="486" spans="1:71" ht="15">
      <c r="A486" s="66" t="s">
        <v>704</v>
      </c>
      <c r="B486" s="67"/>
      <c r="C486" s="67"/>
      <c r="D486" s="68">
        <v>150</v>
      </c>
      <c r="E486" s="70"/>
      <c r="F486" s="102" t="str">
        <f>HYPERLINK("https://yt3.ggpht.com/ytc/AOPolaRnUorZDoACJnF611-mBtBsIYTu-MgFGS9G6A=s88-c-k-c0x00ffffff-no-rj")</f>
        <v>https://yt3.ggpht.com/ytc/AOPolaRnUorZDoACJnF611-mBtBsIYTu-MgFGS9G6A=s88-c-k-c0x00ffffff-no-rj</v>
      </c>
      <c r="G486" s="67"/>
      <c r="H486" s="71" t="s">
        <v>1769</v>
      </c>
      <c r="I486" s="72"/>
      <c r="J486" s="72" t="s">
        <v>159</v>
      </c>
      <c r="K486" s="71" t="s">
        <v>1769</v>
      </c>
      <c r="L486" s="75">
        <v>1</v>
      </c>
      <c r="M486" s="76">
        <v>4194.33251953125</v>
      </c>
      <c r="N486" s="76">
        <v>1994.029541015625</v>
      </c>
      <c r="O486" s="77"/>
      <c r="P486" s="78"/>
      <c r="Q486" s="78"/>
      <c r="R486" s="88"/>
      <c r="S486" s="49">
        <v>0</v>
      </c>
      <c r="T486" s="49">
        <v>1</v>
      </c>
      <c r="U486" s="50">
        <v>0</v>
      </c>
      <c r="V486" s="50">
        <v>0.135911</v>
      </c>
      <c r="W486" s="50">
        <v>0</v>
      </c>
      <c r="X486" s="50">
        <v>0.00158</v>
      </c>
      <c r="Y486" s="50">
        <v>0</v>
      </c>
      <c r="Z486" s="50">
        <v>0</v>
      </c>
      <c r="AA486" s="73">
        <v>486</v>
      </c>
      <c r="AB486" s="73"/>
      <c r="AC486" s="74"/>
      <c r="AD486" s="81" t="s">
        <v>1769</v>
      </c>
      <c r="AE486" s="81"/>
      <c r="AF486" s="81"/>
      <c r="AG486" s="81"/>
      <c r="AH486" s="81"/>
      <c r="AI486" s="81" t="s">
        <v>2502</v>
      </c>
      <c r="AJ486" s="85">
        <v>39336.034097222226</v>
      </c>
      <c r="AK486" s="83" t="str">
        <f>HYPERLINK("https://yt3.ggpht.com/ytc/AOPolaRnUorZDoACJnF611-mBtBsIYTu-MgFGS9G6A=s88-c-k-c0x00ffffff-no-rj")</f>
        <v>https://yt3.ggpht.com/ytc/AOPolaRnUorZDoACJnF611-mBtBsIYTu-MgFGS9G6A=s88-c-k-c0x00ffffff-no-rj</v>
      </c>
      <c r="AL486" s="81">
        <v>0</v>
      </c>
      <c r="AM486" s="81">
        <v>0</v>
      </c>
      <c r="AN486" s="81">
        <v>0</v>
      </c>
      <c r="AO486" s="81" t="b">
        <v>0</v>
      </c>
      <c r="AP486" s="81">
        <v>0</v>
      </c>
      <c r="AQ486" s="81"/>
      <c r="AR486" s="81"/>
      <c r="AS486" s="81" t="s">
        <v>2571</v>
      </c>
      <c r="AT486" s="83" t="str">
        <f>HYPERLINK("https://www.youtube.com/channel/UCHhpxmEbI_QzJiynEHx7-ZQ")</f>
        <v>https://www.youtube.com/channel/UCHhpxmEbI_QzJiynEHx7-ZQ</v>
      </c>
      <c r="AU486" s="81">
        <v>2</v>
      </c>
      <c r="AV486" s="49">
        <v>0</v>
      </c>
      <c r="AW486" s="50">
        <v>0</v>
      </c>
      <c r="AX486" s="49">
        <v>5</v>
      </c>
      <c r="AY486" s="50">
        <v>25</v>
      </c>
      <c r="AZ486" s="49">
        <v>0</v>
      </c>
      <c r="BA486" s="50">
        <v>0</v>
      </c>
      <c r="BB486" s="49">
        <v>2</v>
      </c>
      <c r="BC486" s="50">
        <v>10</v>
      </c>
      <c r="BD486" s="49">
        <v>20</v>
      </c>
      <c r="BE486" s="49"/>
      <c r="BF486" s="49"/>
      <c r="BG486" s="49"/>
      <c r="BH486" s="49"/>
      <c r="BI486" s="49"/>
      <c r="BJ486" s="49"/>
      <c r="BK486" s="115" t="s">
        <v>3006</v>
      </c>
      <c r="BL486" s="115" t="s">
        <v>3006</v>
      </c>
      <c r="BM486" s="115" t="s">
        <v>3450</v>
      </c>
      <c r="BN486" s="115" t="s">
        <v>3450</v>
      </c>
      <c r="BO486" s="2"/>
      <c r="BP486" s="3"/>
      <c r="BQ486" s="3"/>
      <c r="BR486" s="3"/>
      <c r="BS486" s="3"/>
    </row>
    <row r="487" spans="1:71" ht="15">
      <c r="A487" s="66" t="s">
        <v>705</v>
      </c>
      <c r="B487" s="67"/>
      <c r="C487" s="67"/>
      <c r="D487" s="68">
        <v>150</v>
      </c>
      <c r="E487" s="70"/>
      <c r="F487" s="102" t="str">
        <f>HYPERLINK("https://yt3.ggpht.com/OYAhqxmpJu-jIt9axoApYBH8hhfhnYJ_waT6ixIeRLbQdwLoKPlPLbqfl8n2xA-esRoQXTUTZA=s88-c-k-c0x00ffffff-no-rj")</f>
        <v>https://yt3.ggpht.com/OYAhqxmpJu-jIt9axoApYBH8hhfhnYJ_waT6ixIeRLbQdwLoKPlPLbqfl8n2xA-esRoQXTUTZA=s88-c-k-c0x00ffffff-no-rj</v>
      </c>
      <c r="G487" s="67"/>
      <c r="H487" s="71" t="s">
        <v>1770</v>
      </c>
      <c r="I487" s="72"/>
      <c r="J487" s="72" t="s">
        <v>159</v>
      </c>
      <c r="K487" s="71" t="s">
        <v>1770</v>
      </c>
      <c r="L487" s="75">
        <v>1</v>
      </c>
      <c r="M487" s="76">
        <v>2233.421630859375</v>
      </c>
      <c r="N487" s="76">
        <v>3457.5791015625</v>
      </c>
      <c r="O487" s="77"/>
      <c r="P487" s="78"/>
      <c r="Q487" s="78"/>
      <c r="R487" s="88"/>
      <c r="S487" s="49">
        <v>0</v>
      </c>
      <c r="T487" s="49">
        <v>1</v>
      </c>
      <c r="U487" s="50">
        <v>0</v>
      </c>
      <c r="V487" s="50">
        <v>0.135911</v>
      </c>
      <c r="W487" s="50">
        <v>0</v>
      </c>
      <c r="X487" s="50">
        <v>0.00158</v>
      </c>
      <c r="Y487" s="50">
        <v>0</v>
      </c>
      <c r="Z487" s="50">
        <v>0</v>
      </c>
      <c r="AA487" s="73">
        <v>487</v>
      </c>
      <c r="AB487" s="73"/>
      <c r="AC487" s="74"/>
      <c r="AD487" s="81" t="s">
        <v>1770</v>
      </c>
      <c r="AE487" s="81"/>
      <c r="AF487" s="81"/>
      <c r="AG487" s="81"/>
      <c r="AH487" s="81"/>
      <c r="AI487" s="81" t="s">
        <v>2503</v>
      </c>
      <c r="AJ487" s="85">
        <v>41530.07865740741</v>
      </c>
      <c r="AK487" s="83" t="str">
        <f>HYPERLINK("https://yt3.ggpht.com/OYAhqxmpJu-jIt9axoApYBH8hhfhnYJ_waT6ixIeRLbQdwLoKPlPLbqfl8n2xA-esRoQXTUTZA=s88-c-k-c0x00ffffff-no-rj")</f>
        <v>https://yt3.ggpht.com/OYAhqxmpJu-jIt9axoApYBH8hhfhnYJ_waT6ixIeRLbQdwLoKPlPLbqfl8n2xA-esRoQXTUTZA=s88-c-k-c0x00ffffff-no-rj</v>
      </c>
      <c r="AL487" s="81">
        <v>0</v>
      </c>
      <c r="AM487" s="81">
        <v>0</v>
      </c>
      <c r="AN487" s="81">
        <v>0</v>
      </c>
      <c r="AO487" s="81" t="b">
        <v>0</v>
      </c>
      <c r="AP487" s="81">
        <v>0</v>
      </c>
      <c r="AQ487" s="81"/>
      <c r="AR487" s="81"/>
      <c r="AS487" s="81" t="s">
        <v>2571</v>
      </c>
      <c r="AT487" s="83" t="str">
        <f>HYPERLINK("https://www.youtube.com/channel/UC4LoMsTr6vDlSGu65YhHubw")</f>
        <v>https://www.youtube.com/channel/UC4LoMsTr6vDlSGu65YhHubw</v>
      </c>
      <c r="AU487" s="81">
        <v>2</v>
      </c>
      <c r="AV487" s="49">
        <v>0</v>
      </c>
      <c r="AW487" s="50">
        <v>0</v>
      </c>
      <c r="AX487" s="49">
        <v>0</v>
      </c>
      <c r="AY487" s="50">
        <v>0</v>
      </c>
      <c r="AZ487" s="49">
        <v>0</v>
      </c>
      <c r="BA487" s="50">
        <v>0</v>
      </c>
      <c r="BB487" s="49">
        <v>6</v>
      </c>
      <c r="BC487" s="50">
        <v>50</v>
      </c>
      <c r="BD487" s="49">
        <v>12</v>
      </c>
      <c r="BE487" s="49"/>
      <c r="BF487" s="49"/>
      <c r="BG487" s="49"/>
      <c r="BH487" s="49"/>
      <c r="BI487" s="49"/>
      <c r="BJ487" s="49"/>
      <c r="BK487" s="115" t="s">
        <v>3007</v>
      </c>
      <c r="BL487" s="115" t="s">
        <v>3007</v>
      </c>
      <c r="BM487" s="115" t="s">
        <v>3451</v>
      </c>
      <c r="BN487" s="115" t="s">
        <v>3451</v>
      </c>
      <c r="BO487" s="2"/>
      <c r="BP487" s="3"/>
      <c r="BQ487" s="3"/>
      <c r="BR487" s="3"/>
      <c r="BS487" s="3"/>
    </row>
    <row r="488" spans="1:71" ht="15">
      <c r="A488" s="66" t="s">
        <v>706</v>
      </c>
      <c r="B488" s="67"/>
      <c r="C488" s="67"/>
      <c r="D488" s="68">
        <v>150</v>
      </c>
      <c r="E488" s="70"/>
      <c r="F488" s="102" t="str">
        <f>HYPERLINK("https://yt3.ggpht.com/ytc/AOPolaRu1rDWG7ucTIIRbBB-V6unq3ZnAfM8hqHKYJ3o5FIZj8biTCiyJ7-rjayZswTt=s88-c-k-c0x00ffffff-no-rj")</f>
        <v>https://yt3.ggpht.com/ytc/AOPolaRu1rDWG7ucTIIRbBB-V6unq3ZnAfM8hqHKYJ3o5FIZj8biTCiyJ7-rjayZswTt=s88-c-k-c0x00ffffff-no-rj</v>
      </c>
      <c r="G488" s="67"/>
      <c r="H488" s="71" t="s">
        <v>1771</v>
      </c>
      <c r="I488" s="72"/>
      <c r="J488" s="72" t="s">
        <v>159</v>
      </c>
      <c r="K488" s="71" t="s">
        <v>1771</v>
      </c>
      <c r="L488" s="75">
        <v>1</v>
      </c>
      <c r="M488" s="76">
        <v>6199.12060546875</v>
      </c>
      <c r="N488" s="76">
        <v>2247.02490234375</v>
      </c>
      <c r="O488" s="77"/>
      <c r="P488" s="78"/>
      <c r="Q488" s="78"/>
      <c r="R488" s="88"/>
      <c r="S488" s="49">
        <v>0</v>
      </c>
      <c r="T488" s="49">
        <v>1</v>
      </c>
      <c r="U488" s="50">
        <v>0</v>
      </c>
      <c r="V488" s="50">
        <v>0.135911</v>
      </c>
      <c r="W488" s="50">
        <v>0</v>
      </c>
      <c r="X488" s="50">
        <v>0.00158</v>
      </c>
      <c r="Y488" s="50">
        <v>0</v>
      </c>
      <c r="Z488" s="50">
        <v>0</v>
      </c>
      <c r="AA488" s="73">
        <v>488</v>
      </c>
      <c r="AB488" s="73"/>
      <c r="AC488" s="74"/>
      <c r="AD488" s="81" t="s">
        <v>1771</v>
      </c>
      <c r="AE488" s="81"/>
      <c r="AF488" s="81"/>
      <c r="AG488" s="81"/>
      <c r="AH488" s="81"/>
      <c r="AI488" s="81" t="s">
        <v>2504</v>
      </c>
      <c r="AJ488" s="85">
        <v>44504.188125</v>
      </c>
      <c r="AK488" s="83" t="str">
        <f>HYPERLINK("https://yt3.ggpht.com/ytc/AOPolaRu1rDWG7ucTIIRbBB-V6unq3ZnAfM8hqHKYJ3o5FIZj8biTCiyJ7-rjayZswTt=s88-c-k-c0x00ffffff-no-rj")</f>
        <v>https://yt3.ggpht.com/ytc/AOPolaRu1rDWG7ucTIIRbBB-V6unq3ZnAfM8hqHKYJ3o5FIZj8biTCiyJ7-rjayZswTt=s88-c-k-c0x00ffffff-no-rj</v>
      </c>
      <c r="AL488" s="81">
        <v>0</v>
      </c>
      <c r="AM488" s="81">
        <v>0</v>
      </c>
      <c r="AN488" s="81">
        <v>0</v>
      </c>
      <c r="AO488" s="81" t="b">
        <v>0</v>
      </c>
      <c r="AP488" s="81">
        <v>0</v>
      </c>
      <c r="AQ488" s="81"/>
      <c r="AR488" s="81"/>
      <c r="AS488" s="81" t="s">
        <v>2571</v>
      </c>
      <c r="AT488" s="83" t="str">
        <f>HYPERLINK("https://www.youtube.com/channel/UCNs2K7uGB5PcQGz6SlAJ7-Q")</f>
        <v>https://www.youtube.com/channel/UCNs2K7uGB5PcQGz6SlAJ7-Q</v>
      </c>
      <c r="AU488" s="81">
        <v>2</v>
      </c>
      <c r="AV488" s="49">
        <v>0</v>
      </c>
      <c r="AW488" s="50">
        <v>0</v>
      </c>
      <c r="AX488" s="49">
        <v>0</v>
      </c>
      <c r="AY488" s="50">
        <v>0</v>
      </c>
      <c r="AZ488" s="49">
        <v>0</v>
      </c>
      <c r="BA488" s="50">
        <v>0</v>
      </c>
      <c r="BB488" s="49">
        <v>5</v>
      </c>
      <c r="BC488" s="50">
        <v>41.666666666666664</v>
      </c>
      <c r="BD488" s="49">
        <v>12</v>
      </c>
      <c r="BE488" s="49"/>
      <c r="BF488" s="49"/>
      <c r="BG488" s="49"/>
      <c r="BH488" s="49"/>
      <c r="BI488" s="49"/>
      <c r="BJ488" s="49"/>
      <c r="BK488" s="115" t="s">
        <v>4568</v>
      </c>
      <c r="BL488" s="115" t="s">
        <v>4568</v>
      </c>
      <c r="BM488" s="115" t="s">
        <v>4591</v>
      </c>
      <c r="BN488" s="115" t="s">
        <v>4591</v>
      </c>
      <c r="BO488" s="2"/>
      <c r="BP488" s="3"/>
      <c r="BQ488" s="3"/>
      <c r="BR488" s="3"/>
      <c r="BS488" s="3"/>
    </row>
    <row r="489" spans="1:71" ht="15">
      <c r="A489" s="66" t="s">
        <v>707</v>
      </c>
      <c r="B489" s="67"/>
      <c r="C489" s="67"/>
      <c r="D489" s="68">
        <v>150</v>
      </c>
      <c r="E489" s="70"/>
      <c r="F489" s="102" t="str">
        <f>HYPERLINK("https://yt3.ggpht.com/ytc/AOPolaQAnwIoBGoqTTPfT7D6vu9fbsMiAfVQxBSPAbCp=s88-c-k-c0x00ffffff-no-rj")</f>
        <v>https://yt3.ggpht.com/ytc/AOPolaQAnwIoBGoqTTPfT7D6vu9fbsMiAfVQxBSPAbCp=s88-c-k-c0x00ffffff-no-rj</v>
      </c>
      <c r="G489" s="67"/>
      <c r="H489" s="71" t="s">
        <v>1772</v>
      </c>
      <c r="I489" s="72"/>
      <c r="J489" s="72" t="s">
        <v>159</v>
      </c>
      <c r="K489" s="71" t="s">
        <v>1772</v>
      </c>
      <c r="L489" s="75">
        <v>1</v>
      </c>
      <c r="M489" s="76">
        <v>5784.59716796875</v>
      </c>
      <c r="N489" s="76">
        <v>3112.193603515625</v>
      </c>
      <c r="O489" s="77"/>
      <c r="P489" s="78"/>
      <c r="Q489" s="78"/>
      <c r="R489" s="88"/>
      <c r="S489" s="49">
        <v>0</v>
      </c>
      <c r="T489" s="49">
        <v>1</v>
      </c>
      <c r="U489" s="50">
        <v>0</v>
      </c>
      <c r="V489" s="50">
        <v>0.135911</v>
      </c>
      <c r="W489" s="50">
        <v>0</v>
      </c>
      <c r="X489" s="50">
        <v>0.00158</v>
      </c>
      <c r="Y489" s="50">
        <v>0</v>
      </c>
      <c r="Z489" s="50">
        <v>0</v>
      </c>
      <c r="AA489" s="73">
        <v>489</v>
      </c>
      <c r="AB489" s="73"/>
      <c r="AC489" s="74"/>
      <c r="AD489" s="81" t="s">
        <v>1772</v>
      </c>
      <c r="AE489" s="81"/>
      <c r="AF489" s="81"/>
      <c r="AG489" s="81"/>
      <c r="AH489" s="81"/>
      <c r="AI489" s="81" t="s">
        <v>2505</v>
      </c>
      <c r="AJ489" s="85">
        <v>42480.99586805556</v>
      </c>
      <c r="AK489" s="83" t="str">
        <f>HYPERLINK("https://yt3.ggpht.com/ytc/AOPolaQAnwIoBGoqTTPfT7D6vu9fbsMiAfVQxBSPAbCp=s88-c-k-c0x00ffffff-no-rj")</f>
        <v>https://yt3.ggpht.com/ytc/AOPolaQAnwIoBGoqTTPfT7D6vu9fbsMiAfVQxBSPAbCp=s88-c-k-c0x00ffffff-no-rj</v>
      </c>
      <c r="AL489" s="81">
        <v>0</v>
      </c>
      <c r="AM489" s="81">
        <v>0</v>
      </c>
      <c r="AN489" s="81">
        <v>3</v>
      </c>
      <c r="AO489" s="81" t="b">
        <v>0</v>
      </c>
      <c r="AP489" s="81">
        <v>0</v>
      </c>
      <c r="AQ489" s="81"/>
      <c r="AR489" s="81"/>
      <c r="AS489" s="81" t="s">
        <v>2571</v>
      </c>
      <c r="AT489" s="83" t="str">
        <f>HYPERLINK("https://www.youtube.com/channel/UCuttF8lm2JC0qq6_aZZI59A")</f>
        <v>https://www.youtube.com/channel/UCuttF8lm2JC0qq6_aZZI59A</v>
      </c>
      <c r="AU489" s="81">
        <v>2</v>
      </c>
      <c r="AV489" s="49">
        <v>1</v>
      </c>
      <c r="AW489" s="50">
        <v>1.2658227848101267</v>
      </c>
      <c r="AX489" s="49">
        <v>2</v>
      </c>
      <c r="AY489" s="50">
        <v>2.5316455696202533</v>
      </c>
      <c r="AZ489" s="49">
        <v>0</v>
      </c>
      <c r="BA489" s="50">
        <v>0</v>
      </c>
      <c r="BB489" s="49">
        <v>21</v>
      </c>
      <c r="BC489" s="50">
        <v>26.582278481012658</v>
      </c>
      <c r="BD489" s="49">
        <v>79</v>
      </c>
      <c r="BE489" s="49"/>
      <c r="BF489" s="49"/>
      <c r="BG489" s="49"/>
      <c r="BH489" s="49"/>
      <c r="BI489" s="49"/>
      <c r="BJ489" s="49"/>
      <c r="BK489" s="115" t="s">
        <v>3008</v>
      </c>
      <c r="BL489" s="115" t="s">
        <v>3008</v>
      </c>
      <c r="BM489" s="115" t="s">
        <v>3452</v>
      </c>
      <c r="BN489" s="115" t="s">
        <v>3452</v>
      </c>
      <c r="BO489" s="2"/>
      <c r="BP489" s="3"/>
      <c r="BQ489" s="3"/>
      <c r="BR489" s="3"/>
      <c r="BS489" s="3"/>
    </row>
    <row r="490" spans="1:71" ht="15">
      <c r="A490" s="66" t="s">
        <v>708</v>
      </c>
      <c r="B490" s="67"/>
      <c r="C490" s="67"/>
      <c r="D490" s="68">
        <v>150</v>
      </c>
      <c r="E490" s="70"/>
      <c r="F490" s="102" t="str">
        <f>HYPERLINK("https://yt3.ggpht.com/ytc/AOPolaRbcfrom3VE5lExCPqroXdz0FRK4uxkl2DiSxRQ=s88-c-k-c0x00ffffff-no-rj")</f>
        <v>https://yt3.ggpht.com/ytc/AOPolaRbcfrom3VE5lExCPqroXdz0FRK4uxkl2DiSxRQ=s88-c-k-c0x00ffffff-no-rj</v>
      </c>
      <c r="G490" s="67"/>
      <c r="H490" s="71" t="s">
        <v>1773</v>
      </c>
      <c r="I490" s="72"/>
      <c r="J490" s="72" t="s">
        <v>159</v>
      </c>
      <c r="K490" s="71" t="s">
        <v>1773</v>
      </c>
      <c r="L490" s="75">
        <v>1</v>
      </c>
      <c r="M490" s="76">
        <v>6139.94677734375</v>
      </c>
      <c r="N490" s="76">
        <v>2540.132568359375</v>
      </c>
      <c r="O490" s="77"/>
      <c r="P490" s="78"/>
      <c r="Q490" s="78"/>
      <c r="R490" s="88"/>
      <c r="S490" s="49">
        <v>0</v>
      </c>
      <c r="T490" s="49">
        <v>1</v>
      </c>
      <c r="U490" s="50">
        <v>0</v>
      </c>
      <c r="V490" s="50">
        <v>0.135911</v>
      </c>
      <c r="W490" s="50">
        <v>0</v>
      </c>
      <c r="X490" s="50">
        <v>0.00158</v>
      </c>
      <c r="Y490" s="50">
        <v>0</v>
      </c>
      <c r="Z490" s="50">
        <v>0</v>
      </c>
      <c r="AA490" s="73">
        <v>490</v>
      </c>
      <c r="AB490" s="73"/>
      <c r="AC490" s="74"/>
      <c r="AD490" s="81" t="s">
        <v>1773</v>
      </c>
      <c r="AE490" s="81"/>
      <c r="AF490" s="81"/>
      <c r="AG490" s="81"/>
      <c r="AH490" s="81"/>
      <c r="AI490" s="81" t="s">
        <v>2506</v>
      </c>
      <c r="AJ490" s="85">
        <v>41329.138136574074</v>
      </c>
      <c r="AK490" s="83" t="str">
        <f>HYPERLINK("https://yt3.ggpht.com/ytc/AOPolaRbcfrom3VE5lExCPqroXdz0FRK4uxkl2DiSxRQ=s88-c-k-c0x00ffffff-no-rj")</f>
        <v>https://yt3.ggpht.com/ytc/AOPolaRbcfrom3VE5lExCPqroXdz0FRK4uxkl2DiSxRQ=s88-c-k-c0x00ffffff-no-rj</v>
      </c>
      <c r="AL490" s="81">
        <v>0</v>
      </c>
      <c r="AM490" s="81">
        <v>0</v>
      </c>
      <c r="AN490" s="81">
        <v>3</v>
      </c>
      <c r="AO490" s="81" t="b">
        <v>0</v>
      </c>
      <c r="AP490" s="81">
        <v>0</v>
      </c>
      <c r="AQ490" s="81"/>
      <c r="AR490" s="81"/>
      <c r="AS490" s="81" t="s">
        <v>2571</v>
      </c>
      <c r="AT490" s="83" t="str">
        <f>HYPERLINK("https://www.youtube.com/channel/UCXrbNDfwznFm4ApkcYyezAQ")</f>
        <v>https://www.youtube.com/channel/UCXrbNDfwznFm4ApkcYyezAQ</v>
      </c>
      <c r="AU490" s="81">
        <v>2</v>
      </c>
      <c r="AV490" s="49">
        <v>0</v>
      </c>
      <c r="AW490" s="50">
        <v>0</v>
      </c>
      <c r="AX490" s="49">
        <v>0</v>
      </c>
      <c r="AY490" s="50">
        <v>0</v>
      </c>
      <c r="AZ490" s="49">
        <v>0</v>
      </c>
      <c r="BA490" s="50">
        <v>0</v>
      </c>
      <c r="BB490" s="49">
        <v>3</v>
      </c>
      <c r="BC490" s="50">
        <v>33.333333333333336</v>
      </c>
      <c r="BD490" s="49">
        <v>9</v>
      </c>
      <c r="BE490" s="49"/>
      <c r="BF490" s="49"/>
      <c r="BG490" s="49"/>
      <c r="BH490" s="49"/>
      <c r="BI490" s="49"/>
      <c r="BJ490" s="49"/>
      <c r="BK490" s="115" t="s">
        <v>3009</v>
      </c>
      <c r="BL490" s="115" t="s">
        <v>3009</v>
      </c>
      <c r="BM490" s="115" t="s">
        <v>3453</v>
      </c>
      <c r="BN490" s="115" t="s">
        <v>3453</v>
      </c>
      <c r="BO490" s="2"/>
      <c r="BP490" s="3"/>
      <c r="BQ490" s="3"/>
      <c r="BR490" s="3"/>
      <c r="BS490" s="3"/>
    </row>
    <row r="491" spans="1:71" ht="15">
      <c r="A491" s="66" t="s">
        <v>709</v>
      </c>
      <c r="B491" s="67"/>
      <c r="C491" s="67"/>
      <c r="D491" s="68">
        <v>150</v>
      </c>
      <c r="E491" s="70"/>
      <c r="F491" s="102" t="str">
        <f>HYPERLINK("https://yt3.ggpht.com/ytc/AOPolaTsFr3Cng-EiEoMLoBYlwWmE1KrE2XpBlCt3A=s88-c-k-c0x00ffffff-no-rj")</f>
        <v>https://yt3.ggpht.com/ytc/AOPolaTsFr3Cng-EiEoMLoBYlwWmE1KrE2XpBlCt3A=s88-c-k-c0x00ffffff-no-rj</v>
      </c>
      <c r="G491" s="67"/>
      <c r="H491" s="71" t="s">
        <v>1774</v>
      </c>
      <c r="I491" s="72"/>
      <c r="J491" s="72" t="s">
        <v>159</v>
      </c>
      <c r="K491" s="71" t="s">
        <v>1774</v>
      </c>
      <c r="L491" s="75">
        <v>1</v>
      </c>
      <c r="M491" s="76">
        <v>2218.424560546875</v>
      </c>
      <c r="N491" s="76">
        <v>1664.3692626953125</v>
      </c>
      <c r="O491" s="77"/>
      <c r="P491" s="78"/>
      <c r="Q491" s="78"/>
      <c r="R491" s="88"/>
      <c r="S491" s="49">
        <v>0</v>
      </c>
      <c r="T491" s="49">
        <v>1</v>
      </c>
      <c r="U491" s="50">
        <v>0</v>
      </c>
      <c r="V491" s="50">
        <v>0.135911</v>
      </c>
      <c r="W491" s="50">
        <v>0</v>
      </c>
      <c r="X491" s="50">
        <v>0.00158</v>
      </c>
      <c r="Y491" s="50">
        <v>0</v>
      </c>
      <c r="Z491" s="50">
        <v>0</v>
      </c>
      <c r="AA491" s="73">
        <v>491</v>
      </c>
      <c r="AB491" s="73"/>
      <c r="AC491" s="74"/>
      <c r="AD491" s="81" t="s">
        <v>1774</v>
      </c>
      <c r="AE491" s="81"/>
      <c r="AF491" s="81"/>
      <c r="AG491" s="81"/>
      <c r="AH491" s="81"/>
      <c r="AI491" s="81" t="s">
        <v>2507</v>
      </c>
      <c r="AJ491" s="85">
        <v>43488.17275462963</v>
      </c>
      <c r="AK491" s="83" t="str">
        <f>HYPERLINK("https://yt3.ggpht.com/ytc/AOPolaTsFr3Cng-EiEoMLoBYlwWmE1KrE2XpBlCt3A=s88-c-k-c0x00ffffff-no-rj")</f>
        <v>https://yt3.ggpht.com/ytc/AOPolaTsFr3Cng-EiEoMLoBYlwWmE1KrE2XpBlCt3A=s88-c-k-c0x00ffffff-no-rj</v>
      </c>
      <c r="AL491" s="81">
        <v>0</v>
      </c>
      <c r="AM491" s="81">
        <v>0</v>
      </c>
      <c r="AN491" s="81">
        <v>0</v>
      </c>
      <c r="AO491" s="81" t="b">
        <v>0</v>
      </c>
      <c r="AP491" s="81">
        <v>0</v>
      </c>
      <c r="AQ491" s="81"/>
      <c r="AR491" s="81"/>
      <c r="AS491" s="81" t="s">
        <v>2571</v>
      </c>
      <c r="AT491" s="83" t="str">
        <f>HYPERLINK("https://www.youtube.com/channel/UCmws-L08D4Co5vRL_QM6VAg")</f>
        <v>https://www.youtube.com/channel/UCmws-L08D4Co5vRL_QM6VAg</v>
      </c>
      <c r="AU491" s="81">
        <v>2</v>
      </c>
      <c r="AV491" s="49">
        <v>1</v>
      </c>
      <c r="AW491" s="50">
        <v>2.7027027027027026</v>
      </c>
      <c r="AX491" s="49">
        <v>2</v>
      </c>
      <c r="AY491" s="50">
        <v>5.405405405405405</v>
      </c>
      <c r="AZ491" s="49">
        <v>0</v>
      </c>
      <c r="BA491" s="50">
        <v>0</v>
      </c>
      <c r="BB491" s="49">
        <v>9</v>
      </c>
      <c r="BC491" s="50">
        <v>24.324324324324323</v>
      </c>
      <c r="BD491" s="49">
        <v>37</v>
      </c>
      <c r="BE491" s="49"/>
      <c r="BF491" s="49"/>
      <c r="BG491" s="49"/>
      <c r="BH491" s="49"/>
      <c r="BI491" s="49"/>
      <c r="BJ491" s="49"/>
      <c r="BK491" s="115" t="s">
        <v>3010</v>
      </c>
      <c r="BL491" s="115" t="s">
        <v>3010</v>
      </c>
      <c r="BM491" s="115" t="s">
        <v>3454</v>
      </c>
      <c r="BN491" s="115" t="s">
        <v>3454</v>
      </c>
      <c r="BO491" s="2"/>
      <c r="BP491" s="3"/>
      <c r="BQ491" s="3"/>
      <c r="BR491" s="3"/>
      <c r="BS491" s="3"/>
    </row>
    <row r="492" spans="1:71" ht="15">
      <c r="A492" s="66" t="s">
        <v>710</v>
      </c>
      <c r="B492" s="67"/>
      <c r="C492" s="67"/>
      <c r="D492" s="68">
        <v>150</v>
      </c>
      <c r="E492" s="70"/>
      <c r="F492" s="102" t="str">
        <f>HYPERLINK("https://yt3.ggpht.com/ytc/AOPolaQxt8m1j8EA7O_cNGvGENl1igbrc3v27i9aEG-3=s88-c-k-c0x00ffffff-no-rj")</f>
        <v>https://yt3.ggpht.com/ytc/AOPolaQxt8m1j8EA7O_cNGvGENl1igbrc3v27i9aEG-3=s88-c-k-c0x00ffffff-no-rj</v>
      </c>
      <c r="G492" s="67"/>
      <c r="H492" s="71" t="s">
        <v>1775</v>
      </c>
      <c r="I492" s="72"/>
      <c r="J492" s="72" t="s">
        <v>159</v>
      </c>
      <c r="K492" s="71" t="s">
        <v>1775</v>
      </c>
      <c r="L492" s="75">
        <v>1</v>
      </c>
      <c r="M492" s="76">
        <v>5643.94287109375</v>
      </c>
      <c r="N492" s="76">
        <v>1528.2647705078125</v>
      </c>
      <c r="O492" s="77"/>
      <c r="P492" s="78"/>
      <c r="Q492" s="78"/>
      <c r="R492" s="88"/>
      <c r="S492" s="49">
        <v>0</v>
      </c>
      <c r="T492" s="49">
        <v>1</v>
      </c>
      <c r="U492" s="50">
        <v>0</v>
      </c>
      <c r="V492" s="50">
        <v>0.135911</v>
      </c>
      <c r="W492" s="50">
        <v>0</v>
      </c>
      <c r="X492" s="50">
        <v>0.00158</v>
      </c>
      <c r="Y492" s="50">
        <v>0</v>
      </c>
      <c r="Z492" s="50">
        <v>0</v>
      </c>
      <c r="AA492" s="73">
        <v>492</v>
      </c>
      <c r="AB492" s="73"/>
      <c r="AC492" s="74"/>
      <c r="AD492" s="81" t="s">
        <v>1775</v>
      </c>
      <c r="AE492" s="81"/>
      <c r="AF492" s="81"/>
      <c r="AG492" s="81"/>
      <c r="AH492" s="81"/>
      <c r="AI492" s="81" t="s">
        <v>2508</v>
      </c>
      <c r="AJ492" s="85">
        <v>38788.292280092595</v>
      </c>
      <c r="AK492" s="83" t="str">
        <f>HYPERLINK("https://yt3.ggpht.com/ytc/AOPolaQxt8m1j8EA7O_cNGvGENl1igbrc3v27i9aEG-3=s88-c-k-c0x00ffffff-no-rj")</f>
        <v>https://yt3.ggpht.com/ytc/AOPolaQxt8m1j8EA7O_cNGvGENl1igbrc3v27i9aEG-3=s88-c-k-c0x00ffffff-no-rj</v>
      </c>
      <c r="AL492" s="81">
        <v>0</v>
      </c>
      <c r="AM492" s="81">
        <v>0</v>
      </c>
      <c r="AN492" s="81">
        <v>43</v>
      </c>
      <c r="AO492" s="81" t="b">
        <v>0</v>
      </c>
      <c r="AP492" s="81">
        <v>0</v>
      </c>
      <c r="AQ492" s="81"/>
      <c r="AR492" s="81"/>
      <c r="AS492" s="81" t="s">
        <v>2571</v>
      </c>
      <c r="AT492" s="83" t="str">
        <f>HYPERLINK("https://www.youtube.com/channel/UC_5s0ngEVGxtq--kCxbcD_A")</f>
        <v>https://www.youtube.com/channel/UC_5s0ngEVGxtq--kCxbcD_A</v>
      </c>
      <c r="AU492" s="81">
        <v>2</v>
      </c>
      <c r="AV492" s="49">
        <v>0</v>
      </c>
      <c r="AW492" s="50">
        <v>0</v>
      </c>
      <c r="AX492" s="49">
        <v>1</v>
      </c>
      <c r="AY492" s="50">
        <v>4.166666666666667</v>
      </c>
      <c r="AZ492" s="49">
        <v>0</v>
      </c>
      <c r="BA492" s="50">
        <v>0</v>
      </c>
      <c r="BB492" s="49">
        <v>8</v>
      </c>
      <c r="BC492" s="50">
        <v>33.333333333333336</v>
      </c>
      <c r="BD492" s="49">
        <v>24</v>
      </c>
      <c r="BE492" s="49"/>
      <c r="BF492" s="49"/>
      <c r="BG492" s="49"/>
      <c r="BH492" s="49"/>
      <c r="BI492" s="49"/>
      <c r="BJ492" s="49"/>
      <c r="BK492" s="115" t="s">
        <v>3011</v>
      </c>
      <c r="BL492" s="115" t="s">
        <v>3011</v>
      </c>
      <c r="BM492" s="115" t="s">
        <v>3455</v>
      </c>
      <c r="BN492" s="115" t="s">
        <v>3455</v>
      </c>
      <c r="BO492" s="2"/>
      <c r="BP492" s="3"/>
      <c r="BQ492" s="3"/>
      <c r="BR492" s="3"/>
      <c r="BS492" s="3"/>
    </row>
    <row r="493" spans="1:71" ht="15">
      <c r="A493" s="66" t="s">
        <v>711</v>
      </c>
      <c r="B493" s="67"/>
      <c r="C493" s="67"/>
      <c r="D493" s="68">
        <v>150</v>
      </c>
      <c r="E493" s="70"/>
      <c r="F493" s="102" t="str">
        <f>HYPERLINK("https://yt3.ggpht.com/ytc/AOPolaQv9b2fCgE6YMY0B6rkvASbPc6y6jMcVlZSbo55OA=s88-c-k-c0x00ffffff-no-rj")</f>
        <v>https://yt3.ggpht.com/ytc/AOPolaQv9b2fCgE6YMY0B6rkvASbPc6y6jMcVlZSbo55OA=s88-c-k-c0x00ffffff-no-rj</v>
      </c>
      <c r="G493" s="67"/>
      <c r="H493" s="71" t="s">
        <v>1776</v>
      </c>
      <c r="I493" s="72"/>
      <c r="J493" s="72" t="s">
        <v>159</v>
      </c>
      <c r="K493" s="71" t="s">
        <v>1776</v>
      </c>
      <c r="L493" s="75">
        <v>1</v>
      </c>
      <c r="M493" s="76">
        <v>1385.2691650390625</v>
      </c>
      <c r="N493" s="76">
        <v>3473.980712890625</v>
      </c>
      <c r="O493" s="77"/>
      <c r="P493" s="78"/>
      <c r="Q493" s="78"/>
      <c r="R493" s="88"/>
      <c r="S493" s="49">
        <v>0</v>
      </c>
      <c r="T493" s="49">
        <v>1</v>
      </c>
      <c r="U493" s="50">
        <v>0</v>
      </c>
      <c r="V493" s="50">
        <v>0.135911</v>
      </c>
      <c r="W493" s="50">
        <v>0</v>
      </c>
      <c r="X493" s="50">
        <v>0.00158</v>
      </c>
      <c r="Y493" s="50">
        <v>0</v>
      </c>
      <c r="Z493" s="50">
        <v>0</v>
      </c>
      <c r="AA493" s="73">
        <v>493</v>
      </c>
      <c r="AB493" s="73"/>
      <c r="AC493" s="74"/>
      <c r="AD493" s="81" t="s">
        <v>1776</v>
      </c>
      <c r="AE493" s="81"/>
      <c r="AF493" s="81"/>
      <c r="AG493" s="81"/>
      <c r="AH493" s="81"/>
      <c r="AI493" s="81" t="s">
        <v>2509</v>
      </c>
      <c r="AJ493" s="85">
        <v>44228.21976851852</v>
      </c>
      <c r="AK493" s="83" t="str">
        <f>HYPERLINK("https://yt3.ggpht.com/ytc/AOPolaQv9b2fCgE6YMY0B6rkvASbPc6y6jMcVlZSbo55OA=s88-c-k-c0x00ffffff-no-rj")</f>
        <v>https://yt3.ggpht.com/ytc/AOPolaQv9b2fCgE6YMY0B6rkvASbPc6y6jMcVlZSbo55OA=s88-c-k-c0x00ffffff-no-rj</v>
      </c>
      <c r="AL493" s="81">
        <v>0</v>
      </c>
      <c r="AM493" s="81">
        <v>0</v>
      </c>
      <c r="AN493" s="81">
        <v>5</v>
      </c>
      <c r="AO493" s="81" t="b">
        <v>0</v>
      </c>
      <c r="AP493" s="81">
        <v>0</v>
      </c>
      <c r="AQ493" s="81"/>
      <c r="AR493" s="81"/>
      <c r="AS493" s="81" t="s">
        <v>2571</v>
      </c>
      <c r="AT493" s="83" t="str">
        <f>HYPERLINK("https://www.youtube.com/channel/UCz7f9p6fRxm1dD1m1ofk7QA")</f>
        <v>https://www.youtube.com/channel/UCz7f9p6fRxm1dD1m1ofk7QA</v>
      </c>
      <c r="AU493" s="81">
        <v>2</v>
      </c>
      <c r="AV493" s="49">
        <v>0</v>
      </c>
      <c r="AW493" s="50">
        <v>0</v>
      </c>
      <c r="AX493" s="49">
        <v>1</v>
      </c>
      <c r="AY493" s="50">
        <v>3.0303030303030303</v>
      </c>
      <c r="AZ493" s="49">
        <v>0</v>
      </c>
      <c r="BA493" s="50">
        <v>0</v>
      </c>
      <c r="BB493" s="49">
        <v>10</v>
      </c>
      <c r="BC493" s="50">
        <v>30.303030303030305</v>
      </c>
      <c r="BD493" s="49">
        <v>33</v>
      </c>
      <c r="BE493" s="49"/>
      <c r="BF493" s="49"/>
      <c r="BG493" s="49"/>
      <c r="BH493" s="49"/>
      <c r="BI493" s="49"/>
      <c r="BJ493" s="49"/>
      <c r="BK493" s="115" t="s">
        <v>3012</v>
      </c>
      <c r="BL493" s="115" t="s">
        <v>3012</v>
      </c>
      <c r="BM493" s="115" t="s">
        <v>3456</v>
      </c>
      <c r="BN493" s="115" t="s">
        <v>3456</v>
      </c>
      <c r="BO493" s="2"/>
      <c r="BP493" s="3"/>
      <c r="BQ493" s="3"/>
      <c r="BR493" s="3"/>
      <c r="BS493" s="3"/>
    </row>
    <row r="494" spans="1:71" ht="15">
      <c r="A494" s="66" t="s">
        <v>712</v>
      </c>
      <c r="B494" s="67"/>
      <c r="C494" s="67"/>
      <c r="D494" s="68">
        <v>150</v>
      </c>
      <c r="E494" s="70"/>
      <c r="F494" s="102" t="str">
        <f>HYPERLINK("https://yt3.ggpht.com/6NYYztmUZMo87nOUUgDrmc52S9CI0huDSFSp9SejeB1dzWbuLkh2pa6dnFrdZEZLSkku4j8uANc=s88-c-k-c0x00ffffff-no-rj")</f>
        <v>https://yt3.ggpht.com/6NYYztmUZMo87nOUUgDrmc52S9CI0huDSFSp9SejeB1dzWbuLkh2pa6dnFrdZEZLSkku4j8uANc=s88-c-k-c0x00ffffff-no-rj</v>
      </c>
      <c r="G494" s="67"/>
      <c r="H494" s="71" t="s">
        <v>1777</v>
      </c>
      <c r="I494" s="72"/>
      <c r="J494" s="72" t="s">
        <v>159</v>
      </c>
      <c r="K494" s="71" t="s">
        <v>1777</v>
      </c>
      <c r="L494" s="75">
        <v>1</v>
      </c>
      <c r="M494" s="76">
        <v>4532.21875</v>
      </c>
      <c r="N494" s="76">
        <v>1184.1170654296875</v>
      </c>
      <c r="O494" s="77"/>
      <c r="P494" s="78"/>
      <c r="Q494" s="78"/>
      <c r="R494" s="88"/>
      <c r="S494" s="49">
        <v>0</v>
      </c>
      <c r="T494" s="49">
        <v>1</v>
      </c>
      <c r="U494" s="50">
        <v>0</v>
      </c>
      <c r="V494" s="50">
        <v>0.135911</v>
      </c>
      <c r="W494" s="50">
        <v>0</v>
      </c>
      <c r="X494" s="50">
        <v>0.00158</v>
      </c>
      <c r="Y494" s="50">
        <v>0</v>
      </c>
      <c r="Z494" s="50">
        <v>0</v>
      </c>
      <c r="AA494" s="73">
        <v>494</v>
      </c>
      <c r="AB494" s="73"/>
      <c r="AC494" s="74"/>
      <c r="AD494" s="81" t="s">
        <v>1777</v>
      </c>
      <c r="AE494" s="81"/>
      <c r="AF494" s="81"/>
      <c r="AG494" s="81"/>
      <c r="AH494" s="81"/>
      <c r="AI494" s="81" t="s">
        <v>2510</v>
      </c>
      <c r="AJ494" s="85">
        <v>43334.29886574074</v>
      </c>
      <c r="AK494" s="83" t="str">
        <f>HYPERLINK("https://yt3.ggpht.com/6NYYztmUZMo87nOUUgDrmc52S9CI0huDSFSp9SejeB1dzWbuLkh2pa6dnFrdZEZLSkku4j8uANc=s88-c-k-c0x00ffffff-no-rj")</f>
        <v>https://yt3.ggpht.com/6NYYztmUZMo87nOUUgDrmc52S9CI0huDSFSp9SejeB1dzWbuLkh2pa6dnFrdZEZLSkku4j8uANc=s88-c-k-c0x00ffffff-no-rj</v>
      </c>
      <c r="AL494" s="81">
        <v>0</v>
      </c>
      <c r="AM494" s="81">
        <v>0</v>
      </c>
      <c r="AN494" s="81">
        <v>7</v>
      </c>
      <c r="AO494" s="81" t="b">
        <v>0</v>
      </c>
      <c r="AP494" s="81">
        <v>0</v>
      </c>
      <c r="AQ494" s="81"/>
      <c r="AR494" s="81"/>
      <c r="AS494" s="81" t="s">
        <v>2571</v>
      </c>
      <c r="AT494" s="83" t="str">
        <f>HYPERLINK("https://www.youtube.com/channel/UC55LZaO-y5DR0dkWTPS68HA")</f>
        <v>https://www.youtube.com/channel/UC55LZaO-y5DR0dkWTPS68HA</v>
      </c>
      <c r="AU494" s="81">
        <v>2</v>
      </c>
      <c r="AV494" s="49">
        <v>1</v>
      </c>
      <c r="AW494" s="50">
        <v>1.7543859649122806</v>
      </c>
      <c r="AX494" s="49">
        <v>1</v>
      </c>
      <c r="AY494" s="50">
        <v>1.7543859649122806</v>
      </c>
      <c r="AZ494" s="49">
        <v>0</v>
      </c>
      <c r="BA494" s="50">
        <v>0</v>
      </c>
      <c r="BB494" s="49">
        <v>16</v>
      </c>
      <c r="BC494" s="50">
        <v>28.07017543859649</v>
      </c>
      <c r="BD494" s="49">
        <v>57</v>
      </c>
      <c r="BE494" s="49" t="s">
        <v>4406</v>
      </c>
      <c r="BF494" s="49" t="s">
        <v>4406</v>
      </c>
      <c r="BG494" s="49" t="s">
        <v>1860</v>
      </c>
      <c r="BH494" s="49" t="s">
        <v>1860</v>
      </c>
      <c r="BI494" s="49"/>
      <c r="BJ494" s="49"/>
      <c r="BK494" s="115" t="s">
        <v>4569</v>
      </c>
      <c r="BL494" s="115" t="s">
        <v>4569</v>
      </c>
      <c r="BM494" s="115" t="s">
        <v>4592</v>
      </c>
      <c r="BN494" s="115" t="s">
        <v>4592</v>
      </c>
      <c r="BO494" s="2"/>
      <c r="BP494" s="3"/>
      <c r="BQ494" s="3"/>
      <c r="BR494" s="3"/>
      <c r="BS494" s="3"/>
    </row>
    <row r="495" spans="1:71" ht="15">
      <c r="A495" s="66" t="s">
        <v>713</v>
      </c>
      <c r="B495" s="67"/>
      <c r="C495" s="67"/>
      <c r="D495" s="68">
        <v>150</v>
      </c>
      <c r="E495" s="70"/>
      <c r="F495" s="102" t="str">
        <f>HYPERLINK("https://yt3.ggpht.com/ytc/AOPolaQme48hY8Sd5DN2ANn9ZdnP1Srq2nC6YegaCw=s88-c-k-c0x00ffffff-no-rj")</f>
        <v>https://yt3.ggpht.com/ytc/AOPolaQme48hY8Sd5DN2ANn9ZdnP1Srq2nC6YegaCw=s88-c-k-c0x00ffffff-no-rj</v>
      </c>
      <c r="G495" s="67"/>
      <c r="H495" s="71" t="s">
        <v>1778</v>
      </c>
      <c r="I495" s="72"/>
      <c r="J495" s="72" t="s">
        <v>159</v>
      </c>
      <c r="K495" s="71" t="s">
        <v>1778</v>
      </c>
      <c r="L495" s="75">
        <v>1</v>
      </c>
      <c r="M495" s="76">
        <v>356.66845703125</v>
      </c>
      <c r="N495" s="76">
        <v>2715.592529296875</v>
      </c>
      <c r="O495" s="77"/>
      <c r="P495" s="78"/>
      <c r="Q495" s="78"/>
      <c r="R495" s="88"/>
      <c r="S495" s="49">
        <v>0</v>
      </c>
      <c r="T495" s="49">
        <v>1</v>
      </c>
      <c r="U495" s="50">
        <v>0</v>
      </c>
      <c r="V495" s="50">
        <v>0.135911</v>
      </c>
      <c r="W495" s="50">
        <v>0</v>
      </c>
      <c r="X495" s="50">
        <v>0.00158</v>
      </c>
      <c r="Y495" s="50">
        <v>0</v>
      </c>
      <c r="Z495" s="50">
        <v>0</v>
      </c>
      <c r="AA495" s="73">
        <v>495</v>
      </c>
      <c r="AB495" s="73"/>
      <c r="AC495" s="74"/>
      <c r="AD495" s="81" t="s">
        <v>1778</v>
      </c>
      <c r="AE495" s="81"/>
      <c r="AF495" s="81"/>
      <c r="AG495" s="81"/>
      <c r="AH495" s="81"/>
      <c r="AI495" s="81" t="s">
        <v>2511</v>
      </c>
      <c r="AJ495" s="85">
        <v>42466.94863425926</v>
      </c>
      <c r="AK495" s="83" t="str">
        <f>HYPERLINK("https://yt3.ggpht.com/ytc/AOPolaQme48hY8Sd5DN2ANn9ZdnP1Srq2nC6YegaCw=s88-c-k-c0x00ffffff-no-rj")</f>
        <v>https://yt3.ggpht.com/ytc/AOPolaQme48hY8Sd5DN2ANn9ZdnP1Srq2nC6YegaCw=s88-c-k-c0x00ffffff-no-rj</v>
      </c>
      <c r="AL495" s="81">
        <v>0</v>
      </c>
      <c r="AM495" s="81">
        <v>0</v>
      </c>
      <c r="AN495" s="81">
        <v>0</v>
      </c>
      <c r="AO495" s="81" t="b">
        <v>0</v>
      </c>
      <c r="AP495" s="81">
        <v>0</v>
      </c>
      <c r="AQ495" s="81"/>
      <c r="AR495" s="81"/>
      <c r="AS495" s="81" t="s">
        <v>2571</v>
      </c>
      <c r="AT495" s="83" t="str">
        <f>HYPERLINK("https://www.youtube.com/channel/UCcJNNuCzeeQkpUEZjM9auFg")</f>
        <v>https://www.youtube.com/channel/UCcJNNuCzeeQkpUEZjM9auFg</v>
      </c>
      <c r="AU495" s="81">
        <v>2</v>
      </c>
      <c r="AV495" s="49">
        <v>1</v>
      </c>
      <c r="AW495" s="50">
        <v>1.408450704225352</v>
      </c>
      <c r="AX495" s="49">
        <v>0</v>
      </c>
      <c r="AY495" s="50">
        <v>0</v>
      </c>
      <c r="AZ495" s="49">
        <v>0</v>
      </c>
      <c r="BA495" s="50">
        <v>0</v>
      </c>
      <c r="BB495" s="49">
        <v>30</v>
      </c>
      <c r="BC495" s="50">
        <v>42.25352112676056</v>
      </c>
      <c r="BD495" s="49">
        <v>71</v>
      </c>
      <c r="BE495" s="49"/>
      <c r="BF495" s="49"/>
      <c r="BG495" s="49"/>
      <c r="BH495" s="49"/>
      <c r="BI495" s="49"/>
      <c r="BJ495" s="49"/>
      <c r="BK495" s="115" t="s">
        <v>3013</v>
      </c>
      <c r="BL495" s="115" t="s">
        <v>3013</v>
      </c>
      <c r="BM495" s="115" t="s">
        <v>3457</v>
      </c>
      <c r="BN495" s="115" t="s">
        <v>3457</v>
      </c>
      <c r="BO495" s="2"/>
      <c r="BP495" s="3"/>
      <c r="BQ495" s="3"/>
      <c r="BR495" s="3"/>
      <c r="BS495" s="3"/>
    </row>
    <row r="496" spans="1:71" ht="15">
      <c r="A496" s="66" t="s">
        <v>714</v>
      </c>
      <c r="B496" s="67"/>
      <c r="C496" s="67"/>
      <c r="D496" s="68">
        <v>150</v>
      </c>
      <c r="E496" s="70"/>
      <c r="F496" s="102" t="str">
        <f>HYPERLINK("https://yt3.ggpht.com/ytc/AOPolaQMZbRdpeP9qJhne48hEDfUKNxCvOZn8GYdZ26yug=s88-c-k-c0x00ffffff-no-rj")</f>
        <v>https://yt3.ggpht.com/ytc/AOPolaQMZbRdpeP9qJhne48hEDfUKNxCvOZn8GYdZ26yug=s88-c-k-c0x00ffffff-no-rj</v>
      </c>
      <c r="G496" s="67"/>
      <c r="H496" s="71" t="s">
        <v>1779</v>
      </c>
      <c r="I496" s="72"/>
      <c r="J496" s="72" t="s">
        <v>159</v>
      </c>
      <c r="K496" s="71" t="s">
        <v>1779</v>
      </c>
      <c r="L496" s="75">
        <v>1</v>
      </c>
      <c r="M496" s="76">
        <v>4061.365234375</v>
      </c>
      <c r="N496" s="76">
        <v>3223.522216796875</v>
      </c>
      <c r="O496" s="77"/>
      <c r="P496" s="78"/>
      <c r="Q496" s="78"/>
      <c r="R496" s="88"/>
      <c r="S496" s="49">
        <v>0</v>
      </c>
      <c r="T496" s="49">
        <v>1</v>
      </c>
      <c r="U496" s="50">
        <v>0</v>
      </c>
      <c r="V496" s="50">
        <v>0.135911</v>
      </c>
      <c r="W496" s="50">
        <v>0</v>
      </c>
      <c r="X496" s="50">
        <v>0.00158</v>
      </c>
      <c r="Y496" s="50">
        <v>0</v>
      </c>
      <c r="Z496" s="50">
        <v>0</v>
      </c>
      <c r="AA496" s="73">
        <v>496</v>
      </c>
      <c r="AB496" s="73"/>
      <c r="AC496" s="74"/>
      <c r="AD496" s="81" t="s">
        <v>1779</v>
      </c>
      <c r="AE496" s="81"/>
      <c r="AF496" s="81"/>
      <c r="AG496" s="81"/>
      <c r="AH496" s="81"/>
      <c r="AI496" s="81" t="s">
        <v>2512</v>
      </c>
      <c r="AJ496" s="85">
        <v>40791.35979166667</v>
      </c>
      <c r="AK496" s="83" t="str">
        <f>HYPERLINK("https://yt3.ggpht.com/ytc/AOPolaQMZbRdpeP9qJhne48hEDfUKNxCvOZn8GYdZ26yug=s88-c-k-c0x00ffffff-no-rj")</f>
        <v>https://yt3.ggpht.com/ytc/AOPolaQMZbRdpeP9qJhne48hEDfUKNxCvOZn8GYdZ26yug=s88-c-k-c0x00ffffff-no-rj</v>
      </c>
      <c r="AL496" s="81">
        <v>0</v>
      </c>
      <c r="AM496" s="81">
        <v>0</v>
      </c>
      <c r="AN496" s="81">
        <v>0</v>
      </c>
      <c r="AO496" s="81" t="b">
        <v>0</v>
      </c>
      <c r="AP496" s="81">
        <v>0</v>
      </c>
      <c r="AQ496" s="81"/>
      <c r="AR496" s="81"/>
      <c r="AS496" s="81" t="s">
        <v>2571</v>
      </c>
      <c r="AT496" s="83" t="str">
        <f>HYPERLINK("https://www.youtube.com/channel/UCJFgt0We8TKrh-UbX6TdiVg")</f>
        <v>https://www.youtube.com/channel/UCJFgt0We8TKrh-UbX6TdiVg</v>
      </c>
      <c r="AU496" s="81">
        <v>2</v>
      </c>
      <c r="AV496" s="49">
        <v>8</v>
      </c>
      <c r="AW496" s="50">
        <v>3.669724770642202</v>
      </c>
      <c r="AX496" s="49">
        <v>1</v>
      </c>
      <c r="AY496" s="50">
        <v>0.45871559633027525</v>
      </c>
      <c r="AZ496" s="49">
        <v>0</v>
      </c>
      <c r="BA496" s="50">
        <v>0</v>
      </c>
      <c r="BB496" s="49">
        <v>91</v>
      </c>
      <c r="BC496" s="50">
        <v>41.74311926605505</v>
      </c>
      <c r="BD496" s="49">
        <v>218</v>
      </c>
      <c r="BE496" s="49"/>
      <c r="BF496" s="49"/>
      <c r="BG496" s="49"/>
      <c r="BH496" s="49"/>
      <c r="BI496" s="49"/>
      <c r="BJ496" s="49"/>
      <c r="BK496" s="115" t="s">
        <v>3014</v>
      </c>
      <c r="BL496" s="115" t="s">
        <v>3014</v>
      </c>
      <c r="BM496" s="115" t="s">
        <v>3458</v>
      </c>
      <c r="BN496" s="115" t="s">
        <v>3458</v>
      </c>
      <c r="BO496" s="2"/>
      <c r="BP496" s="3"/>
      <c r="BQ496" s="3"/>
      <c r="BR496" s="3"/>
      <c r="BS496" s="3"/>
    </row>
    <row r="497" spans="1:71" ht="15">
      <c r="A497" s="66" t="s">
        <v>715</v>
      </c>
      <c r="B497" s="67"/>
      <c r="C497" s="67"/>
      <c r="D497" s="68">
        <v>150</v>
      </c>
      <c r="E497" s="70"/>
      <c r="F497" s="102" t="str">
        <f>HYPERLINK("https://yt3.ggpht.com/ytc/AOPolaSwf9q9tsoRaYiCXbNfCjFz9uXZiFSlzRFL3A=s88-c-k-c0x00ffffff-no-rj")</f>
        <v>https://yt3.ggpht.com/ytc/AOPolaSwf9q9tsoRaYiCXbNfCjFz9uXZiFSlzRFL3A=s88-c-k-c0x00ffffff-no-rj</v>
      </c>
      <c r="G497" s="67"/>
      <c r="H497" s="71" t="s">
        <v>1780</v>
      </c>
      <c r="I497" s="72"/>
      <c r="J497" s="72" t="s">
        <v>159</v>
      </c>
      <c r="K497" s="71" t="s">
        <v>1780</v>
      </c>
      <c r="L497" s="75">
        <v>1</v>
      </c>
      <c r="M497" s="76">
        <v>5889.05322265625</v>
      </c>
      <c r="N497" s="76">
        <v>1446.8690185546875</v>
      </c>
      <c r="O497" s="77"/>
      <c r="P497" s="78"/>
      <c r="Q497" s="78"/>
      <c r="R497" s="88"/>
      <c r="S497" s="49">
        <v>0</v>
      </c>
      <c r="T497" s="49">
        <v>1</v>
      </c>
      <c r="U497" s="50">
        <v>0</v>
      </c>
      <c r="V497" s="50">
        <v>0.135911</v>
      </c>
      <c r="W497" s="50">
        <v>0</v>
      </c>
      <c r="X497" s="50">
        <v>0.00158</v>
      </c>
      <c r="Y497" s="50">
        <v>0</v>
      </c>
      <c r="Z497" s="50">
        <v>0</v>
      </c>
      <c r="AA497" s="73">
        <v>497</v>
      </c>
      <c r="AB497" s="73"/>
      <c r="AC497" s="74"/>
      <c r="AD497" s="81" t="s">
        <v>1780</v>
      </c>
      <c r="AE497" s="81"/>
      <c r="AF497" s="81"/>
      <c r="AG497" s="81"/>
      <c r="AH497" s="81"/>
      <c r="AI497" s="81" t="s">
        <v>2513</v>
      </c>
      <c r="AJ497" s="85">
        <v>43235.383680555555</v>
      </c>
      <c r="AK497" s="83" t="str">
        <f>HYPERLINK("https://yt3.ggpht.com/ytc/AOPolaSwf9q9tsoRaYiCXbNfCjFz9uXZiFSlzRFL3A=s88-c-k-c0x00ffffff-no-rj")</f>
        <v>https://yt3.ggpht.com/ytc/AOPolaSwf9q9tsoRaYiCXbNfCjFz9uXZiFSlzRFL3A=s88-c-k-c0x00ffffff-no-rj</v>
      </c>
      <c r="AL497" s="81">
        <v>0</v>
      </c>
      <c r="AM497" s="81">
        <v>0</v>
      </c>
      <c r="AN497" s="81">
        <v>0</v>
      </c>
      <c r="AO497" s="81" t="b">
        <v>0</v>
      </c>
      <c r="AP497" s="81">
        <v>0</v>
      </c>
      <c r="AQ497" s="81"/>
      <c r="AR497" s="81"/>
      <c r="AS497" s="81" t="s">
        <v>2571</v>
      </c>
      <c r="AT497" s="83" t="str">
        <f>HYPERLINK("https://www.youtube.com/channel/UCkOeSfUzVPPLkxKWy33qO9g")</f>
        <v>https://www.youtube.com/channel/UCkOeSfUzVPPLkxKWy33qO9g</v>
      </c>
      <c r="AU497" s="81">
        <v>2</v>
      </c>
      <c r="AV497" s="49">
        <v>2</v>
      </c>
      <c r="AW497" s="50">
        <v>4.166666666666667</v>
      </c>
      <c r="AX497" s="49">
        <v>0</v>
      </c>
      <c r="AY497" s="50">
        <v>0</v>
      </c>
      <c r="AZ497" s="49">
        <v>0</v>
      </c>
      <c r="BA497" s="50">
        <v>0</v>
      </c>
      <c r="BB497" s="49">
        <v>16</v>
      </c>
      <c r="BC497" s="50">
        <v>33.333333333333336</v>
      </c>
      <c r="BD497" s="49">
        <v>48</v>
      </c>
      <c r="BE497" s="49"/>
      <c r="BF497" s="49"/>
      <c r="BG497" s="49"/>
      <c r="BH497" s="49"/>
      <c r="BI497" s="49"/>
      <c r="BJ497" s="49"/>
      <c r="BK497" s="115" t="s">
        <v>4570</v>
      </c>
      <c r="BL497" s="115" t="s">
        <v>4570</v>
      </c>
      <c r="BM497" s="115" t="s">
        <v>4593</v>
      </c>
      <c r="BN497" s="115" t="s">
        <v>4593</v>
      </c>
      <c r="BO497" s="2"/>
      <c r="BP497" s="3"/>
      <c r="BQ497" s="3"/>
      <c r="BR497" s="3"/>
      <c r="BS497" s="3"/>
    </row>
    <row r="498" spans="1:71" ht="15">
      <c r="A498" s="66" t="s">
        <v>716</v>
      </c>
      <c r="B498" s="67"/>
      <c r="C498" s="67"/>
      <c r="D498" s="68">
        <v>150</v>
      </c>
      <c r="E498" s="70"/>
      <c r="F498" s="102" t="str">
        <f>HYPERLINK("https://yt3.ggpht.com/rSemdS5VNBwHDBTMdXgL-KyC_ow9IMzFSaXdtx3gGB5Usm-u7utgsHvEdjGb7mtU2YcTbrbOcw=s88-c-k-c0x00ffffff-no-rj")</f>
        <v>https://yt3.ggpht.com/rSemdS5VNBwHDBTMdXgL-KyC_ow9IMzFSaXdtx3gGB5Usm-u7utgsHvEdjGb7mtU2YcTbrbOcw=s88-c-k-c0x00ffffff-no-rj</v>
      </c>
      <c r="G498" s="67"/>
      <c r="H498" s="71" t="s">
        <v>1781</v>
      </c>
      <c r="I498" s="72"/>
      <c r="J498" s="72" t="s">
        <v>159</v>
      </c>
      <c r="K498" s="71" t="s">
        <v>1781</v>
      </c>
      <c r="L498" s="75">
        <v>1</v>
      </c>
      <c r="M498" s="76">
        <v>5178.1748046875</v>
      </c>
      <c r="N498" s="76">
        <v>2609.8671875</v>
      </c>
      <c r="O498" s="77"/>
      <c r="P498" s="78"/>
      <c r="Q498" s="78"/>
      <c r="R498" s="88"/>
      <c r="S498" s="49">
        <v>0</v>
      </c>
      <c r="T498" s="49">
        <v>1</v>
      </c>
      <c r="U498" s="50">
        <v>0</v>
      </c>
      <c r="V498" s="50">
        <v>0.135911</v>
      </c>
      <c r="W498" s="50">
        <v>0</v>
      </c>
      <c r="X498" s="50">
        <v>0.00158</v>
      </c>
      <c r="Y498" s="50">
        <v>0</v>
      </c>
      <c r="Z498" s="50">
        <v>0</v>
      </c>
      <c r="AA498" s="73">
        <v>498</v>
      </c>
      <c r="AB498" s="73"/>
      <c r="AC498" s="74"/>
      <c r="AD498" s="81" t="s">
        <v>1781</v>
      </c>
      <c r="AE498" s="81" t="s">
        <v>2002</v>
      </c>
      <c r="AF498" s="81"/>
      <c r="AG498" s="81"/>
      <c r="AH498" s="81"/>
      <c r="AI498" s="81" t="s">
        <v>2514</v>
      </c>
      <c r="AJ498" s="85">
        <v>42338.349328703705</v>
      </c>
      <c r="AK498" s="83" t="str">
        <f>HYPERLINK("https://yt3.ggpht.com/rSemdS5VNBwHDBTMdXgL-KyC_ow9IMzFSaXdtx3gGB5Usm-u7utgsHvEdjGb7mtU2YcTbrbOcw=s88-c-k-c0x00ffffff-no-rj")</f>
        <v>https://yt3.ggpht.com/rSemdS5VNBwHDBTMdXgL-KyC_ow9IMzFSaXdtx3gGB5Usm-u7utgsHvEdjGb7mtU2YcTbrbOcw=s88-c-k-c0x00ffffff-no-rj</v>
      </c>
      <c r="AL498" s="81">
        <v>0</v>
      </c>
      <c r="AM498" s="81">
        <v>0</v>
      </c>
      <c r="AN498" s="81">
        <v>38</v>
      </c>
      <c r="AO498" s="81" t="b">
        <v>0</v>
      </c>
      <c r="AP498" s="81">
        <v>0</v>
      </c>
      <c r="AQ498" s="81"/>
      <c r="AR498" s="81"/>
      <c r="AS498" s="81" t="s">
        <v>2571</v>
      </c>
      <c r="AT498" s="83" t="str">
        <f>HYPERLINK("https://www.youtube.com/channel/UCW269Xw8c4JZkTdDugBxoJg")</f>
        <v>https://www.youtube.com/channel/UCW269Xw8c4JZkTdDugBxoJg</v>
      </c>
      <c r="AU498" s="81">
        <v>2</v>
      </c>
      <c r="AV498" s="49">
        <v>1</v>
      </c>
      <c r="AW498" s="50">
        <v>7.142857142857143</v>
      </c>
      <c r="AX498" s="49">
        <v>0</v>
      </c>
      <c r="AY498" s="50">
        <v>0</v>
      </c>
      <c r="AZ498" s="49">
        <v>0</v>
      </c>
      <c r="BA498" s="50">
        <v>0</v>
      </c>
      <c r="BB498" s="49">
        <v>7</v>
      </c>
      <c r="BC498" s="50">
        <v>50</v>
      </c>
      <c r="BD498" s="49">
        <v>14</v>
      </c>
      <c r="BE498" s="49"/>
      <c r="BF498" s="49"/>
      <c r="BG498" s="49"/>
      <c r="BH498" s="49"/>
      <c r="BI498" s="49"/>
      <c r="BJ498" s="49"/>
      <c r="BK498" s="115" t="s">
        <v>3015</v>
      </c>
      <c r="BL498" s="115" t="s">
        <v>3015</v>
      </c>
      <c r="BM498" s="115" t="s">
        <v>3459</v>
      </c>
      <c r="BN498" s="115" t="s">
        <v>3459</v>
      </c>
      <c r="BO498" s="2"/>
      <c r="BP498" s="3"/>
      <c r="BQ498" s="3"/>
      <c r="BR498" s="3"/>
      <c r="BS498" s="3"/>
    </row>
    <row r="499" spans="1:71" ht="15">
      <c r="A499" s="66" t="s">
        <v>717</v>
      </c>
      <c r="B499" s="67"/>
      <c r="C499" s="67"/>
      <c r="D499" s="68">
        <v>150</v>
      </c>
      <c r="E499" s="70"/>
      <c r="F499" s="102" t="str">
        <f>HYPERLINK("https://yt3.ggpht.com/ytc/AOPolaTqIdw9yVxg8eZII0_fCVHtbGV2Wt228cMYcRx-OQ=s88-c-k-c0x00ffffff-no-rj")</f>
        <v>https://yt3.ggpht.com/ytc/AOPolaTqIdw9yVxg8eZII0_fCVHtbGV2Wt228cMYcRx-OQ=s88-c-k-c0x00ffffff-no-rj</v>
      </c>
      <c r="G499" s="67"/>
      <c r="H499" s="71" t="s">
        <v>1782</v>
      </c>
      <c r="I499" s="72"/>
      <c r="J499" s="72" t="s">
        <v>159</v>
      </c>
      <c r="K499" s="71" t="s">
        <v>1782</v>
      </c>
      <c r="L499" s="75">
        <v>1</v>
      </c>
      <c r="M499" s="76">
        <v>3977.641845703125</v>
      </c>
      <c r="N499" s="76">
        <v>2722.63671875</v>
      </c>
      <c r="O499" s="77"/>
      <c r="P499" s="78"/>
      <c r="Q499" s="78"/>
      <c r="R499" s="88"/>
      <c r="S499" s="49">
        <v>0</v>
      </c>
      <c r="T499" s="49">
        <v>1</v>
      </c>
      <c r="U499" s="50">
        <v>0</v>
      </c>
      <c r="V499" s="50">
        <v>0.135911</v>
      </c>
      <c r="W499" s="50">
        <v>0</v>
      </c>
      <c r="X499" s="50">
        <v>0.00158</v>
      </c>
      <c r="Y499" s="50">
        <v>0</v>
      </c>
      <c r="Z499" s="50">
        <v>0</v>
      </c>
      <c r="AA499" s="73">
        <v>499</v>
      </c>
      <c r="AB499" s="73"/>
      <c r="AC499" s="74"/>
      <c r="AD499" s="81" t="s">
        <v>1782</v>
      </c>
      <c r="AE499" s="81"/>
      <c r="AF499" s="81"/>
      <c r="AG499" s="81"/>
      <c r="AH499" s="81"/>
      <c r="AI499" s="81" t="s">
        <v>2515</v>
      </c>
      <c r="AJ499" s="85">
        <v>41247.012974537036</v>
      </c>
      <c r="AK499" s="83" t="str">
        <f>HYPERLINK("https://yt3.ggpht.com/ytc/AOPolaTqIdw9yVxg8eZII0_fCVHtbGV2Wt228cMYcRx-OQ=s88-c-k-c0x00ffffff-no-rj")</f>
        <v>https://yt3.ggpht.com/ytc/AOPolaTqIdw9yVxg8eZII0_fCVHtbGV2Wt228cMYcRx-OQ=s88-c-k-c0x00ffffff-no-rj</v>
      </c>
      <c r="AL499" s="81">
        <v>0</v>
      </c>
      <c r="AM499" s="81">
        <v>0</v>
      </c>
      <c r="AN499" s="81">
        <v>0</v>
      </c>
      <c r="AO499" s="81" t="b">
        <v>0</v>
      </c>
      <c r="AP499" s="81">
        <v>0</v>
      </c>
      <c r="AQ499" s="81"/>
      <c r="AR499" s="81"/>
      <c r="AS499" s="81" t="s">
        <v>2571</v>
      </c>
      <c r="AT499" s="83" t="str">
        <f>HYPERLINK("https://www.youtube.com/channel/UCNkNOakUpGFOUms0NIlR6VQ")</f>
        <v>https://www.youtube.com/channel/UCNkNOakUpGFOUms0NIlR6VQ</v>
      </c>
      <c r="AU499" s="81">
        <v>2</v>
      </c>
      <c r="AV499" s="49">
        <v>1</v>
      </c>
      <c r="AW499" s="50">
        <v>2.9411764705882355</v>
      </c>
      <c r="AX499" s="49">
        <v>2</v>
      </c>
      <c r="AY499" s="50">
        <v>5.882352941176471</v>
      </c>
      <c r="AZ499" s="49">
        <v>0</v>
      </c>
      <c r="BA499" s="50">
        <v>0</v>
      </c>
      <c r="BB499" s="49">
        <v>9</v>
      </c>
      <c r="BC499" s="50">
        <v>26.470588235294116</v>
      </c>
      <c r="BD499" s="49">
        <v>34</v>
      </c>
      <c r="BE499" s="49"/>
      <c r="BF499" s="49"/>
      <c r="BG499" s="49"/>
      <c r="BH499" s="49"/>
      <c r="BI499" s="49"/>
      <c r="BJ499" s="49"/>
      <c r="BK499" s="115" t="s">
        <v>3016</v>
      </c>
      <c r="BL499" s="115" t="s">
        <v>3016</v>
      </c>
      <c r="BM499" s="115" t="s">
        <v>3460</v>
      </c>
      <c r="BN499" s="115" t="s">
        <v>3460</v>
      </c>
      <c r="BO499" s="2"/>
      <c r="BP499" s="3"/>
      <c r="BQ499" s="3"/>
      <c r="BR499" s="3"/>
      <c r="BS499" s="3"/>
    </row>
    <row r="500" spans="1:71" ht="15">
      <c r="A500" s="66" t="s">
        <v>718</v>
      </c>
      <c r="B500" s="67"/>
      <c r="C500" s="67"/>
      <c r="D500" s="68">
        <v>150</v>
      </c>
      <c r="E500" s="70"/>
      <c r="F500" s="102" t="str">
        <f>HYPERLINK("https://yt3.ggpht.com/ytc/AOPolaSm93_1qHsaW4nshE3P2p-C3xzjfQbOyvgmFaCgkX6FETtH-a6uGBNO0JbOIAhV=s88-c-k-c0x00ffffff-no-rj")</f>
        <v>https://yt3.ggpht.com/ytc/AOPolaSm93_1qHsaW4nshE3P2p-C3xzjfQbOyvgmFaCgkX6FETtH-a6uGBNO0JbOIAhV=s88-c-k-c0x00ffffff-no-rj</v>
      </c>
      <c r="G500" s="67"/>
      <c r="H500" s="71" t="s">
        <v>1783</v>
      </c>
      <c r="I500" s="72"/>
      <c r="J500" s="72" t="s">
        <v>159</v>
      </c>
      <c r="K500" s="71" t="s">
        <v>1783</v>
      </c>
      <c r="L500" s="75">
        <v>1</v>
      </c>
      <c r="M500" s="76">
        <v>4598.681640625</v>
      </c>
      <c r="N500" s="76">
        <v>3928.731201171875</v>
      </c>
      <c r="O500" s="77"/>
      <c r="P500" s="78"/>
      <c r="Q500" s="78"/>
      <c r="R500" s="88"/>
      <c r="S500" s="49">
        <v>0</v>
      </c>
      <c r="T500" s="49">
        <v>1</v>
      </c>
      <c r="U500" s="50">
        <v>0</v>
      </c>
      <c r="V500" s="50">
        <v>0.135911</v>
      </c>
      <c r="W500" s="50">
        <v>0</v>
      </c>
      <c r="X500" s="50">
        <v>0.00158</v>
      </c>
      <c r="Y500" s="50">
        <v>0</v>
      </c>
      <c r="Z500" s="50">
        <v>0</v>
      </c>
      <c r="AA500" s="73">
        <v>500</v>
      </c>
      <c r="AB500" s="73"/>
      <c r="AC500" s="74"/>
      <c r="AD500" s="81" t="s">
        <v>1783</v>
      </c>
      <c r="AE500" s="81"/>
      <c r="AF500" s="81"/>
      <c r="AG500" s="81"/>
      <c r="AH500" s="81"/>
      <c r="AI500" s="81" t="s">
        <v>2516</v>
      </c>
      <c r="AJ500" s="85">
        <v>44499.235289351855</v>
      </c>
      <c r="AK500" s="83" t="str">
        <f>HYPERLINK("https://yt3.ggpht.com/ytc/AOPolaSm93_1qHsaW4nshE3P2p-C3xzjfQbOyvgmFaCgkX6FETtH-a6uGBNO0JbOIAhV=s88-c-k-c0x00ffffff-no-rj")</f>
        <v>https://yt3.ggpht.com/ytc/AOPolaSm93_1qHsaW4nshE3P2p-C3xzjfQbOyvgmFaCgkX6FETtH-a6uGBNO0JbOIAhV=s88-c-k-c0x00ffffff-no-rj</v>
      </c>
      <c r="AL500" s="81">
        <v>0</v>
      </c>
      <c r="AM500" s="81">
        <v>0</v>
      </c>
      <c r="AN500" s="81">
        <v>41</v>
      </c>
      <c r="AO500" s="81" t="b">
        <v>0</v>
      </c>
      <c r="AP500" s="81">
        <v>0</v>
      </c>
      <c r="AQ500" s="81"/>
      <c r="AR500" s="81"/>
      <c r="AS500" s="81" t="s">
        <v>2571</v>
      </c>
      <c r="AT500" s="83" t="str">
        <f>HYPERLINK("https://www.youtube.com/channel/UCYiClT59wh9GGFNw8RF5ecw")</f>
        <v>https://www.youtube.com/channel/UCYiClT59wh9GGFNw8RF5ecw</v>
      </c>
      <c r="AU500" s="81">
        <v>2</v>
      </c>
      <c r="AV500" s="49">
        <v>0</v>
      </c>
      <c r="AW500" s="50">
        <v>0</v>
      </c>
      <c r="AX500" s="49">
        <v>0</v>
      </c>
      <c r="AY500" s="50">
        <v>0</v>
      </c>
      <c r="AZ500" s="49">
        <v>0</v>
      </c>
      <c r="BA500" s="50">
        <v>0</v>
      </c>
      <c r="BB500" s="49">
        <v>0</v>
      </c>
      <c r="BC500" s="50">
        <v>0</v>
      </c>
      <c r="BD500" s="49">
        <v>0</v>
      </c>
      <c r="BE500" s="49"/>
      <c r="BF500" s="49"/>
      <c r="BG500" s="49"/>
      <c r="BH500" s="49"/>
      <c r="BI500" s="49"/>
      <c r="BJ500" s="49"/>
      <c r="BK500" s="115" t="s">
        <v>4477</v>
      </c>
      <c r="BL500" s="115" t="s">
        <v>4477</v>
      </c>
      <c r="BM500" s="115" t="s">
        <v>4477</v>
      </c>
      <c r="BN500" s="115" t="s">
        <v>4477</v>
      </c>
      <c r="BO500" s="2"/>
      <c r="BP500" s="3"/>
      <c r="BQ500" s="3"/>
      <c r="BR500" s="3"/>
      <c r="BS500" s="3"/>
    </row>
    <row r="501" spans="1:71" ht="15">
      <c r="A501" s="66" t="s">
        <v>719</v>
      </c>
      <c r="B501" s="67"/>
      <c r="C501" s="67"/>
      <c r="D501" s="68">
        <v>150</v>
      </c>
      <c r="E501" s="70"/>
      <c r="F501" s="102" t="str">
        <f>HYPERLINK("https://yt3.ggpht.com/ytc/AOPolaRN_pEWr1ckOKFEX7DiXCJ2DUCeIKhsomQaFFL6uTdqqi9H-Fu87SrQ5X3Osffe=s88-c-k-c0x00ffffff-no-rj")</f>
        <v>https://yt3.ggpht.com/ytc/AOPolaRN_pEWr1ckOKFEX7DiXCJ2DUCeIKhsomQaFFL6uTdqqi9H-Fu87SrQ5X3Osffe=s88-c-k-c0x00ffffff-no-rj</v>
      </c>
      <c r="G501" s="67"/>
      <c r="H501" s="71" t="s">
        <v>1784</v>
      </c>
      <c r="I501" s="72"/>
      <c r="J501" s="72" t="s">
        <v>159</v>
      </c>
      <c r="K501" s="71" t="s">
        <v>1784</v>
      </c>
      <c r="L501" s="75">
        <v>1</v>
      </c>
      <c r="M501" s="76">
        <v>4472.36962890625</v>
      </c>
      <c r="N501" s="76">
        <v>400.3830261230469</v>
      </c>
      <c r="O501" s="77"/>
      <c r="P501" s="78"/>
      <c r="Q501" s="78"/>
      <c r="R501" s="88"/>
      <c r="S501" s="49">
        <v>0</v>
      </c>
      <c r="T501" s="49">
        <v>1</v>
      </c>
      <c r="U501" s="50">
        <v>0</v>
      </c>
      <c r="V501" s="50">
        <v>0.135911</v>
      </c>
      <c r="W501" s="50">
        <v>0</v>
      </c>
      <c r="X501" s="50">
        <v>0.00158</v>
      </c>
      <c r="Y501" s="50">
        <v>0</v>
      </c>
      <c r="Z501" s="50">
        <v>0</v>
      </c>
      <c r="AA501" s="73">
        <v>501</v>
      </c>
      <c r="AB501" s="73"/>
      <c r="AC501" s="74"/>
      <c r="AD501" s="81" t="s">
        <v>1784</v>
      </c>
      <c r="AE501" s="81" t="s">
        <v>2003</v>
      </c>
      <c r="AF501" s="81"/>
      <c r="AG501" s="81"/>
      <c r="AH501" s="81"/>
      <c r="AI501" s="81" t="s">
        <v>2517</v>
      </c>
      <c r="AJ501" s="85">
        <v>44028.43100694445</v>
      </c>
      <c r="AK501" s="83" t="str">
        <f>HYPERLINK("https://yt3.ggpht.com/ytc/AOPolaRN_pEWr1ckOKFEX7DiXCJ2DUCeIKhsomQaFFL6uTdqqi9H-Fu87SrQ5X3Osffe=s88-c-k-c0x00ffffff-no-rj")</f>
        <v>https://yt3.ggpht.com/ytc/AOPolaRN_pEWr1ckOKFEX7DiXCJ2DUCeIKhsomQaFFL6uTdqqi9H-Fu87SrQ5X3Osffe=s88-c-k-c0x00ffffff-no-rj</v>
      </c>
      <c r="AL501" s="81">
        <v>0</v>
      </c>
      <c r="AM501" s="81">
        <v>0</v>
      </c>
      <c r="AN501" s="81">
        <v>1</v>
      </c>
      <c r="AO501" s="81" t="b">
        <v>0</v>
      </c>
      <c r="AP501" s="81">
        <v>0</v>
      </c>
      <c r="AQ501" s="81"/>
      <c r="AR501" s="81"/>
      <c r="AS501" s="81" t="s">
        <v>2571</v>
      </c>
      <c r="AT501" s="83" t="str">
        <f>HYPERLINK("https://www.youtube.com/channel/UCPbQogybo9ugVqDevZ511hg")</f>
        <v>https://www.youtube.com/channel/UCPbQogybo9ugVqDevZ511hg</v>
      </c>
      <c r="AU501" s="81">
        <v>2</v>
      </c>
      <c r="AV501" s="49">
        <v>1</v>
      </c>
      <c r="AW501" s="50">
        <v>9.090909090909092</v>
      </c>
      <c r="AX501" s="49">
        <v>0</v>
      </c>
      <c r="AY501" s="50">
        <v>0</v>
      </c>
      <c r="AZ501" s="49">
        <v>0</v>
      </c>
      <c r="BA501" s="50">
        <v>0</v>
      </c>
      <c r="BB501" s="49">
        <v>3</v>
      </c>
      <c r="BC501" s="50">
        <v>27.272727272727273</v>
      </c>
      <c r="BD501" s="49">
        <v>11</v>
      </c>
      <c r="BE501" s="49"/>
      <c r="BF501" s="49"/>
      <c r="BG501" s="49"/>
      <c r="BH501" s="49"/>
      <c r="BI501" s="49"/>
      <c r="BJ501" s="49"/>
      <c r="BK501" s="115" t="s">
        <v>3017</v>
      </c>
      <c r="BL501" s="115" t="s">
        <v>3017</v>
      </c>
      <c r="BM501" s="115" t="s">
        <v>3461</v>
      </c>
      <c r="BN501" s="115" t="s">
        <v>3461</v>
      </c>
      <c r="BO501" s="2"/>
      <c r="BP501" s="3"/>
      <c r="BQ501" s="3"/>
      <c r="BR501" s="3"/>
      <c r="BS501" s="3"/>
    </row>
    <row r="502" spans="1:71" ht="15">
      <c r="A502" s="66" t="s">
        <v>720</v>
      </c>
      <c r="B502" s="67"/>
      <c r="C502" s="67"/>
      <c r="D502" s="68">
        <v>150</v>
      </c>
      <c r="E502" s="70"/>
      <c r="F502" s="102" t="str">
        <f>HYPERLINK("https://yt3.ggpht.com/Te2uJGQJvCiPniYrDJQXItLGU1dFsltJV-ILAtL2nnE2toRh7h33oadMO0VYabX-o4FQSRf_OA=s88-c-k-c0x00ffffff-no-rj")</f>
        <v>https://yt3.ggpht.com/Te2uJGQJvCiPniYrDJQXItLGU1dFsltJV-ILAtL2nnE2toRh7h33oadMO0VYabX-o4FQSRf_OA=s88-c-k-c0x00ffffff-no-rj</v>
      </c>
      <c r="G502" s="67"/>
      <c r="H502" s="71" t="s">
        <v>1785</v>
      </c>
      <c r="I502" s="72"/>
      <c r="J502" s="72" t="s">
        <v>159</v>
      </c>
      <c r="K502" s="71" t="s">
        <v>1785</v>
      </c>
      <c r="L502" s="75">
        <v>1</v>
      </c>
      <c r="M502" s="76">
        <v>3865.27099609375</v>
      </c>
      <c r="N502" s="76">
        <v>4266.814453125</v>
      </c>
      <c r="O502" s="77"/>
      <c r="P502" s="78"/>
      <c r="Q502" s="78"/>
      <c r="R502" s="88"/>
      <c r="S502" s="49">
        <v>0</v>
      </c>
      <c r="T502" s="49">
        <v>1</v>
      </c>
      <c r="U502" s="50">
        <v>0</v>
      </c>
      <c r="V502" s="50">
        <v>0.135911</v>
      </c>
      <c r="W502" s="50">
        <v>0</v>
      </c>
      <c r="X502" s="50">
        <v>0.00158</v>
      </c>
      <c r="Y502" s="50">
        <v>0</v>
      </c>
      <c r="Z502" s="50">
        <v>0</v>
      </c>
      <c r="AA502" s="73">
        <v>502</v>
      </c>
      <c r="AB502" s="73"/>
      <c r="AC502" s="74"/>
      <c r="AD502" s="81" t="s">
        <v>1785</v>
      </c>
      <c r="AE502" s="81" t="s">
        <v>2004</v>
      </c>
      <c r="AF502" s="81"/>
      <c r="AG502" s="81"/>
      <c r="AH502" s="81"/>
      <c r="AI502" s="81" t="s">
        <v>2518</v>
      </c>
      <c r="AJ502" s="85">
        <v>42450.2278125</v>
      </c>
      <c r="AK502" s="83" t="str">
        <f>HYPERLINK("https://yt3.ggpht.com/Te2uJGQJvCiPniYrDJQXItLGU1dFsltJV-ILAtL2nnE2toRh7h33oadMO0VYabX-o4FQSRf_OA=s88-c-k-c0x00ffffff-no-rj")</f>
        <v>https://yt3.ggpht.com/Te2uJGQJvCiPniYrDJQXItLGU1dFsltJV-ILAtL2nnE2toRh7h33oadMO0VYabX-o4FQSRf_OA=s88-c-k-c0x00ffffff-no-rj</v>
      </c>
      <c r="AL502" s="81">
        <v>6930291</v>
      </c>
      <c r="AM502" s="81">
        <v>0</v>
      </c>
      <c r="AN502" s="81">
        <v>17700</v>
      </c>
      <c r="AO502" s="81" t="b">
        <v>0</v>
      </c>
      <c r="AP502" s="81">
        <v>137</v>
      </c>
      <c r="AQ502" s="81"/>
      <c r="AR502" s="81"/>
      <c r="AS502" s="81" t="s">
        <v>2571</v>
      </c>
      <c r="AT502" s="83" t="str">
        <f>HYPERLINK("https://www.youtube.com/channel/UCY6wQpAem-Z4zFuwPo1b5vg")</f>
        <v>https://www.youtube.com/channel/UCY6wQpAem-Z4zFuwPo1b5vg</v>
      </c>
      <c r="AU502" s="81">
        <v>2</v>
      </c>
      <c r="AV502" s="49">
        <v>4</v>
      </c>
      <c r="AW502" s="50">
        <v>16</v>
      </c>
      <c r="AX502" s="49">
        <v>1</v>
      </c>
      <c r="AY502" s="50">
        <v>4</v>
      </c>
      <c r="AZ502" s="49">
        <v>0</v>
      </c>
      <c r="BA502" s="50">
        <v>0</v>
      </c>
      <c r="BB502" s="49">
        <v>10</v>
      </c>
      <c r="BC502" s="50">
        <v>40</v>
      </c>
      <c r="BD502" s="49">
        <v>25</v>
      </c>
      <c r="BE502" s="49"/>
      <c r="BF502" s="49"/>
      <c r="BG502" s="49"/>
      <c r="BH502" s="49"/>
      <c r="BI502" s="49"/>
      <c r="BJ502" s="49"/>
      <c r="BK502" s="115" t="s">
        <v>3018</v>
      </c>
      <c r="BL502" s="115" t="s">
        <v>3018</v>
      </c>
      <c r="BM502" s="115" t="s">
        <v>3462</v>
      </c>
      <c r="BN502" s="115" t="s">
        <v>3462</v>
      </c>
      <c r="BO502" s="2"/>
      <c r="BP502" s="3"/>
      <c r="BQ502" s="3"/>
      <c r="BR502" s="3"/>
      <c r="BS502" s="3"/>
    </row>
    <row r="503" spans="1:71" ht="15">
      <c r="A503" s="66" t="s">
        <v>721</v>
      </c>
      <c r="B503" s="67"/>
      <c r="C503" s="67"/>
      <c r="D503" s="68">
        <v>150</v>
      </c>
      <c r="E503" s="70"/>
      <c r="F503" s="102" t="str">
        <f>HYPERLINK("https://yt3.ggpht.com/ytc/AOPolaTH40Qs3nfLHRK2R-uCaSa1mWxwcFDlJTRRK6eklA=s88-c-k-c0x00ffffff-no-rj")</f>
        <v>https://yt3.ggpht.com/ytc/AOPolaTH40Qs3nfLHRK2R-uCaSa1mWxwcFDlJTRRK6eklA=s88-c-k-c0x00ffffff-no-rj</v>
      </c>
      <c r="G503" s="67"/>
      <c r="H503" s="71" t="s">
        <v>1786</v>
      </c>
      <c r="I503" s="72"/>
      <c r="J503" s="72" t="s">
        <v>159</v>
      </c>
      <c r="K503" s="71" t="s">
        <v>1786</v>
      </c>
      <c r="L503" s="75">
        <v>1</v>
      </c>
      <c r="M503" s="76">
        <v>4275.833984375</v>
      </c>
      <c r="N503" s="76">
        <v>4011.03759765625</v>
      </c>
      <c r="O503" s="77"/>
      <c r="P503" s="78"/>
      <c r="Q503" s="78"/>
      <c r="R503" s="88"/>
      <c r="S503" s="49">
        <v>0</v>
      </c>
      <c r="T503" s="49">
        <v>1</v>
      </c>
      <c r="U503" s="50">
        <v>0</v>
      </c>
      <c r="V503" s="50">
        <v>0.135911</v>
      </c>
      <c r="W503" s="50">
        <v>0</v>
      </c>
      <c r="X503" s="50">
        <v>0.00158</v>
      </c>
      <c r="Y503" s="50">
        <v>0</v>
      </c>
      <c r="Z503" s="50">
        <v>0</v>
      </c>
      <c r="AA503" s="73">
        <v>503</v>
      </c>
      <c r="AB503" s="73"/>
      <c r="AC503" s="74"/>
      <c r="AD503" s="81" t="s">
        <v>1786</v>
      </c>
      <c r="AE503" s="81"/>
      <c r="AF503" s="81"/>
      <c r="AG503" s="81"/>
      <c r="AH503" s="81"/>
      <c r="AI503" s="81" t="s">
        <v>2519</v>
      </c>
      <c r="AJ503" s="85">
        <v>42377.660150462965</v>
      </c>
      <c r="AK503" s="83" t="str">
        <f>HYPERLINK("https://yt3.ggpht.com/ytc/AOPolaTH40Qs3nfLHRK2R-uCaSa1mWxwcFDlJTRRK6eklA=s88-c-k-c0x00ffffff-no-rj")</f>
        <v>https://yt3.ggpht.com/ytc/AOPolaTH40Qs3nfLHRK2R-uCaSa1mWxwcFDlJTRRK6eklA=s88-c-k-c0x00ffffff-no-rj</v>
      </c>
      <c r="AL503" s="81">
        <v>0</v>
      </c>
      <c r="AM503" s="81">
        <v>0</v>
      </c>
      <c r="AN503" s="81">
        <v>1</v>
      </c>
      <c r="AO503" s="81" t="b">
        <v>0</v>
      </c>
      <c r="AP503" s="81">
        <v>0</v>
      </c>
      <c r="AQ503" s="81"/>
      <c r="AR503" s="81"/>
      <c r="AS503" s="81" t="s">
        <v>2571</v>
      </c>
      <c r="AT503" s="83" t="str">
        <f>HYPERLINK("https://www.youtube.com/channel/UCoLbgssVprBoJA1lmVLEpNA")</f>
        <v>https://www.youtube.com/channel/UCoLbgssVprBoJA1lmVLEpNA</v>
      </c>
      <c r="AU503" s="81">
        <v>2</v>
      </c>
      <c r="AV503" s="49">
        <v>1</v>
      </c>
      <c r="AW503" s="50">
        <v>5.555555555555555</v>
      </c>
      <c r="AX503" s="49">
        <v>0</v>
      </c>
      <c r="AY503" s="50">
        <v>0</v>
      </c>
      <c r="AZ503" s="49">
        <v>0</v>
      </c>
      <c r="BA503" s="50">
        <v>0</v>
      </c>
      <c r="BB503" s="49">
        <v>6</v>
      </c>
      <c r="BC503" s="50">
        <v>33.333333333333336</v>
      </c>
      <c r="BD503" s="49">
        <v>18</v>
      </c>
      <c r="BE503" s="49"/>
      <c r="BF503" s="49"/>
      <c r="BG503" s="49"/>
      <c r="BH503" s="49"/>
      <c r="BI503" s="49"/>
      <c r="BJ503" s="49"/>
      <c r="BK503" s="115" t="s">
        <v>3019</v>
      </c>
      <c r="BL503" s="115" t="s">
        <v>3019</v>
      </c>
      <c r="BM503" s="115" t="s">
        <v>3463</v>
      </c>
      <c r="BN503" s="115" t="s">
        <v>3463</v>
      </c>
      <c r="BO503" s="2"/>
      <c r="BP503" s="3"/>
      <c r="BQ503" s="3"/>
      <c r="BR503" s="3"/>
      <c r="BS503" s="3"/>
    </row>
    <row r="504" spans="1:71" ht="15">
      <c r="A504" s="66" t="s">
        <v>722</v>
      </c>
      <c r="B504" s="67"/>
      <c r="C504" s="67"/>
      <c r="D504" s="68">
        <v>150</v>
      </c>
      <c r="E504" s="70"/>
      <c r="F504" s="102" t="str">
        <f>HYPERLINK("https://yt3.ggpht.com/ytc/AOPolaRMF6G3pOebQal_cmd0HyX2gPGWG3i3l2h4lTjvaw=s88-c-k-c0x00ffffff-no-rj")</f>
        <v>https://yt3.ggpht.com/ytc/AOPolaRMF6G3pOebQal_cmd0HyX2gPGWG3i3l2h4lTjvaw=s88-c-k-c0x00ffffff-no-rj</v>
      </c>
      <c r="G504" s="67"/>
      <c r="H504" s="71" t="s">
        <v>1787</v>
      </c>
      <c r="I504" s="72"/>
      <c r="J504" s="72" t="s">
        <v>159</v>
      </c>
      <c r="K504" s="71" t="s">
        <v>1787</v>
      </c>
      <c r="L504" s="75">
        <v>1</v>
      </c>
      <c r="M504" s="76">
        <v>2380.69677734375</v>
      </c>
      <c r="N504" s="76">
        <v>844.9884643554688</v>
      </c>
      <c r="O504" s="77"/>
      <c r="P504" s="78"/>
      <c r="Q504" s="78"/>
      <c r="R504" s="88"/>
      <c r="S504" s="49">
        <v>0</v>
      </c>
      <c r="T504" s="49">
        <v>1</v>
      </c>
      <c r="U504" s="50">
        <v>0</v>
      </c>
      <c r="V504" s="50">
        <v>0.135911</v>
      </c>
      <c r="W504" s="50">
        <v>0</v>
      </c>
      <c r="X504" s="50">
        <v>0.00158</v>
      </c>
      <c r="Y504" s="50">
        <v>0</v>
      </c>
      <c r="Z504" s="50">
        <v>0</v>
      </c>
      <c r="AA504" s="73">
        <v>504</v>
      </c>
      <c r="AB504" s="73"/>
      <c r="AC504" s="74"/>
      <c r="AD504" s="81" t="s">
        <v>1787</v>
      </c>
      <c r="AE504" s="81"/>
      <c r="AF504" s="81"/>
      <c r="AG504" s="81"/>
      <c r="AH504" s="81"/>
      <c r="AI504" s="81" t="s">
        <v>2520</v>
      </c>
      <c r="AJ504" s="85">
        <v>43090.205879629626</v>
      </c>
      <c r="AK504" s="83" t="str">
        <f>HYPERLINK("https://yt3.ggpht.com/ytc/AOPolaRMF6G3pOebQal_cmd0HyX2gPGWG3i3l2h4lTjvaw=s88-c-k-c0x00ffffff-no-rj")</f>
        <v>https://yt3.ggpht.com/ytc/AOPolaRMF6G3pOebQal_cmd0HyX2gPGWG3i3l2h4lTjvaw=s88-c-k-c0x00ffffff-no-rj</v>
      </c>
      <c r="AL504" s="81">
        <v>0</v>
      </c>
      <c r="AM504" s="81">
        <v>0</v>
      </c>
      <c r="AN504" s="81">
        <v>0</v>
      </c>
      <c r="AO504" s="81" t="b">
        <v>0</v>
      </c>
      <c r="AP504" s="81">
        <v>0</v>
      </c>
      <c r="AQ504" s="81"/>
      <c r="AR504" s="81"/>
      <c r="AS504" s="81" t="s">
        <v>2571</v>
      </c>
      <c r="AT504" s="83" t="str">
        <f>HYPERLINK("https://www.youtube.com/channel/UCB796-WE4aiExY6p0EF3NFw")</f>
        <v>https://www.youtube.com/channel/UCB796-WE4aiExY6p0EF3NFw</v>
      </c>
      <c r="AU504" s="81">
        <v>2</v>
      </c>
      <c r="AV504" s="49">
        <v>0</v>
      </c>
      <c r="AW504" s="50">
        <v>0</v>
      </c>
      <c r="AX504" s="49">
        <v>1</v>
      </c>
      <c r="AY504" s="50">
        <v>14.285714285714286</v>
      </c>
      <c r="AZ504" s="49">
        <v>0</v>
      </c>
      <c r="BA504" s="50">
        <v>0</v>
      </c>
      <c r="BB504" s="49">
        <v>2</v>
      </c>
      <c r="BC504" s="50">
        <v>28.571428571428573</v>
      </c>
      <c r="BD504" s="49">
        <v>7</v>
      </c>
      <c r="BE504" s="49"/>
      <c r="BF504" s="49"/>
      <c r="BG504" s="49"/>
      <c r="BH504" s="49"/>
      <c r="BI504" s="49"/>
      <c r="BJ504" s="49"/>
      <c r="BK504" s="115" t="s">
        <v>3020</v>
      </c>
      <c r="BL504" s="115" t="s">
        <v>3020</v>
      </c>
      <c r="BM504" s="115" t="s">
        <v>3464</v>
      </c>
      <c r="BN504" s="115" t="s">
        <v>3464</v>
      </c>
      <c r="BO504" s="2"/>
      <c r="BP504" s="3"/>
      <c r="BQ504" s="3"/>
      <c r="BR504" s="3"/>
      <c r="BS504" s="3"/>
    </row>
    <row r="505" spans="1:71" ht="15">
      <c r="A505" s="66" t="s">
        <v>723</v>
      </c>
      <c r="B505" s="67"/>
      <c r="C505" s="67"/>
      <c r="D505" s="68">
        <v>150</v>
      </c>
      <c r="E505" s="70"/>
      <c r="F505" s="102" t="str">
        <f>HYPERLINK("https://yt3.ggpht.com/ytc/AOPolaT4SRzmMTseg4M_aV6ZWNlyY8LQBmI86TqUvg=s88-c-k-c0x00ffffff-no-rj")</f>
        <v>https://yt3.ggpht.com/ytc/AOPolaT4SRzmMTseg4M_aV6ZWNlyY8LQBmI86TqUvg=s88-c-k-c0x00ffffff-no-rj</v>
      </c>
      <c r="G505" s="67"/>
      <c r="H505" s="71" t="s">
        <v>1788</v>
      </c>
      <c r="I505" s="72"/>
      <c r="J505" s="72" t="s">
        <v>159</v>
      </c>
      <c r="K505" s="71" t="s">
        <v>1788</v>
      </c>
      <c r="L505" s="75">
        <v>1</v>
      </c>
      <c r="M505" s="76">
        <v>2741.851806640625</v>
      </c>
      <c r="N505" s="76">
        <v>3767.0107421875</v>
      </c>
      <c r="O505" s="77"/>
      <c r="P505" s="78"/>
      <c r="Q505" s="78"/>
      <c r="R505" s="88"/>
      <c r="S505" s="49">
        <v>0</v>
      </c>
      <c r="T505" s="49">
        <v>1</v>
      </c>
      <c r="U505" s="50">
        <v>0</v>
      </c>
      <c r="V505" s="50">
        <v>0.135911</v>
      </c>
      <c r="W505" s="50">
        <v>0</v>
      </c>
      <c r="X505" s="50">
        <v>0.00158</v>
      </c>
      <c r="Y505" s="50">
        <v>0</v>
      </c>
      <c r="Z505" s="50">
        <v>0</v>
      </c>
      <c r="AA505" s="73">
        <v>505</v>
      </c>
      <c r="AB505" s="73"/>
      <c r="AC505" s="74"/>
      <c r="AD505" s="81" t="s">
        <v>1788</v>
      </c>
      <c r="AE505" s="81"/>
      <c r="AF505" s="81"/>
      <c r="AG505" s="81"/>
      <c r="AH505" s="81"/>
      <c r="AI505" s="81" t="s">
        <v>2521</v>
      </c>
      <c r="AJ505" s="85">
        <v>39215.351793981485</v>
      </c>
      <c r="AK505" s="83" t="str">
        <f>HYPERLINK("https://yt3.ggpht.com/ytc/AOPolaT4SRzmMTseg4M_aV6ZWNlyY8LQBmI86TqUvg=s88-c-k-c0x00ffffff-no-rj")</f>
        <v>https://yt3.ggpht.com/ytc/AOPolaT4SRzmMTseg4M_aV6ZWNlyY8LQBmI86TqUvg=s88-c-k-c0x00ffffff-no-rj</v>
      </c>
      <c r="AL505" s="81">
        <v>11258</v>
      </c>
      <c r="AM505" s="81">
        <v>0</v>
      </c>
      <c r="AN505" s="81">
        <v>13</v>
      </c>
      <c r="AO505" s="81" t="b">
        <v>0</v>
      </c>
      <c r="AP505" s="81">
        <v>8</v>
      </c>
      <c r="AQ505" s="81"/>
      <c r="AR505" s="81"/>
      <c r="AS505" s="81" t="s">
        <v>2571</v>
      </c>
      <c r="AT505" s="83" t="str">
        <f>HYPERLINK("https://www.youtube.com/channel/UCY0T82sEeQozvvRBtRkD6fg")</f>
        <v>https://www.youtube.com/channel/UCY0T82sEeQozvvRBtRkD6fg</v>
      </c>
      <c r="AU505" s="81">
        <v>2</v>
      </c>
      <c r="AV505" s="49">
        <v>3</v>
      </c>
      <c r="AW505" s="50">
        <v>2.6548672566371683</v>
      </c>
      <c r="AX505" s="49">
        <v>2</v>
      </c>
      <c r="AY505" s="50">
        <v>1.7699115044247788</v>
      </c>
      <c r="AZ505" s="49">
        <v>0</v>
      </c>
      <c r="BA505" s="50">
        <v>0</v>
      </c>
      <c r="BB505" s="49">
        <v>39</v>
      </c>
      <c r="BC505" s="50">
        <v>34.51327433628319</v>
      </c>
      <c r="BD505" s="49">
        <v>113</v>
      </c>
      <c r="BE505" s="49"/>
      <c r="BF505" s="49"/>
      <c r="BG505" s="49"/>
      <c r="BH505" s="49"/>
      <c r="BI505" s="49"/>
      <c r="BJ505" s="49"/>
      <c r="BK505" s="115" t="s">
        <v>3021</v>
      </c>
      <c r="BL505" s="115" t="s">
        <v>3021</v>
      </c>
      <c r="BM505" s="115" t="s">
        <v>3465</v>
      </c>
      <c r="BN505" s="115" t="s">
        <v>3465</v>
      </c>
      <c r="BO505" s="2"/>
      <c r="BP505" s="3"/>
      <c r="BQ505" s="3"/>
      <c r="BR505" s="3"/>
      <c r="BS505" s="3"/>
    </row>
    <row r="506" spans="1:71" ht="15">
      <c r="A506" s="66" t="s">
        <v>724</v>
      </c>
      <c r="B506" s="67"/>
      <c r="C506" s="67"/>
      <c r="D506" s="68">
        <v>150</v>
      </c>
      <c r="E506" s="70"/>
      <c r="F506" s="102" t="str">
        <f>HYPERLINK("https://yt3.ggpht.com/ytc/AOPolaS6MLunL7gxFW5zXhDv4ceQHpDABm7xkVoKJzT7wg=s88-c-k-c0x00ffffff-no-rj")</f>
        <v>https://yt3.ggpht.com/ytc/AOPolaS6MLunL7gxFW5zXhDv4ceQHpDABm7xkVoKJzT7wg=s88-c-k-c0x00ffffff-no-rj</v>
      </c>
      <c r="G506" s="67"/>
      <c r="H506" s="71" t="s">
        <v>1789</v>
      </c>
      <c r="I506" s="72"/>
      <c r="J506" s="72" t="s">
        <v>159</v>
      </c>
      <c r="K506" s="71" t="s">
        <v>1789</v>
      </c>
      <c r="L506" s="75">
        <v>1</v>
      </c>
      <c r="M506" s="76">
        <v>4249.4443359375</v>
      </c>
      <c r="N506" s="76">
        <v>1479.38720703125</v>
      </c>
      <c r="O506" s="77"/>
      <c r="P506" s="78"/>
      <c r="Q506" s="78"/>
      <c r="R506" s="88"/>
      <c r="S506" s="49">
        <v>0</v>
      </c>
      <c r="T506" s="49">
        <v>1</v>
      </c>
      <c r="U506" s="50">
        <v>0</v>
      </c>
      <c r="V506" s="50">
        <v>0.135911</v>
      </c>
      <c r="W506" s="50">
        <v>0</v>
      </c>
      <c r="X506" s="50">
        <v>0.00158</v>
      </c>
      <c r="Y506" s="50">
        <v>0</v>
      </c>
      <c r="Z506" s="50">
        <v>0</v>
      </c>
      <c r="AA506" s="73">
        <v>506</v>
      </c>
      <c r="AB506" s="73"/>
      <c r="AC506" s="74"/>
      <c r="AD506" s="81" t="s">
        <v>1789</v>
      </c>
      <c r="AE506" s="81"/>
      <c r="AF506" s="81"/>
      <c r="AG506" s="81"/>
      <c r="AH506" s="81"/>
      <c r="AI506" s="81" t="s">
        <v>2522</v>
      </c>
      <c r="AJ506" s="85">
        <v>42658.749560185184</v>
      </c>
      <c r="AK506" s="83" t="str">
        <f>HYPERLINK("https://yt3.ggpht.com/ytc/AOPolaS6MLunL7gxFW5zXhDv4ceQHpDABm7xkVoKJzT7wg=s88-c-k-c0x00ffffff-no-rj")</f>
        <v>https://yt3.ggpht.com/ytc/AOPolaS6MLunL7gxFW5zXhDv4ceQHpDABm7xkVoKJzT7wg=s88-c-k-c0x00ffffff-no-rj</v>
      </c>
      <c r="AL506" s="81">
        <v>0</v>
      </c>
      <c r="AM506" s="81">
        <v>0</v>
      </c>
      <c r="AN506" s="81">
        <v>0</v>
      </c>
      <c r="AO506" s="81" t="b">
        <v>0</v>
      </c>
      <c r="AP506" s="81">
        <v>0</v>
      </c>
      <c r="AQ506" s="81"/>
      <c r="AR506" s="81"/>
      <c r="AS506" s="81" t="s">
        <v>2571</v>
      </c>
      <c r="AT506" s="83" t="str">
        <f>HYPERLINK("https://www.youtube.com/channel/UCQmyB1SAI2rFv-i7kdaijMg")</f>
        <v>https://www.youtube.com/channel/UCQmyB1SAI2rFv-i7kdaijMg</v>
      </c>
      <c r="AU506" s="81">
        <v>2</v>
      </c>
      <c r="AV506" s="49">
        <v>1</v>
      </c>
      <c r="AW506" s="50">
        <v>100</v>
      </c>
      <c r="AX506" s="49">
        <v>0</v>
      </c>
      <c r="AY506" s="50">
        <v>0</v>
      </c>
      <c r="AZ506" s="49">
        <v>0</v>
      </c>
      <c r="BA506" s="50">
        <v>0</v>
      </c>
      <c r="BB506" s="49">
        <v>0</v>
      </c>
      <c r="BC506" s="50">
        <v>0</v>
      </c>
      <c r="BD506" s="49">
        <v>1</v>
      </c>
      <c r="BE506" s="49"/>
      <c r="BF506" s="49"/>
      <c r="BG506" s="49"/>
      <c r="BH506" s="49"/>
      <c r="BI506" s="49"/>
      <c r="BJ506" s="49"/>
      <c r="BK506" s="115" t="s">
        <v>3022</v>
      </c>
      <c r="BL506" s="115" t="s">
        <v>3022</v>
      </c>
      <c r="BM506" s="115" t="s">
        <v>4477</v>
      </c>
      <c r="BN506" s="115" t="s">
        <v>4477</v>
      </c>
      <c r="BO506" s="2"/>
      <c r="BP506" s="3"/>
      <c r="BQ506" s="3"/>
      <c r="BR506" s="3"/>
      <c r="BS506" s="3"/>
    </row>
    <row r="507" spans="1:71" ht="15">
      <c r="A507" s="66" t="s">
        <v>725</v>
      </c>
      <c r="B507" s="67"/>
      <c r="C507" s="67"/>
      <c r="D507" s="68">
        <v>150</v>
      </c>
      <c r="E507" s="70"/>
      <c r="F507" s="102" t="str">
        <f>HYPERLINK("https://yt3.ggpht.com/ytc/AOPolaRv1cYiPRI1F_ncCf9q3m1LLWnbLQtlGpCMCrT8=s88-c-k-c0x00ffffff-no-rj")</f>
        <v>https://yt3.ggpht.com/ytc/AOPolaRv1cYiPRI1F_ncCf9q3m1LLWnbLQtlGpCMCrT8=s88-c-k-c0x00ffffff-no-rj</v>
      </c>
      <c r="G507" s="67"/>
      <c r="H507" s="71" t="s">
        <v>1790</v>
      </c>
      <c r="I507" s="72"/>
      <c r="J507" s="72" t="s">
        <v>159</v>
      </c>
      <c r="K507" s="71" t="s">
        <v>1790</v>
      </c>
      <c r="L507" s="75">
        <v>1</v>
      </c>
      <c r="M507" s="76">
        <v>3323.9375</v>
      </c>
      <c r="N507" s="76">
        <v>3139.890380859375</v>
      </c>
      <c r="O507" s="77"/>
      <c r="P507" s="78"/>
      <c r="Q507" s="78"/>
      <c r="R507" s="88"/>
      <c r="S507" s="49">
        <v>0</v>
      </c>
      <c r="T507" s="49">
        <v>1</v>
      </c>
      <c r="U507" s="50">
        <v>0</v>
      </c>
      <c r="V507" s="50">
        <v>0.135911</v>
      </c>
      <c r="W507" s="50">
        <v>0</v>
      </c>
      <c r="X507" s="50">
        <v>0.00158</v>
      </c>
      <c r="Y507" s="50">
        <v>0</v>
      </c>
      <c r="Z507" s="50">
        <v>0</v>
      </c>
      <c r="AA507" s="73">
        <v>507</v>
      </c>
      <c r="AB507" s="73"/>
      <c r="AC507" s="74"/>
      <c r="AD507" s="81" t="s">
        <v>1790</v>
      </c>
      <c r="AE507" s="81"/>
      <c r="AF507" s="81"/>
      <c r="AG507" s="81"/>
      <c r="AH507" s="81"/>
      <c r="AI507" s="81" t="s">
        <v>2523</v>
      </c>
      <c r="AJ507" s="85">
        <v>40828.14884259259</v>
      </c>
      <c r="AK507" s="83" t="str">
        <f>HYPERLINK("https://yt3.ggpht.com/ytc/AOPolaRv1cYiPRI1F_ncCf9q3m1LLWnbLQtlGpCMCrT8=s88-c-k-c0x00ffffff-no-rj")</f>
        <v>https://yt3.ggpht.com/ytc/AOPolaRv1cYiPRI1F_ncCf9q3m1LLWnbLQtlGpCMCrT8=s88-c-k-c0x00ffffff-no-rj</v>
      </c>
      <c r="AL507" s="81">
        <v>0</v>
      </c>
      <c r="AM507" s="81">
        <v>0</v>
      </c>
      <c r="AN507" s="81">
        <v>0</v>
      </c>
      <c r="AO507" s="81" t="b">
        <v>0</v>
      </c>
      <c r="AP507" s="81">
        <v>0</v>
      </c>
      <c r="AQ507" s="81"/>
      <c r="AR507" s="81"/>
      <c r="AS507" s="81" t="s">
        <v>2571</v>
      </c>
      <c r="AT507" s="83" t="str">
        <f>HYPERLINK("https://www.youtube.com/channel/UCTfJq_rmj9phsNSTFPL-nkg")</f>
        <v>https://www.youtube.com/channel/UCTfJq_rmj9phsNSTFPL-nkg</v>
      </c>
      <c r="AU507" s="81">
        <v>2</v>
      </c>
      <c r="AV507" s="49">
        <v>0</v>
      </c>
      <c r="AW507" s="50">
        <v>0</v>
      </c>
      <c r="AX507" s="49">
        <v>0</v>
      </c>
      <c r="AY507" s="50">
        <v>0</v>
      </c>
      <c r="AZ507" s="49">
        <v>0</v>
      </c>
      <c r="BA507" s="50">
        <v>0</v>
      </c>
      <c r="BB507" s="49">
        <v>2</v>
      </c>
      <c r="BC507" s="50">
        <v>40</v>
      </c>
      <c r="BD507" s="49">
        <v>5</v>
      </c>
      <c r="BE507" s="49"/>
      <c r="BF507" s="49"/>
      <c r="BG507" s="49"/>
      <c r="BH507" s="49"/>
      <c r="BI507" s="49"/>
      <c r="BJ507" s="49"/>
      <c r="BK507" s="115" t="s">
        <v>3023</v>
      </c>
      <c r="BL507" s="115" t="s">
        <v>3023</v>
      </c>
      <c r="BM507" s="115" t="s">
        <v>3466</v>
      </c>
      <c r="BN507" s="115" t="s">
        <v>3466</v>
      </c>
      <c r="BO507" s="2"/>
      <c r="BP507" s="3"/>
      <c r="BQ507" s="3"/>
      <c r="BR507" s="3"/>
      <c r="BS507" s="3"/>
    </row>
    <row r="508" spans="1:71" ht="15">
      <c r="A508" s="66" t="s">
        <v>726</v>
      </c>
      <c r="B508" s="67"/>
      <c r="C508" s="67"/>
      <c r="D508" s="68">
        <v>150</v>
      </c>
      <c r="E508" s="70"/>
      <c r="F508" s="102" t="str">
        <f>HYPERLINK("https://yt3.ggpht.com/ytc/AOPolaTpNA1mA6Sn_njWNxEDZ9FiFe4N5VKfNEnuCPXoEQ=s88-c-k-c0x00ffffff-no-rj")</f>
        <v>https://yt3.ggpht.com/ytc/AOPolaTpNA1mA6Sn_njWNxEDZ9FiFe4N5VKfNEnuCPXoEQ=s88-c-k-c0x00ffffff-no-rj</v>
      </c>
      <c r="G508" s="67"/>
      <c r="H508" s="71" t="s">
        <v>1791</v>
      </c>
      <c r="I508" s="72"/>
      <c r="J508" s="72" t="s">
        <v>159</v>
      </c>
      <c r="K508" s="71" t="s">
        <v>1791</v>
      </c>
      <c r="L508" s="75">
        <v>1</v>
      </c>
      <c r="M508" s="76">
        <v>857.7249755859375</v>
      </c>
      <c r="N508" s="76">
        <v>860.9323120117188</v>
      </c>
      <c r="O508" s="77"/>
      <c r="P508" s="78"/>
      <c r="Q508" s="78"/>
      <c r="R508" s="88"/>
      <c r="S508" s="49">
        <v>0</v>
      </c>
      <c r="T508" s="49">
        <v>1</v>
      </c>
      <c r="U508" s="50">
        <v>0</v>
      </c>
      <c r="V508" s="50">
        <v>0.135911</v>
      </c>
      <c r="W508" s="50">
        <v>0</v>
      </c>
      <c r="X508" s="50">
        <v>0.00158</v>
      </c>
      <c r="Y508" s="50">
        <v>0</v>
      </c>
      <c r="Z508" s="50">
        <v>0</v>
      </c>
      <c r="AA508" s="73">
        <v>508</v>
      </c>
      <c r="AB508" s="73"/>
      <c r="AC508" s="74"/>
      <c r="AD508" s="81" t="s">
        <v>1791</v>
      </c>
      <c r="AE508" s="81"/>
      <c r="AF508" s="81"/>
      <c r="AG508" s="81"/>
      <c r="AH508" s="81"/>
      <c r="AI508" s="81" t="s">
        <v>2524</v>
      </c>
      <c r="AJ508" s="85">
        <v>41655.50662037037</v>
      </c>
      <c r="AK508" s="83" t="str">
        <f>HYPERLINK("https://yt3.ggpht.com/ytc/AOPolaTpNA1mA6Sn_njWNxEDZ9FiFe4N5VKfNEnuCPXoEQ=s88-c-k-c0x00ffffff-no-rj")</f>
        <v>https://yt3.ggpht.com/ytc/AOPolaTpNA1mA6Sn_njWNxEDZ9FiFe4N5VKfNEnuCPXoEQ=s88-c-k-c0x00ffffff-no-rj</v>
      </c>
      <c r="AL508" s="81">
        <v>0</v>
      </c>
      <c r="AM508" s="81">
        <v>0</v>
      </c>
      <c r="AN508" s="81">
        <v>0</v>
      </c>
      <c r="AO508" s="81" t="b">
        <v>0</v>
      </c>
      <c r="AP508" s="81">
        <v>0</v>
      </c>
      <c r="AQ508" s="81"/>
      <c r="AR508" s="81"/>
      <c r="AS508" s="81" t="s">
        <v>2571</v>
      </c>
      <c r="AT508" s="83" t="str">
        <f>HYPERLINK("https://www.youtube.com/channel/UC2gNisJ2w254FHuhu4lsotw")</f>
        <v>https://www.youtube.com/channel/UC2gNisJ2w254FHuhu4lsotw</v>
      </c>
      <c r="AU508" s="81">
        <v>2</v>
      </c>
      <c r="AV508" s="49">
        <v>4</v>
      </c>
      <c r="AW508" s="50">
        <v>8.88888888888889</v>
      </c>
      <c r="AX508" s="49">
        <v>1</v>
      </c>
      <c r="AY508" s="50">
        <v>2.2222222222222223</v>
      </c>
      <c r="AZ508" s="49">
        <v>0</v>
      </c>
      <c r="BA508" s="50">
        <v>0</v>
      </c>
      <c r="BB508" s="49">
        <v>10</v>
      </c>
      <c r="BC508" s="50">
        <v>22.22222222222222</v>
      </c>
      <c r="BD508" s="49">
        <v>45</v>
      </c>
      <c r="BE508" s="49"/>
      <c r="BF508" s="49"/>
      <c r="BG508" s="49"/>
      <c r="BH508" s="49"/>
      <c r="BI508" s="49"/>
      <c r="BJ508" s="49"/>
      <c r="BK508" s="115" t="s">
        <v>3024</v>
      </c>
      <c r="BL508" s="115" t="s">
        <v>3024</v>
      </c>
      <c r="BM508" s="115" t="s">
        <v>3467</v>
      </c>
      <c r="BN508" s="115" t="s">
        <v>3467</v>
      </c>
      <c r="BO508" s="2"/>
      <c r="BP508" s="3"/>
      <c r="BQ508" s="3"/>
      <c r="BR508" s="3"/>
      <c r="BS508" s="3"/>
    </row>
    <row r="509" spans="1:71" ht="15">
      <c r="A509" s="66" t="s">
        <v>727</v>
      </c>
      <c r="B509" s="67"/>
      <c r="C509" s="67"/>
      <c r="D509" s="68">
        <v>150</v>
      </c>
      <c r="E509" s="70"/>
      <c r="F509" s="102" t="str">
        <f>HYPERLINK("https://yt3.ggpht.com/ytc/AOPolaT0dn7OfufVMhAiWDbvJLRNs900xvTvpmi0vkHx=s88-c-k-c0x00ffffff-no-rj")</f>
        <v>https://yt3.ggpht.com/ytc/AOPolaT0dn7OfufVMhAiWDbvJLRNs900xvTvpmi0vkHx=s88-c-k-c0x00ffffff-no-rj</v>
      </c>
      <c r="G509" s="67"/>
      <c r="H509" s="71" t="s">
        <v>1792</v>
      </c>
      <c r="I509" s="72"/>
      <c r="J509" s="72" t="s">
        <v>159</v>
      </c>
      <c r="K509" s="71" t="s">
        <v>1792</v>
      </c>
      <c r="L509" s="75">
        <v>1</v>
      </c>
      <c r="M509" s="76">
        <v>629.5587768554688</v>
      </c>
      <c r="N509" s="76">
        <v>2382.821533203125</v>
      </c>
      <c r="O509" s="77"/>
      <c r="P509" s="78"/>
      <c r="Q509" s="78"/>
      <c r="R509" s="88"/>
      <c r="S509" s="49">
        <v>0</v>
      </c>
      <c r="T509" s="49">
        <v>1</v>
      </c>
      <c r="U509" s="50">
        <v>0</v>
      </c>
      <c r="V509" s="50">
        <v>0.135911</v>
      </c>
      <c r="W509" s="50">
        <v>0</v>
      </c>
      <c r="X509" s="50">
        <v>0.00158</v>
      </c>
      <c r="Y509" s="50">
        <v>0</v>
      </c>
      <c r="Z509" s="50">
        <v>0</v>
      </c>
      <c r="AA509" s="73">
        <v>509</v>
      </c>
      <c r="AB509" s="73"/>
      <c r="AC509" s="74"/>
      <c r="AD509" s="81" t="s">
        <v>1792</v>
      </c>
      <c r="AE509" s="81" t="s">
        <v>2005</v>
      </c>
      <c r="AF509" s="81"/>
      <c r="AG509" s="81"/>
      <c r="AH509" s="81"/>
      <c r="AI509" s="81" t="s">
        <v>2525</v>
      </c>
      <c r="AJ509" s="85">
        <v>41282.003541666665</v>
      </c>
      <c r="AK509" s="83" t="str">
        <f>HYPERLINK("https://yt3.ggpht.com/ytc/AOPolaT0dn7OfufVMhAiWDbvJLRNs900xvTvpmi0vkHx=s88-c-k-c0x00ffffff-no-rj")</f>
        <v>https://yt3.ggpht.com/ytc/AOPolaT0dn7OfufVMhAiWDbvJLRNs900xvTvpmi0vkHx=s88-c-k-c0x00ffffff-no-rj</v>
      </c>
      <c r="AL509" s="81">
        <v>0</v>
      </c>
      <c r="AM509" s="81">
        <v>0</v>
      </c>
      <c r="AN509" s="81">
        <v>3</v>
      </c>
      <c r="AO509" s="81" t="b">
        <v>0</v>
      </c>
      <c r="AP509" s="81">
        <v>0</v>
      </c>
      <c r="AQ509" s="81"/>
      <c r="AR509" s="81"/>
      <c r="AS509" s="81" t="s">
        <v>2571</v>
      </c>
      <c r="AT509" s="83" t="str">
        <f>HYPERLINK("https://www.youtube.com/channel/UCjyHcHHhrXRrmB6ptm6SnQQ")</f>
        <v>https://www.youtube.com/channel/UCjyHcHHhrXRrmB6ptm6SnQQ</v>
      </c>
      <c r="AU509" s="81">
        <v>2</v>
      </c>
      <c r="AV509" s="49">
        <v>0</v>
      </c>
      <c r="AW509" s="50">
        <v>0</v>
      </c>
      <c r="AX509" s="49">
        <v>1</v>
      </c>
      <c r="AY509" s="50">
        <v>2.7027027027027026</v>
      </c>
      <c r="AZ509" s="49">
        <v>0</v>
      </c>
      <c r="BA509" s="50">
        <v>0</v>
      </c>
      <c r="BB509" s="49">
        <v>15</v>
      </c>
      <c r="BC509" s="50">
        <v>40.54054054054054</v>
      </c>
      <c r="BD509" s="49">
        <v>37</v>
      </c>
      <c r="BE509" s="49"/>
      <c r="BF509" s="49"/>
      <c r="BG509" s="49"/>
      <c r="BH509" s="49"/>
      <c r="BI509" s="49"/>
      <c r="BJ509" s="49"/>
      <c r="BK509" s="115" t="s">
        <v>3025</v>
      </c>
      <c r="BL509" s="115" t="s">
        <v>3025</v>
      </c>
      <c r="BM509" s="115" t="s">
        <v>3468</v>
      </c>
      <c r="BN509" s="115" t="s">
        <v>3468</v>
      </c>
      <c r="BO509" s="2"/>
      <c r="BP509" s="3"/>
      <c r="BQ509" s="3"/>
      <c r="BR509" s="3"/>
      <c r="BS509" s="3"/>
    </row>
    <row r="510" spans="1:71" ht="15">
      <c r="A510" s="66" t="s">
        <v>728</v>
      </c>
      <c r="B510" s="67"/>
      <c r="C510" s="67"/>
      <c r="D510" s="68">
        <v>150</v>
      </c>
      <c r="E510" s="70"/>
      <c r="F510" s="102" t="str">
        <f>HYPERLINK("https://yt3.ggpht.com/ytc/AOPolaR_ShGAO0aij4VETZ2xFLct13a-CAkgrB9ATw=s88-c-k-c0x00ffffff-no-rj")</f>
        <v>https://yt3.ggpht.com/ytc/AOPolaR_ShGAO0aij4VETZ2xFLct13a-CAkgrB9ATw=s88-c-k-c0x00ffffff-no-rj</v>
      </c>
      <c r="G510" s="67"/>
      <c r="H510" s="71" t="s">
        <v>1793</v>
      </c>
      <c r="I510" s="72"/>
      <c r="J510" s="72" t="s">
        <v>159</v>
      </c>
      <c r="K510" s="71" t="s">
        <v>1793</v>
      </c>
      <c r="L510" s="75">
        <v>1</v>
      </c>
      <c r="M510" s="76">
        <v>5638.7685546875</v>
      </c>
      <c r="N510" s="76">
        <v>2923.5126953125</v>
      </c>
      <c r="O510" s="77"/>
      <c r="P510" s="78"/>
      <c r="Q510" s="78"/>
      <c r="R510" s="88"/>
      <c r="S510" s="49">
        <v>0</v>
      </c>
      <c r="T510" s="49">
        <v>1</v>
      </c>
      <c r="U510" s="50">
        <v>0</v>
      </c>
      <c r="V510" s="50">
        <v>0.135911</v>
      </c>
      <c r="W510" s="50">
        <v>0</v>
      </c>
      <c r="X510" s="50">
        <v>0.00158</v>
      </c>
      <c r="Y510" s="50">
        <v>0</v>
      </c>
      <c r="Z510" s="50">
        <v>0</v>
      </c>
      <c r="AA510" s="73">
        <v>510</v>
      </c>
      <c r="AB510" s="73"/>
      <c r="AC510" s="74"/>
      <c r="AD510" s="81" t="s">
        <v>1793</v>
      </c>
      <c r="AE510" s="81"/>
      <c r="AF510" s="81"/>
      <c r="AG510" s="81"/>
      <c r="AH510" s="81"/>
      <c r="AI510" s="81" t="s">
        <v>2526</v>
      </c>
      <c r="AJ510" s="85">
        <v>42426.14171296296</v>
      </c>
      <c r="AK510" s="83" t="str">
        <f>HYPERLINK("https://yt3.ggpht.com/ytc/AOPolaR_ShGAO0aij4VETZ2xFLct13a-CAkgrB9ATw=s88-c-k-c0x00ffffff-no-rj")</f>
        <v>https://yt3.ggpht.com/ytc/AOPolaR_ShGAO0aij4VETZ2xFLct13a-CAkgrB9ATw=s88-c-k-c0x00ffffff-no-rj</v>
      </c>
      <c r="AL510" s="81">
        <v>0</v>
      </c>
      <c r="AM510" s="81">
        <v>0</v>
      </c>
      <c r="AN510" s="81">
        <v>0</v>
      </c>
      <c r="AO510" s="81" t="b">
        <v>0</v>
      </c>
      <c r="AP510" s="81">
        <v>0</v>
      </c>
      <c r="AQ510" s="81"/>
      <c r="AR510" s="81"/>
      <c r="AS510" s="81" t="s">
        <v>2571</v>
      </c>
      <c r="AT510" s="83" t="str">
        <f>HYPERLINK("https://www.youtube.com/channel/UC4phk1sxsyJbY9b6r9Iozlw")</f>
        <v>https://www.youtube.com/channel/UC4phk1sxsyJbY9b6r9Iozlw</v>
      </c>
      <c r="AU510" s="81">
        <v>2</v>
      </c>
      <c r="AV510" s="49">
        <v>0</v>
      </c>
      <c r="AW510" s="50">
        <v>0</v>
      </c>
      <c r="AX510" s="49">
        <v>1</v>
      </c>
      <c r="AY510" s="50">
        <v>12.5</v>
      </c>
      <c r="AZ510" s="49">
        <v>0</v>
      </c>
      <c r="BA510" s="50">
        <v>0</v>
      </c>
      <c r="BB510" s="49">
        <v>3</v>
      </c>
      <c r="BC510" s="50">
        <v>37.5</v>
      </c>
      <c r="BD510" s="49">
        <v>8</v>
      </c>
      <c r="BE510" s="49"/>
      <c r="BF510" s="49"/>
      <c r="BG510" s="49"/>
      <c r="BH510" s="49"/>
      <c r="BI510" s="49"/>
      <c r="BJ510" s="49"/>
      <c r="BK510" s="115" t="s">
        <v>3026</v>
      </c>
      <c r="BL510" s="115" t="s">
        <v>3026</v>
      </c>
      <c r="BM510" s="115" t="s">
        <v>3469</v>
      </c>
      <c r="BN510" s="115" t="s">
        <v>3469</v>
      </c>
      <c r="BO510" s="2"/>
      <c r="BP510" s="3"/>
      <c r="BQ510" s="3"/>
      <c r="BR510" s="3"/>
      <c r="BS510" s="3"/>
    </row>
    <row r="511" spans="1:71" ht="15">
      <c r="A511" s="66" t="s">
        <v>729</v>
      </c>
      <c r="B511" s="67"/>
      <c r="C511" s="67"/>
      <c r="D511" s="68">
        <v>150</v>
      </c>
      <c r="E511" s="70"/>
      <c r="F511" s="102" t="str">
        <f>HYPERLINK("https://yt3.ggpht.com/ytc/AOPolaR7nozy0RQGQ54rhJQ8TnuO_D62Md65LEMOEcBk7UxHlC8oVt6oNbq953xRv9Zt=s88-c-k-c0x00ffffff-no-rj")</f>
        <v>https://yt3.ggpht.com/ytc/AOPolaR7nozy0RQGQ54rhJQ8TnuO_D62Md65LEMOEcBk7UxHlC8oVt6oNbq953xRv9Zt=s88-c-k-c0x00ffffff-no-rj</v>
      </c>
      <c r="G511" s="67"/>
      <c r="H511" s="71" t="s">
        <v>1794</v>
      </c>
      <c r="I511" s="72"/>
      <c r="J511" s="72" t="s">
        <v>159</v>
      </c>
      <c r="K511" s="71" t="s">
        <v>1794</v>
      </c>
      <c r="L511" s="75">
        <v>1</v>
      </c>
      <c r="M511" s="76">
        <v>5568.99365234375</v>
      </c>
      <c r="N511" s="76">
        <v>2131.6142578125</v>
      </c>
      <c r="O511" s="77"/>
      <c r="P511" s="78"/>
      <c r="Q511" s="78"/>
      <c r="R511" s="88"/>
      <c r="S511" s="49">
        <v>0</v>
      </c>
      <c r="T511" s="49">
        <v>1</v>
      </c>
      <c r="U511" s="50">
        <v>0</v>
      </c>
      <c r="V511" s="50">
        <v>0.135911</v>
      </c>
      <c r="W511" s="50">
        <v>0</v>
      </c>
      <c r="X511" s="50">
        <v>0.00158</v>
      </c>
      <c r="Y511" s="50">
        <v>0</v>
      </c>
      <c r="Z511" s="50">
        <v>0</v>
      </c>
      <c r="AA511" s="73">
        <v>511</v>
      </c>
      <c r="AB511" s="73"/>
      <c r="AC511" s="74"/>
      <c r="AD511" s="81" t="s">
        <v>1794</v>
      </c>
      <c r="AE511" s="81"/>
      <c r="AF511" s="81"/>
      <c r="AG511" s="81"/>
      <c r="AH511" s="81"/>
      <c r="AI511" s="81" t="s">
        <v>2527</v>
      </c>
      <c r="AJ511" s="85">
        <v>44523.236550925925</v>
      </c>
      <c r="AK511" s="83" t="str">
        <f>HYPERLINK("https://yt3.ggpht.com/ytc/AOPolaR7nozy0RQGQ54rhJQ8TnuO_D62Md65LEMOEcBk7UxHlC8oVt6oNbq953xRv9Zt=s88-c-k-c0x00ffffff-no-rj")</f>
        <v>https://yt3.ggpht.com/ytc/AOPolaR7nozy0RQGQ54rhJQ8TnuO_D62Md65LEMOEcBk7UxHlC8oVt6oNbq953xRv9Zt=s88-c-k-c0x00ffffff-no-rj</v>
      </c>
      <c r="AL511" s="81">
        <v>0</v>
      </c>
      <c r="AM511" s="81">
        <v>0</v>
      </c>
      <c r="AN511" s="81">
        <v>4</v>
      </c>
      <c r="AO511" s="81" t="b">
        <v>0</v>
      </c>
      <c r="AP511" s="81">
        <v>0</v>
      </c>
      <c r="AQ511" s="81"/>
      <c r="AR511" s="81"/>
      <c r="AS511" s="81" t="s">
        <v>2571</v>
      </c>
      <c r="AT511" s="83" t="str">
        <f>HYPERLINK("https://www.youtube.com/channel/UC9KQXBknPBNA0G2dBq9cifQ")</f>
        <v>https://www.youtube.com/channel/UC9KQXBknPBNA0G2dBq9cifQ</v>
      </c>
      <c r="AU511" s="81">
        <v>2</v>
      </c>
      <c r="AV511" s="49">
        <v>0</v>
      </c>
      <c r="AW511" s="50">
        <v>0</v>
      </c>
      <c r="AX511" s="49">
        <v>2</v>
      </c>
      <c r="AY511" s="50">
        <v>5.2631578947368425</v>
      </c>
      <c r="AZ511" s="49">
        <v>0</v>
      </c>
      <c r="BA511" s="50">
        <v>0</v>
      </c>
      <c r="BB511" s="49">
        <v>13</v>
      </c>
      <c r="BC511" s="50">
        <v>34.21052631578947</v>
      </c>
      <c r="BD511" s="49">
        <v>38</v>
      </c>
      <c r="BE511" s="49"/>
      <c r="BF511" s="49"/>
      <c r="BG511" s="49"/>
      <c r="BH511" s="49"/>
      <c r="BI511" s="49"/>
      <c r="BJ511" s="49"/>
      <c r="BK511" s="115" t="s">
        <v>3027</v>
      </c>
      <c r="BL511" s="115" t="s">
        <v>3027</v>
      </c>
      <c r="BM511" s="115" t="s">
        <v>3470</v>
      </c>
      <c r="BN511" s="115" t="s">
        <v>3470</v>
      </c>
      <c r="BO511" s="2"/>
      <c r="BP511" s="3"/>
      <c r="BQ511" s="3"/>
      <c r="BR511" s="3"/>
      <c r="BS511" s="3"/>
    </row>
    <row r="512" spans="1:71" ht="15">
      <c r="A512" s="66" t="s">
        <v>730</v>
      </c>
      <c r="B512" s="67"/>
      <c r="C512" s="67"/>
      <c r="D512" s="68">
        <v>150</v>
      </c>
      <c r="E512" s="70"/>
      <c r="F512" s="102" t="str">
        <f>HYPERLINK("https://yt3.ggpht.com/ytc/AOPolaQjjKk8zyJZSNrfXgZr6aKFVK7R5J_1SDaiaU2nyg=s88-c-k-c0x00ffffff-no-rj")</f>
        <v>https://yt3.ggpht.com/ytc/AOPolaQjjKk8zyJZSNrfXgZr6aKFVK7R5J_1SDaiaU2nyg=s88-c-k-c0x00ffffff-no-rj</v>
      </c>
      <c r="G512" s="67"/>
      <c r="H512" s="71" t="s">
        <v>1795</v>
      </c>
      <c r="I512" s="72"/>
      <c r="J512" s="72" t="s">
        <v>159</v>
      </c>
      <c r="K512" s="71" t="s">
        <v>1795</v>
      </c>
      <c r="L512" s="75">
        <v>1</v>
      </c>
      <c r="M512" s="76">
        <v>3148.707275390625</v>
      </c>
      <c r="N512" s="76">
        <v>4146.3232421875</v>
      </c>
      <c r="O512" s="77"/>
      <c r="P512" s="78"/>
      <c r="Q512" s="78"/>
      <c r="R512" s="88"/>
      <c r="S512" s="49">
        <v>0</v>
      </c>
      <c r="T512" s="49">
        <v>1</v>
      </c>
      <c r="U512" s="50">
        <v>0</v>
      </c>
      <c r="V512" s="50">
        <v>0.135911</v>
      </c>
      <c r="W512" s="50">
        <v>0</v>
      </c>
      <c r="X512" s="50">
        <v>0.00158</v>
      </c>
      <c r="Y512" s="50">
        <v>0</v>
      </c>
      <c r="Z512" s="50">
        <v>0</v>
      </c>
      <c r="AA512" s="73">
        <v>512</v>
      </c>
      <c r="AB512" s="73"/>
      <c r="AC512" s="74"/>
      <c r="AD512" s="81" t="s">
        <v>1795</v>
      </c>
      <c r="AE512" s="81"/>
      <c r="AF512" s="81"/>
      <c r="AG512" s="81"/>
      <c r="AH512" s="81"/>
      <c r="AI512" s="81" t="s">
        <v>2528</v>
      </c>
      <c r="AJ512" s="85">
        <v>41479.6934375</v>
      </c>
      <c r="AK512" s="83" t="str">
        <f>HYPERLINK("https://yt3.ggpht.com/ytc/AOPolaQjjKk8zyJZSNrfXgZr6aKFVK7R5J_1SDaiaU2nyg=s88-c-k-c0x00ffffff-no-rj")</f>
        <v>https://yt3.ggpht.com/ytc/AOPolaQjjKk8zyJZSNrfXgZr6aKFVK7R5J_1SDaiaU2nyg=s88-c-k-c0x00ffffff-no-rj</v>
      </c>
      <c r="AL512" s="81">
        <v>0</v>
      </c>
      <c r="AM512" s="81">
        <v>0</v>
      </c>
      <c r="AN512" s="81">
        <v>1</v>
      </c>
      <c r="AO512" s="81" t="b">
        <v>0</v>
      </c>
      <c r="AP512" s="81">
        <v>0</v>
      </c>
      <c r="AQ512" s="81"/>
      <c r="AR512" s="81"/>
      <c r="AS512" s="81" t="s">
        <v>2571</v>
      </c>
      <c r="AT512" s="83" t="str">
        <f>HYPERLINK("https://www.youtube.com/channel/UCTazwZmE-00MCGpQTM9MArQ")</f>
        <v>https://www.youtube.com/channel/UCTazwZmE-00MCGpQTM9MArQ</v>
      </c>
      <c r="AU512" s="81">
        <v>2</v>
      </c>
      <c r="AV512" s="49">
        <v>1</v>
      </c>
      <c r="AW512" s="50">
        <v>7.6923076923076925</v>
      </c>
      <c r="AX512" s="49">
        <v>0</v>
      </c>
      <c r="AY512" s="50">
        <v>0</v>
      </c>
      <c r="AZ512" s="49">
        <v>0</v>
      </c>
      <c r="BA512" s="50">
        <v>0</v>
      </c>
      <c r="BB512" s="49">
        <v>5</v>
      </c>
      <c r="BC512" s="50">
        <v>38.46153846153846</v>
      </c>
      <c r="BD512" s="49">
        <v>13</v>
      </c>
      <c r="BE512" s="49"/>
      <c r="BF512" s="49"/>
      <c r="BG512" s="49"/>
      <c r="BH512" s="49"/>
      <c r="BI512" s="49"/>
      <c r="BJ512" s="49"/>
      <c r="BK512" s="115" t="s">
        <v>3028</v>
      </c>
      <c r="BL512" s="115" t="s">
        <v>3028</v>
      </c>
      <c r="BM512" s="115" t="s">
        <v>3471</v>
      </c>
      <c r="BN512" s="115" t="s">
        <v>3471</v>
      </c>
      <c r="BO512" s="2"/>
      <c r="BP512" s="3"/>
      <c r="BQ512" s="3"/>
      <c r="BR512" s="3"/>
      <c r="BS512" s="3"/>
    </row>
    <row r="513" spans="1:71" ht="15">
      <c r="A513" s="66" t="s">
        <v>731</v>
      </c>
      <c r="B513" s="67"/>
      <c r="C513" s="67"/>
      <c r="D513" s="68">
        <v>150</v>
      </c>
      <c r="E513" s="70"/>
      <c r="F513" s="102" t="str">
        <f>HYPERLINK("https://yt3.ggpht.com/ytc/AOPolaQ1195n0WT37LhC8wpJk0CSRYqCJTaB1W6Vxl_MFA=s88-c-k-c0x00ffffff-no-rj")</f>
        <v>https://yt3.ggpht.com/ytc/AOPolaQ1195n0WT37LhC8wpJk0CSRYqCJTaB1W6Vxl_MFA=s88-c-k-c0x00ffffff-no-rj</v>
      </c>
      <c r="G513" s="67"/>
      <c r="H513" s="71" t="s">
        <v>1796</v>
      </c>
      <c r="I513" s="72"/>
      <c r="J513" s="72" t="s">
        <v>159</v>
      </c>
      <c r="K513" s="71" t="s">
        <v>1796</v>
      </c>
      <c r="L513" s="75">
        <v>1</v>
      </c>
      <c r="M513" s="76">
        <v>5231.30078125</v>
      </c>
      <c r="N513" s="76">
        <v>1371.7945556640625</v>
      </c>
      <c r="O513" s="77"/>
      <c r="P513" s="78"/>
      <c r="Q513" s="78"/>
      <c r="R513" s="88"/>
      <c r="S513" s="49">
        <v>0</v>
      </c>
      <c r="T513" s="49">
        <v>1</v>
      </c>
      <c r="U513" s="50">
        <v>0</v>
      </c>
      <c r="V513" s="50">
        <v>0.135911</v>
      </c>
      <c r="W513" s="50">
        <v>0</v>
      </c>
      <c r="X513" s="50">
        <v>0.00158</v>
      </c>
      <c r="Y513" s="50">
        <v>0</v>
      </c>
      <c r="Z513" s="50">
        <v>0</v>
      </c>
      <c r="AA513" s="73">
        <v>513</v>
      </c>
      <c r="AB513" s="73"/>
      <c r="AC513" s="74"/>
      <c r="AD513" s="81" t="s">
        <v>1796</v>
      </c>
      <c r="AE513" s="81"/>
      <c r="AF513" s="81"/>
      <c r="AG513" s="81"/>
      <c r="AH513" s="81"/>
      <c r="AI513" s="81" t="s">
        <v>2529</v>
      </c>
      <c r="AJ513" s="85">
        <v>41273.074375</v>
      </c>
      <c r="AK513" s="83" t="str">
        <f>HYPERLINK("https://yt3.ggpht.com/ytc/AOPolaQ1195n0WT37LhC8wpJk0CSRYqCJTaB1W6Vxl_MFA=s88-c-k-c0x00ffffff-no-rj")</f>
        <v>https://yt3.ggpht.com/ytc/AOPolaQ1195n0WT37LhC8wpJk0CSRYqCJTaB1W6Vxl_MFA=s88-c-k-c0x00ffffff-no-rj</v>
      </c>
      <c r="AL513" s="81">
        <v>735</v>
      </c>
      <c r="AM513" s="81">
        <v>0</v>
      </c>
      <c r="AN513" s="81">
        <v>14</v>
      </c>
      <c r="AO513" s="81" t="b">
        <v>0</v>
      </c>
      <c r="AP513" s="81">
        <v>1</v>
      </c>
      <c r="AQ513" s="81"/>
      <c r="AR513" s="81"/>
      <c r="AS513" s="81" t="s">
        <v>2571</v>
      </c>
      <c r="AT513" s="83" t="str">
        <f>HYPERLINK("https://www.youtube.com/channel/UC01_NCDSP2rlqMkwIlL3bvQ")</f>
        <v>https://www.youtube.com/channel/UC01_NCDSP2rlqMkwIlL3bvQ</v>
      </c>
      <c r="AU513" s="81">
        <v>2</v>
      </c>
      <c r="AV513" s="49">
        <v>1</v>
      </c>
      <c r="AW513" s="50">
        <v>1.8518518518518519</v>
      </c>
      <c r="AX513" s="49">
        <v>0</v>
      </c>
      <c r="AY513" s="50">
        <v>0</v>
      </c>
      <c r="AZ513" s="49">
        <v>0</v>
      </c>
      <c r="BA513" s="50">
        <v>0</v>
      </c>
      <c r="BB513" s="49">
        <v>21</v>
      </c>
      <c r="BC513" s="50">
        <v>38.888888888888886</v>
      </c>
      <c r="BD513" s="49">
        <v>54</v>
      </c>
      <c r="BE513" s="49"/>
      <c r="BF513" s="49"/>
      <c r="BG513" s="49"/>
      <c r="BH513" s="49"/>
      <c r="BI513" s="49"/>
      <c r="BJ513" s="49"/>
      <c r="BK513" s="115" t="s">
        <v>3029</v>
      </c>
      <c r="BL513" s="115" t="s">
        <v>3029</v>
      </c>
      <c r="BM513" s="115" t="s">
        <v>3472</v>
      </c>
      <c r="BN513" s="115" t="s">
        <v>3472</v>
      </c>
      <c r="BO513" s="2"/>
      <c r="BP513" s="3"/>
      <c r="BQ513" s="3"/>
      <c r="BR513" s="3"/>
      <c r="BS513" s="3"/>
    </row>
    <row r="514" spans="1:71" ht="15">
      <c r="A514" s="66" t="s">
        <v>732</v>
      </c>
      <c r="B514" s="67"/>
      <c r="C514" s="67"/>
      <c r="D514" s="68">
        <v>150</v>
      </c>
      <c r="E514" s="70"/>
      <c r="F514" s="102" t="str">
        <f>HYPERLINK("https://yt3.ggpht.com/ytc/AOPolaQq8kv4e5WS7B-S2qBwOADxEk9kF_rI4gT04OQRLQ=s88-c-k-c0x00ffffff-no-rj")</f>
        <v>https://yt3.ggpht.com/ytc/AOPolaQq8kv4e5WS7B-S2qBwOADxEk9kF_rI4gT04OQRLQ=s88-c-k-c0x00ffffff-no-rj</v>
      </c>
      <c r="G514" s="67"/>
      <c r="H514" s="71" t="s">
        <v>1797</v>
      </c>
      <c r="I514" s="72"/>
      <c r="J514" s="72" t="s">
        <v>159</v>
      </c>
      <c r="K514" s="71" t="s">
        <v>1797</v>
      </c>
      <c r="L514" s="75">
        <v>1</v>
      </c>
      <c r="M514" s="76">
        <v>5937.25341796875</v>
      </c>
      <c r="N514" s="76">
        <v>2237.372314453125</v>
      </c>
      <c r="O514" s="77"/>
      <c r="P514" s="78"/>
      <c r="Q514" s="78"/>
      <c r="R514" s="88"/>
      <c r="S514" s="49">
        <v>0</v>
      </c>
      <c r="T514" s="49">
        <v>1</v>
      </c>
      <c r="U514" s="50">
        <v>0</v>
      </c>
      <c r="V514" s="50">
        <v>0.135911</v>
      </c>
      <c r="W514" s="50">
        <v>0</v>
      </c>
      <c r="X514" s="50">
        <v>0.00158</v>
      </c>
      <c r="Y514" s="50">
        <v>0</v>
      </c>
      <c r="Z514" s="50">
        <v>0</v>
      </c>
      <c r="AA514" s="73">
        <v>514</v>
      </c>
      <c r="AB514" s="73"/>
      <c r="AC514" s="74"/>
      <c r="AD514" s="81" t="s">
        <v>1797</v>
      </c>
      <c r="AE514" s="81" t="s">
        <v>2006</v>
      </c>
      <c r="AF514" s="81"/>
      <c r="AG514" s="81"/>
      <c r="AH514" s="81"/>
      <c r="AI514" s="81" t="s">
        <v>2530</v>
      </c>
      <c r="AJ514" s="85">
        <v>43540.75844907408</v>
      </c>
      <c r="AK514" s="83" t="str">
        <f>HYPERLINK("https://yt3.ggpht.com/ytc/AOPolaQq8kv4e5WS7B-S2qBwOADxEk9kF_rI4gT04OQRLQ=s88-c-k-c0x00ffffff-no-rj")</f>
        <v>https://yt3.ggpht.com/ytc/AOPolaQq8kv4e5WS7B-S2qBwOADxEk9kF_rI4gT04OQRLQ=s88-c-k-c0x00ffffff-no-rj</v>
      </c>
      <c r="AL514" s="81">
        <v>573313</v>
      </c>
      <c r="AM514" s="81">
        <v>0</v>
      </c>
      <c r="AN514" s="81">
        <v>25100</v>
      </c>
      <c r="AO514" s="81" t="b">
        <v>0</v>
      </c>
      <c r="AP514" s="81">
        <v>209</v>
      </c>
      <c r="AQ514" s="81"/>
      <c r="AR514" s="81"/>
      <c r="AS514" s="81" t="s">
        <v>2571</v>
      </c>
      <c r="AT514" s="83" t="str">
        <f>HYPERLINK("https://www.youtube.com/channel/UCn94vXUA805IrbJf_SP8wjA")</f>
        <v>https://www.youtube.com/channel/UCn94vXUA805IrbJf_SP8wjA</v>
      </c>
      <c r="AU514" s="81">
        <v>2</v>
      </c>
      <c r="AV514" s="49">
        <v>0</v>
      </c>
      <c r="AW514" s="50">
        <v>0</v>
      </c>
      <c r="AX514" s="49">
        <v>1</v>
      </c>
      <c r="AY514" s="50">
        <v>6.25</v>
      </c>
      <c r="AZ514" s="49">
        <v>0</v>
      </c>
      <c r="BA514" s="50">
        <v>0</v>
      </c>
      <c r="BB514" s="49">
        <v>8</v>
      </c>
      <c r="BC514" s="50">
        <v>50</v>
      </c>
      <c r="BD514" s="49">
        <v>16</v>
      </c>
      <c r="BE514" s="49"/>
      <c r="BF514" s="49"/>
      <c r="BG514" s="49"/>
      <c r="BH514" s="49"/>
      <c r="BI514" s="49"/>
      <c r="BJ514" s="49"/>
      <c r="BK514" s="115" t="s">
        <v>3030</v>
      </c>
      <c r="BL514" s="115" t="s">
        <v>3030</v>
      </c>
      <c r="BM514" s="115" t="s">
        <v>3473</v>
      </c>
      <c r="BN514" s="115" t="s">
        <v>3473</v>
      </c>
      <c r="BO514" s="2"/>
      <c r="BP514" s="3"/>
      <c r="BQ514" s="3"/>
      <c r="BR514" s="3"/>
      <c r="BS514" s="3"/>
    </row>
    <row r="515" spans="1:71" ht="15">
      <c r="A515" s="66" t="s">
        <v>733</v>
      </c>
      <c r="B515" s="67"/>
      <c r="C515" s="67"/>
      <c r="D515" s="68">
        <v>150</v>
      </c>
      <c r="E515" s="70"/>
      <c r="F515" s="102" t="str">
        <f>HYPERLINK("https://yt3.ggpht.com/ytc/AOPolaRc9oJ0pFom9Rr-q2VXi-BGG5l7Hr6mQLcKyOR55Lcxz1Tya7qq2Jc2viiXGmam=s88-c-k-c0x00ffffff-no-rj")</f>
        <v>https://yt3.ggpht.com/ytc/AOPolaRc9oJ0pFom9Rr-q2VXi-BGG5l7Hr6mQLcKyOR55Lcxz1Tya7qq2Jc2viiXGmam=s88-c-k-c0x00ffffff-no-rj</v>
      </c>
      <c r="G515" s="67"/>
      <c r="H515" s="71" t="s">
        <v>1798</v>
      </c>
      <c r="I515" s="72"/>
      <c r="J515" s="72" t="s">
        <v>159</v>
      </c>
      <c r="K515" s="71" t="s">
        <v>1798</v>
      </c>
      <c r="L515" s="75">
        <v>1</v>
      </c>
      <c r="M515" s="76">
        <v>5217.66796875</v>
      </c>
      <c r="N515" s="76">
        <v>2009.662109375</v>
      </c>
      <c r="O515" s="77"/>
      <c r="P515" s="78"/>
      <c r="Q515" s="78"/>
      <c r="R515" s="88"/>
      <c r="S515" s="49">
        <v>0</v>
      </c>
      <c r="T515" s="49">
        <v>1</v>
      </c>
      <c r="U515" s="50">
        <v>0</v>
      </c>
      <c r="V515" s="50">
        <v>0.135911</v>
      </c>
      <c r="W515" s="50">
        <v>0</v>
      </c>
      <c r="X515" s="50">
        <v>0.00158</v>
      </c>
      <c r="Y515" s="50">
        <v>0</v>
      </c>
      <c r="Z515" s="50">
        <v>0</v>
      </c>
      <c r="AA515" s="73">
        <v>515</v>
      </c>
      <c r="AB515" s="73"/>
      <c r="AC515" s="74"/>
      <c r="AD515" s="81" t="s">
        <v>1798</v>
      </c>
      <c r="AE515" s="81"/>
      <c r="AF515" s="81"/>
      <c r="AG515" s="81"/>
      <c r="AH515" s="81"/>
      <c r="AI515" s="81" t="s">
        <v>2531</v>
      </c>
      <c r="AJ515" s="85">
        <v>44083.213912037034</v>
      </c>
      <c r="AK515" s="83" t="str">
        <f>HYPERLINK("https://yt3.ggpht.com/ytc/AOPolaRc9oJ0pFom9Rr-q2VXi-BGG5l7Hr6mQLcKyOR55Lcxz1Tya7qq2Jc2viiXGmam=s88-c-k-c0x00ffffff-no-rj")</f>
        <v>https://yt3.ggpht.com/ytc/AOPolaRc9oJ0pFom9Rr-q2VXi-BGG5l7Hr6mQLcKyOR55Lcxz1Tya7qq2Jc2viiXGmam=s88-c-k-c0x00ffffff-no-rj</v>
      </c>
      <c r="AL515" s="81">
        <v>0</v>
      </c>
      <c r="AM515" s="81">
        <v>0</v>
      </c>
      <c r="AN515" s="81">
        <v>2</v>
      </c>
      <c r="AO515" s="81" t="b">
        <v>0</v>
      </c>
      <c r="AP515" s="81">
        <v>0</v>
      </c>
      <c r="AQ515" s="81"/>
      <c r="AR515" s="81"/>
      <c r="AS515" s="81" t="s">
        <v>2571</v>
      </c>
      <c r="AT515" s="83" t="str">
        <f>HYPERLINK("https://www.youtube.com/channel/UCjsW7CFzRn0rQypCxqYrqww")</f>
        <v>https://www.youtube.com/channel/UCjsW7CFzRn0rQypCxqYrqww</v>
      </c>
      <c r="AU515" s="81">
        <v>2</v>
      </c>
      <c r="AV515" s="49">
        <v>0</v>
      </c>
      <c r="AW515" s="50">
        <v>0</v>
      </c>
      <c r="AX515" s="49">
        <v>1</v>
      </c>
      <c r="AY515" s="50">
        <v>7.6923076923076925</v>
      </c>
      <c r="AZ515" s="49">
        <v>0</v>
      </c>
      <c r="BA515" s="50">
        <v>0</v>
      </c>
      <c r="BB515" s="49">
        <v>3</v>
      </c>
      <c r="BC515" s="50">
        <v>23.076923076923077</v>
      </c>
      <c r="BD515" s="49">
        <v>13</v>
      </c>
      <c r="BE515" s="49"/>
      <c r="BF515" s="49"/>
      <c r="BG515" s="49"/>
      <c r="BH515" s="49"/>
      <c r="BI515" s="49"/>
      <c r="BJ515" s="49"/>
      <c r="BK515" s="115" t="s">
        <v>3031</v>
      </c>
      <c r="BL515" s="115" t="s">
        <v>3031</v>
      </c>
      <c r="BM515" s="115" t="s">
        <v>3474</v>
      </c>
      <c r="BN515" s="115" t="s">
        <v>3474</v>
      </c>
      <c r="BO515" s="2"/>
      <c r="BP515" s="3"/>
      <c r="BQ515" s="3"/>
      <c r="BR515" s="3"/>
      <c r="BS515" s="3"/>
    </row>
    <row r="516" spans="1:71" ht="15">
      <c r="A516" s="66" t="s">
        <v>734</v>
      </c>
      <c r="B516" s="67"/>
      <c r="C516" s="67"/>
      <c r="D516" s="68">
        <v>150</v>
      </c>
      <c r="E516" s="70"/>
      <c r="F516" s="102" t="str">
        <f>HYPERLINK("https://yt3.ggpht.com/ytc/AOPolaSSNoDbpAH_6Vdbj2ujB9dGOVM6ZY_jxaAWhb89=s88-c-k-c0x00ffffff-no-rj")</f>
        <v>https://yt3.ggpht.com/ytc/AOPolaSSNoDbpAH_6Vdbj2ujB9dGOVM6ZY_jxaAWhb89=s88-c-k-c0x00ffffff-no-rj</v>
      </c>
      <c r="G516" s="67"/>
      <c r="H516" s="71" t="s">
        <v>1799</v>
      </c>
      <c r="I516" s="72"/>
      <c r="J516" s="72" t="s">
        <v>159</v>
      </c>
      <c r="K516" s="71" t="s">
        <v>1799</v>
      </c>
      <c r="L516" s="75">
        <v>1</v>
      </c>
      <c r="M516" s="76">
        <v>3871.576171875</v>
      </c>
      <c r="N516" s="76">
        <v>867.909423828125</v>
      </c>
      <c r="O516" s="77"/>
      <c r="P516" s="78"/>
      <c r="Q516" s="78"/>
      <c r="R516" s="88"/>
      <c r="S516" s="49">
        <v>0</v>
      </c>
      <c r="T516" s="49">
        <v>1</v>
      </c>
      <c r="U516" s="50">
        <v>0</v>
      </c>
      <c r="V516" s="50">
        <v>0.135911</v>
      </c>
      <c r="W516" s="50">
        <v>0</v>
      </c>
      <c r="X516" s="50">
        <v>0.00158</v>
      </c>
      <c r="Y516" s="50">
        <v>0</v>
      </c>
      <c r="Z516" s="50">
        <v>0</v>
      </c>
      <c r="AA516" s="73">
        <v>516</v>
      </c>
      <c r="AB516" s="73"/>
      <c r="AC516" s="74"/>
      <c r="AD516" s="81" t="s">
        <v>1799</v>
      </c>
      <c r="AE516" s="81"/>
      <c r="AF516" s="81"/>
      <c r="AG516" s="81"/>
      <c r="AH516" s="81"/>
      <c r="AI516" s="81" t="s">
        <v>2532</v>
      </c>
      <c r="AJ516" s="85">
        <v>40422.53228009259</v>
      </c>
      <c r="AK516" s="83" t="str">
        <f>HYPERLINK("https://yt3.ggpht.com/ytc/AOPolaSSNoDbpAH_6Vdbj2ujB9dGOVM6ZY_jxaAWhb89=s88-c-k-c0x00ffffff-no-rj")</f>
        <v>https://yt3.ggpht.com/ytc/AOPolaSSNoDbpAH_6Vdbj2ujB9dGOVM6ZY_jxaAWhb89=s88-c-k-c0x00ffffff-no-rj</v>
      </c>
      <c r="AL516" s="81">
        <v>0</v>
      </c>
      <c r="AM516" s="81">
        <v>0</v>
      </c>
      <c r="AN516" s="81">
        <v>1</v>
      </c>
      <c r="AO516" s="81" t="b">
        <v>0</v>
      </c>
      <c r="AP516" s="81">
        <v>0</v>
      </c>
      <c r="AQ516" s="81"/>
      <c r="AR516" s="81"/>
      <c r="AS516" s="81" t="s">
        <v>2571</v>
      </c>
      <c r="AT516" s="83" t="str">
        <f>HYPERLINK("https://www.youtube.com/channel/UCs7r9iITqOE-yqbplMDKmDQ")</f>
        <v>https://www.youtube.com/channel/UCs7r9iITqOE-yqbplMDKmDQ</v>
      </c>
      <c r="AU516" s="81">
        <v>2</v>
      </c>
      <c r="AV516" s="49">
        <v>0</v>
      </c>
      <c r="AW516" s="50">
        <v>0</v>
      </c>
      <c r="AX516" s="49">
        <v>0</v>
      </c>
      <c r="AY516" s="50">
        <v>0</v>
      </c>
      <c r="AZ516" s="49">
        <v>0</v>
      </c>
      <c r="BA516" s="50">
        <v>0</v>
      </c>
      <c r="BB516" s="49">
        <v>23</v>
      </c>
      <c r="BC516" s="50">
        <v>52.27272727272727</v>
      </c>
      <c r="BD516" s="49">
        <v>44</v>
      </c>
      <c r="BE516" s="49"/>
      <c r="BF516" s="49"/>
      <c r="BG516" s="49"/>
      <c r="BH516" s="49"/>
      <c r="BI516" s="49"/>
      <c r="BJ516" s="49"/>
      <c r="BK516" s="115" t="s">
        <v>3032</v>
      </c>
      <c r="BL516" s="115" t="s">
        <v>3032</v>
      </c>
      <c r="BM516" s="115" t="s">
        <v>3475</v>
      </c>
      <c r="BN516" s="115" t="s">
        <v>3475</v>
      </c>
      <c r="BO516" s="2"/>
      <c r="BP516" s="3"/>
      <c r="BQ516" s="3"/>
      <c r="BR516" s="3"/>
      <c r="BS516" s="3"/>
    </row>
    <row r="517" spans="1:71" ht="15">
      <c r="A517" s="66" t="s">
        <v>735</v>
      </c>
      <c r="B517" s="67"/>
      <c r="C517" s="67"/>
      <c r="D517" s="68">
        <v>150</v>
      </c>
      <c r="E517" s="70"/>
      <c r="F517" s="102" t="str">
        <f>HYPERLINK("https://yt3.ggpht.com/iaFCXg6e-R4C6nMsCqxXK3TGyBHwN3Ib1oy-64i9H644mQ0g2CUOwT0QbywaLt9AefD8MePkJcE=s88-c-k-c0x00ffffff-no-rj")</f>
        <v>https://yt3.ggpht.com/iaFCXg6e-R4C6nMsCqxXK3TGyBHwN3Ib1oy-64i9H644mQ0g2CUOwT0QbywaLt9AefD8MePkJcE=s88-c-k-c0x00ffffff-no-rj</v>
      </c>
      <c r="G517" s="67"/>
      <c r="H517" s="71" t="s">
        <v>1800</v>
      </c>
      <c r="I517" s="72"/>
      <c r="J517" s="72" t="s">
        <v>159</v>
      </c>
      <c r="K517" s="71" t="s">
        <v>1800</v>
      </c>
      <c r="L517" s="75">
        <v>1</v>
      </c>
      <c r="M517" s="76">
        <v>3866.293701171875</v>
      </c>
      <c r="N517" s="76">
        <v>4079.31396484375</v>
      </c>
      <c r="O517" s="77"/>
      <c r="P517" s="78"/>
      <c r="Q517" s="78"/>
      <c r="R517" s="88"/>
      <c r="S517" s="49">
        <v>0</v>
      </c>
      <c r="T517" s="49">
        <v>1</v>
      </c>
      <c r="U517" s="50">
        <v>0</v>
      </c>
      <c r="V517" s="50">
        <v>0.135911</v>
      </c>
      <c r="W517" s="50">
        <v>0</v>
      </c>
      <c r="X517" s="50">
        <v>0.00158</v>
      </c>
      <c r="Y517" s="50">
        <v>0</v>
      </c>
      <c r="Z517" s="50">
        <v>0</v>
      </c>
      <c r="AA517" s="73">
        <v>517</v>
      </c>
      <c r="AB517" s="73"/>
      <c r="AC517" s="74"/>
      <c r="AD517" s="81" t="s">
        <v>1800</v>
      </c>
      <c r="AE517" s="81" t="s">
        <v>2007</v>
      </c>
      <c r="AF517" s="81"/>
      <c r="AG517" s="81"/>
      <c r="AH517" s="81"/>
      <c r="AI517" s="81" t="s">
        <v>2533</v>
      </c>
      <c r="AJ517" s="85">
        <v>43794.63101851852</v>
      </c>
      <c r="AK517" s="83" t="str">
        <f>HYPERLINK("https://yt3.ggpht.com/iaFCXg6e-R4C6nMsCqxXK3TGyBHwN3Ib1oy-64i9H644mQ0g2CUOwT0QbywaLt9AefD8MePkJcE=s88-c-k-c0x00ffffff-no-rj")</f>
        <v>https://yt3.ggpht.com/iaFCXg6e-R4C6nMsCqxXK3TGyBHwN3Ib1oy-64i9H644mQ0g2CUOwT0QbywaLt9AefD8MePkJcE=s88-c-k-c0x00ffffff-no-rj</v>
      </c>
      <c r="AL517" s="81">
        <v>916</v>
      </c>
      <c r="AM517" s="81">
        <v>0</v>
      </c>
      <c r="AN517" s="81">
        <v>21</v>
      </c>
      <c r="AO517" s="81" t="b">
        <v>0</v>
      </c>
      <c r="AP517" s="81">
        <v>15</v>
      </c>
      <c r="AQ517" s="81"/>
      <c r="AR517" s="81"/>
      <c r="AS517" s="81" t="s">
        <v>2571</v>
      </c>
      <c r="AT517" s="83" t="str">
        <f>HYPERLINK("https://www.youtube.com/channel/UCi8pRq28t2H3voNrKVG5oww")</f>
        <v>https://www.youtube.com/channel/UCi8pRq28t2H3voNrKVG5oww</v>
      </c>
      <c r="AU517" s="81">
        <v>2</v>
      </c>
      <c r="AV517" s="49">
        <v>2</v>
      </c>
      <c r="AW517" s="50">
        <v>13.333333333333334</v>
      </c>
      <c r="AX517" s="49">
        <v>1</v>
      </c>
      <c r="AY517" s="50">
        <v>6.666666666666667</v>
      </c>
      <c r="AZ517" s="49">
        <v>0</v>
      </c>
      <c r="BA517" s="50">
        <v>0</v>
      </c>
      <c r="BB517" s="49">
        <v>4</v>
      </c>
      <c r="BC517" s="50">
        <v>26.666666666666668</v>
      </c>
      <c r="BD517" s="49">
        <v>15</v>
      </c>
      <c r="BE517" s="49"/>
      <c r="BF517" s="49"/>
      <c r="BG517" s="49"/>
      <c r="BH517" s="49"/>
      <c r="BI517" s="49"/>
      <c r="BJ517" s="49"/>
      <c r="BK517" s="115" t="s">
        <v>3033</v>
      </c>
      <c r="BL517" s="115" t="s">
        <v>3033</v>
      </c>
      <c r="BM517" s="115" t="s">
        <v>3476</v>
      </c>
      <c r="BN517" s="115" t="s">
        <v>3476</v>
      </c>
      <c r="BO517" s="2"/>
      <c r="BP517" s="3"/>
      <c r="BQ517" s="3"/>
      <c r="BR517" s="3"/>
      <c r="BS517" s="3"/>
    </row>
    <row r="518" spans="1:71" ht="15">
      <c r="A518" s="66" t="s">
        <v>736</v>
      </c>
      <c r="B518" s="67"/>
      <c r="C518" s="67"/>
      <c r="D518" s="68">
        <v>150</v>
      </c>
      <c r="E518" s="70"/>
      <c r="F518" s="102" t="str">
        <f>HYPERLINK("https://yt3.ggpht.com/ytc/AOPolaQ3aJY2RRSr8kCvBDYFJaA33Au5Wtc4AUQGvg=s88-c-k-c0x00ffffff-no-rj")</f>
        <v>https://yt3.ggpht.com/ytc/AOPolaQ3aJY2RRSr8kCvBDYFJaA33Au5Wtc4AUQGvg=s88-c-k-c0x00ffffff-no-rj</v>
      </c>
      <c r="G518" s="67"/>
      <c r="H518" s="71" t="s">
        <v>1801</v>
      </c>
      <c r="I518" s="72"/>
      <c r="J518" s="72" t="s">
        <v>159</v>
      </c>
      <c r="K518" s="71" t="s">
        <v>1801</v>
      </c>
      <c r="L518" s="75">
        <v>1</v>
      </c>
      <c r="M518" s="76">
        <v>2363.115478515625</v>
      </c>
      <c r="N518" s="76">
        <v>302.41650390625</v>
      </c>
      <c r="O518" s="77"/>
      <c r="P518" s="78"/>
      <c r="Q518" s="78"/>
      <c r="R518" s="88"/>
      <c r="S518" s="49">
        <v>0</v>
      </c>
      <c r="T518" s="49">
        <v>1</v>
      </c>
      <c r="U518" s="50">
        <v>0</v>
      </c>
      <c r="V518" s="50">
        <v>0.135911</v>
      </c>
      <c r="W518" s="50">
        <v>0</v>
      </c>
      <c r="X518" s="50">
        <v>0.00158</v>
      </c>
      <c r="Y518" s="50">
        <v>0</v>
      </c>
      <c r="Z518" s="50">
        <v>0</v>
      </c>
      <c r="AA518" s="73">
        <v>518</v>
      </c>
      <c r="AB518" s="73"/>
      <c r="AC518" s="74"/>
      <c r="AD518" s="81" t="s">
        <v>1801</v>
      </c>
      <c r="AE518" s="81"/>
      <c r="AF518" s="81"/>
      <c r="AG518" s="81"/>
      <c r="AH518" s="81"/>
      <c r="AI518" s="81" t="s">
        <v>2534</v>
      </c>
      <c r="AJ518" s="85">
        <v>41526.71107638889</v>
      </c>
      <c r="AK518" s="83" t="str">
        <f>HYPERLINK("https://yt3.ggpht.com/ytc/AOPolaQ3aJY2RRSr8kCvBDYFJaA33Au5Wtc4AUQGvg=s88-c-k-c0x00ffffff-no-rj")</f>
        <v>https://yt3.ggpht.com/ytc/AOPolaQ3aJY2RRSr8kCvBDYFJaA33Au5Wtc4AUQGvg=s88-c-k-c0x00ffffff-no-rj</v>
      </c>
      <c r="AL518" s="81">
        <v>0</v>
      </c>
      <c r="AM518" s="81">
        <v>0</v>
      </c>
      <c r="AN518" s="81">
        <v>1</v>
      </c>
      <c r="AO518" s="81" t="b">
        <v>0</v>
      </c>
      <c r="AP518" s="81">
        <v>0</v>
      </c>
      <c r="AQ518" s="81"/>
      <c r="AR518" s="81"/>
      <c r="AS518" s="81" t="s">
        <v>2571</v>
      </c>
      <c r="AT518" s="83" t="str">
        <f>HYPERLINK("https://www.youtube.com/channel/UCwKfz2aXwgrHCqVI8q5tDdg")</f>
        <v>https://www.youtube.com/channel/UCwKfz2aXwgrHCqVI8q5tDdg</v>
      </c>
      <c r="AU518" s="81">
        <v>2</v>
      </c>
      <c r="AV518" s="49">
        <v>0</v>
      </c>
      <c r="AW518" s="50">
        <v>0</v>
      </c>
      <c r="AX518" s="49">
        <v>2</v>
      </c>
      <c r="AY518" s="50">
        <v>2.898550724637681</v>
      </c>
      <c r="AZ518" s="49">
        <v>0</v>
      </c>
      <c r="BA518" s="50">
        <v>0</v>
      </c>
      <c r="BB518" s="49">
        <v>20</v>
      </c>
      <c r="BC518" s="50">
        <v>28.985507246376812</v>
      </c>
      <c r="BD518" s="49">
        <v>69</v>
      </c>
      <c r="BE518" s="49"/>
      <c r="BF518" s="49"/>
      <c r="BG518" s="49"/>
      <c r="BH518" s="49"/>
      <c r="BI518" s="49"/>
      <c r="BJ518" s="49"/>
      <c r="BK518" s="115" t="s">
        <v>3034</v>
      </c>
      <c r="BL518" s="115" t="s">
        <v>3034</v>
      </c>
      <c r="BM518" s="115" t="s">
        <v>3477</v>
      </c>
      <c r="BN518" s="115" t="s">
        <v>3477</v>
      </c>
      <c r="BO518" s="2"/>
      <c r="BP518" s="3"/>
      <c r="BQ518" s="3"/>
      <c r="BR518" s="3"/>
      <c r="BS518" s="3"/>
    </row>
    <row r="519" spans="1:71" ht="15">
      <c r="A519" s="66" t="s">
        <v>737</v>
      </c>
      <c r="B519" s="67"/>
      <c r="C519" s="67"/>
      <c r="D519" s="68">
        <v>150</v>
      </c>
      <c r="E519" s="70"/>
      <c r="F519" s="102" t="str">
        <f>HYPERLINK("https://yt3.ggpht.com/ytc/AOPolaQ_sYAb_J7mMVmDpcFCqj6c0zJ0uCRnVXsKAKnYsENqkdysu5i8mIOnyvrA_G0g=s88-c-k-c0x00ffffff-no-rj")</f>
        <v>https://yt3.ggpht.com/ytc/AOPolaQ_sYAb_J7mMVmDpcFCqj6c0zJ0uCRnVXsKAKnYsENqkdysu5i8mIOnyvrA_G0g=s88-c-k-c0x00ffffff-no-rj</v>
      </c>
      <c r="G519" s="67"/>
      <c r="H519" s="71" t="s">
        <v>1802</v>
      </c>
      <c r="I519" s="72"/>
      <c r="J519" s="72" t="s">
        <v>159</v>
      </c>
      <c r="K519" s="71" t="s">
        <v>1802</v>
      </c>
      <c r="L519" s="75">
        <v>1</v>
      </c>
      <c r="M519" s="76">
        <v>6106.9228515625</v>
      </c>
      <c r="N519" s="76">
        <v>2037.760986328125</v>
      </c>
      <c r="O519" s="77"/>
      <c r="P519" s="78"/>
      <c r="Q519" s="78"/>
      <c r="R519" s="88"/>
      <c r="S519" s="49">
        <v>0</v>
      </c>
      <c r="T519" s="49">
        <v>1</v>
      </c>
      <c r="U519" s="50">
        <v>0</v>
      </c>
      <c r="V519" s="50">
        <v>0.135911</v>
      </c>
      <c r="W519" s="50">
        <v>0</v>
      </c>
      <c r="X519" s="50">
        <v>0.00158</v>
      </c>
      <c r="Y519" s="50">
        <v>0</v>
      </c>
      <c r="Z519" s="50">
        <v>0</v>
      </c>
      <c r="AA519" s="73">
        <v>519</v>
      </c>
      <c r="AB519" s="73"/>
      <c r="AC519" s="74"/>
      <c r="AD519" s="81" t="s">
        <v>1802</v>
      </c>
      <c r="AE519" s="81"/>
      <c r="AF519" s="81"/>
      <c r="AG519" s="81"/>
      <c r="AH519" s="81"/>
      <c r="AI519" s="81" t="s">
        <v>2535</v>
      </c>
      <c r="AJ519" s="85">
        <v>45107.8696875</v>
      </c>
      <c r="AK519" s="83" t="str">
        <f>HYPERLINK("https://yt3.ggpht.com/ytc/AOPolaQ_sYAb_J7mMVmDpcFCqj6c0zJ0uCRnVXsKAKnYsENqkdysu5i8mIOnyvrA_G0g=s88-c-k-c0x00ffffff-no-rj")</f>
        <v>https://yt3.ggpht.com/ytc/AOPolaQ_sYAb_J7mMVmDpcFCqj6c0zJ0uCRnVXsKAKnYsENqkdysu5i8mIOnyvrA_G0g=s88-c-k-c0x00ffffff-no-rj</v>
      </c>
      <c r="AL519" s="81">
        <v>0</v>
      </c>
      <c r="AM519" s="81">
        <v>0</v>
      </c>
      <c r="AN519" s="81">
        <v>0</v>
      </c>
      <c r="AO519" s="81" t="b">
        <v>0</v>
      </c>
      <c r="AP519" s="81">
        <v>0</v>
      </c>
      <c r="AQ519" s="81"/>
      <c r="AR519" s="81"/>
      <c r="AS519" s="81" t="s">
        <v>2571</v>
      </c>
      <c r="AT519" s="83" t="str">
        <f>HYPERLINK("https://www.youtube.com/channel/UC5ycpbWKBpjx5hCNjQeOaTA")</f>
        <v>https://www.youtube.com/channel/UC5ycpbWKBpjx5hCNjQeOaTA</v>
      </c>
      <c r="AU519" s="81">
        <v>2</v>
      </c>
      <c r="AV519" s="49">
        <v>0</v>
      </c>
      <c r="AW519" s="50">
        <v>0</v>
      </c>
      <c r="AX519" s="49">
        <v>0</v>
      </c>
      <c r="AY519" s="50">
        <v>0</v>
      </c>
      <c r="AZ519" s="49">
        <v>0</v>
      </c>
      <c r="BA519" s="50">
        <v>0</v>
      </c>
      <c r="BB519" s="49">
        <v>4</v>
      </c>
      <c r="BC519" s="50">
        <v>57.142857142857146</v>
      </c>
      <c r="BD519" s="49">
        <v>7</v>
      </c>
      <c r="BE519" s="49"/>
      <c r="BF519" s="49"/>
      <c r="BG519" s="49"/>
      <c r="BH519" s="49"/>
      <c r="BI519" s="49"/>
      <c r="BJ519" s="49"/>
      <c r="BK519" s="115" t="s">
        <v>3035</v>
      </c>
      <c r="BL519" s="115" t="s">
        <v>3035</v>
      </c>
      <c r="BM519" s="115" t="s">
        <v>3478</v>
      </c>
      <c r="BN519" s="115" t="s">
        <v>3478</v>
      </c>
      <c r="BO519" s="2"/>
      <c r="BP519" s="3"/>
      <c r="BQ519" s="3"/>
      <c r="BR519" s="3"/>
      <c r="BS519" s="3"/>
    </row>
    <row r="520" spans="1:71" ht="15">
      <c r="A520" s="66" t="s">
        <v>738</v>
      </c>
      <c r="B520" s="67"/>
      <c r="C520" s="67"/>
      <c r="D520" s="68">
        <v>150</v>
      </c>
      <c r="E520" s="70"/>
      <c r="F520" s="102" t="str">
        <f>HYPERLINK("https://yt3.ggpht.com/J2geOgKPaDZFVkZpOiXQ8h0li37u2ajZ6xKY457tTjsgyOYwYaNxcm2dYfAfMyo7jSBCzQLeo-U=s88-c-k-c0x00ffffff-no-rj")</f>
        <v>https://yt3.ggpht.com/J2geOgKPaDZFVkZpOiXQ8h0li37u2ajZ6xKY457tTjsgyOYwYaNxcm2dYfAfMyo7jSBCzQLeo-U=s88-c-k-c0x00ffffff-no-rj</v>
      </c>
      <c r="G520" s="67"/>
      <c r="H520" s="71" t="s">
        <v>1803</v>
      </c>
      <c r="I520" s="72"/>
      <c r="J520" s="72" t="s">
        <v>159</v>
      </c>
      <c r="K520" s="71" t="s">
        <v>1803</v>
      </c>
      <c r="L520" s="75">
        <v>1</v>
      </c>
      <c r="M520" s="76">
        <v>1804.6436767578125</v>
      </c>
      <c r="N520" s="76">
        <v>2711.1103515625</v>
      </c>
      <c r="O520" s="77"/>
      <c r="P520" s="78"/>
      <c r="Q520" s="78"/>
      <c r="R520" s="88"/>
      <c r="S520" s="49">
        <v>0</v>
      </c>
      <c r="T520" s="49">
        <v>1</v>
      </c>
      <c r="U520" s="50">
        <v>0</v>
      </c>
      <c r="V520" s="50">
        <v>0.135911</v>
      </c>
      <c r="W520" s="50">
        <v>0</v>
      </c>
      <c r="X520" s="50">
        <v>0.00158</v>
      </c>
      <c r="Y520" s="50">
        <v>0</v>
      </c>
      <c r="Z520" s="50">
        <v>0</v>
      </c>
      <c r="AA520" s="73">
        <v>520</v>
      </c>
      <c r="AB520" s="73"/>
      <c r="AC520" s="74"/>
      <c r="AD520" s="81" t="s">
        <v>1803</v>
      </c>
      <c r="AE520" s="81"/>
      <c r="AF520" s="81"/>
      <c r="AG520" s="81"/>
      <c r="AH520" s="81"/>
      <c r="AI520" s="81" t="s">
        <v>2536</v>
      </c>
      <c r="AJ520" s="85">
        <v>44389.86591435185</v>
      </c>
      <c r="AK520" s="83" t="str">
        <f>HYPERLINK("https://yt3.ggpht.com/J2geOgKPaDZFVkZpOiXQ8h0li37u2ajZ6xKY457tTjsgyOYwYaNxcm2dYfAfMyo7jSBCzQLeo-U=s88-c-k-c0x00ffffff-no-rj")</f>
        <v>https://yt3.ggpht.com/J2geOgKPaDZFVkZpOiXQ8h0li37u2ajZ6xKY457tTjsgyOYwYaNxcm2dYfAfMyo7jSBCzQLeo-U=s88-c-k-c0x00ffffff-no-rj</v>
      </c>
      <c r="AL520" s="81">
        <v>0</v>
      </c>
      <c r="AM520" s="81">
        <v>0</v>
      </c>
      <c r="AN520" s="81">
        <v>6</v>
      </c>
      <c r="AO520" s="81" t="b">
        <v>0</v>
      </c>
      <c r="AP520" s="81">
        <v>0</v>
      </c>
      <c r="AQ520" s="81"/>
      <c r="AR520" s="81"/>
      <c r="AS520" s="81" t="s">
        <v>2571</v>
      </c>
      <c r="AT520" s="83" t="str">
        <f>HYPERLINK("https://www.youtube.com/channel/UCbKNT--FSDrlqH6YGyBPxQw")</f>
        <v>https://www.youtube.com/channel/UCbKNT--FSDrlqH6YGyBPxQw</v>
      </c>
      <c r="AU520" s="81">
        <v>2</v>
      </c>
      <c r="AV520" s="49">
        <v>7</v>
      </c>
      <c r="AW520" s="50">
        <v>5.691056910569106</v>
      </c>
      <c r="AX520" s="49">
        <v>3</v>
      </c>
      <c r="AY520" s="50">
        <v>2.4390243902439024</v>
      </c>
      <c r="AZ520" s="49">
        <v>0</v>
      </c>
      <c r="BA520" s="50">
        <v>0</v>
      </c>
      <c r="BB520" s="49">
        <v>36</v>
      </c>
      <c r="BC520" s="50">
        <v>29.26829268292683</v>
      </c>
      <c r="BD520" s="49">
        <v>123</v>
      </c>
      <c r="BE520" s="49"/>
      <c r="BF520" s="49"/>
      <c r="BG520" s="49"/>
      <c r="BH520" s="49"/>
      <c r="BI520" s="49"/>
      <c r="BJ520" s="49"/>
      <c r="BK520" s="115" t="s">
        <v>3036</v>
      </c>
      <c r="BL520" s="115" t="s">
        <v>3036</v>
      </c>
      <c r="BM520" s="115" t="s">
        <v>3479</v>
      </c>
      <c r="BN520" s="115" t="s">
        <v>3479</v>
      </c>
      <c r="BO520" s="2"/>
      <c r="BP520" s="3"/>
      <c r="BQ520" s="3"/>
      <c r="BR520" s="3"/>
      <c r="BS520" s="3"/>
    </row>
    <row r="521" spans="1:71" ht="15">
      <c r="A521" s="66" t="s">
        <v>739</v>
      </c>
      <c r="B521" s="67"/>
      <c r="C521" s="67"/>
      <c r="D521" s="68">
        <v>150</v>
      </c>
      <c r="E521" s="70"/>
      <c r="F521" s="102" t="str">
        <f>HYPERLINK("https://yt3.ggpht.com/ytc/AOPolaT-0QnvvC-5F64bMSi7AXmPDMQzX9zHiuoraorJSw=s88-c-k-c0x00ffffff-no-rj")</f>
        <v>https://yt3.ggpht.com/ytc/AOPolaT-0QnvvC-5F64bMSi7AXmPDMQzX9zHiuoraorJSw=s88-c-k-c0x00ffffff-no-rj</v>
      </c>
      <c r="G521" s="67"/>
      <c r="H521" s="71" t="s">
        <v>1804</v>
      </c>
      <c r="I521" s="72"/>
      <c r="J521" s="72" t="s">
        <v>159</v>
      </c>
      <c r="K521" s="71" t="s">
        <v>1804</v>
      </c>
      <c r="L521" s="75">
        <v>1</v>
      </c>
      <c r="M521" s="76">
        <v>3913.145263671875</v>
      </c>
      <c r="N521" s="76">
        <v>3797.021240234375</v>
      </c>
      <c r="O521" s="77"/>
      <c r="P521" s="78"/>
      <c r="Q521" s="78"/>
      <c r="R521" s="88"/>
      <c r="S521" s="49">
        <v>0</v>
      </c>
      <c r="T521" s="49">
        <v>1</v>
      </c>
      <c r="U521" s="50">
        <v>0</v>
      </c>
      <c r="V521" s="50">
        <v>0.135911</v>
      </c>
      <c r="W521" s="50">
        <v>0</v>
      </c>
      <c r="X521" s="50">
        <v>0.00158</v>
      </c>
      <c r="Y521" s="50">
        <v>0</v>
      </c>
      <c r="Z521" s="50">
        <v>0</v>
      </c>
      <c r="AA521" s="73">
        <v>521</v>
      </c>
      <c r="AB521" s="73"/>
      <c r="AC521" s="74"/>
      <c r="AD521" s="81" t="s">
        <v>1804</v>
      </c>
      <c r="AE521" s="81"/>
      <c r="AF521" s="81"/>
      <c r="AG521" s="81"/>
      <c r="AH521" s="81"/>
      <c r="AI521" s="81" t="s">
        <v>2537</v>
      </c>
      <c r="AJ521" s="85">
        <v>41159.36951388889</v>
      </c>
      <c r="AK521" s="83" t="str">
        <f>HYPERLINK("https://yt3.ggpht.com/ytc/AOPolaT-0QnvvC-5F64bMSi7AXmPDMQzX9zHiuoraorJSw=s88-c-k-c0x00ffffff-no-rj")</f>
        <v>https://yt3.ggpht.com/ytc/AOPolaT-0QnvvC-5F64bMSi7AXmPDMQzX9zHiuoraorJSw=s88-c-k-c0x00ffffff-no-rj</v>
      </c>
      <c r="AL521" s="81">
        <v>0</v>
      </c>
      <c r="AM521" s="81">
        <v>0</v>
      </c>
      <c r="AN521" s="81">
        <v>1</v>
      </c>
      <c r="AO521" s="81" t="b">
        <v>0</v>
      </c>
      <c r="AP521" s="81">
        <v>0</v>
      </c>
      <c r="AQ521" s="81"/>
      <c r="AR521" s="81"/>
      <c r="AS521" s="81" t="s">
        <v>2571</v>
      </c>
      <c r="AT521" s="83" t="str">
        <f>HYPERLINK("https://www.youtube.com/channel/UCpYO4Z7HCHEQYBc9rgWK1Nw")</f>
        <v>https://www.youtube.com/channel/UCpYO4Z7HCHEQYBc9rgWK1Nw</v>
      </c>
      <c r="AU521" s="81">
        <v>2</v>
      </c>
      <c r="AV521" s="49">
        <v>1</v>
      </c>
      <c r="AW521" s="50">
        <v>11.11111111111111</v>
      </c>
      <c r="AX521" s="49">
        <v>1</v>
      </c>
      <c r="AY521" s="50">
        <v>11.11111111111111</v>
      </c>
      <c r="AZ521" s="49">
        <v>0</v>
      </c>
      <c r="BA521" s="50">
        <v>0</v>
      </c>
      <c r="BB521" s="49">
        <v>2</v>
      </c>
      <c r="BC521" s="50">
        <v>22.22222222222222</v>
      </c>
      <c r="BD521" s="49">
        <v>9</v>
      </c>
      <c r="BE521" s="49"/>
      <c r="BF521" s="49"/>
      <c r="BG521" s="49"/>
      <c r="BH521" s="49"/>
      <c r="BI521" s="49"/>
      <c r="BJ521" s="49"/>
      <c r="BK521" s="115" t="s">
        <v>3037</v>
      </c>
      <c r="BL521" s="115" t="s">
        <v>3037</v>
      </c>
      <c r="BM521" s="115" t="s">
        <v>3480</v>
      </c>
      <c r="BN521" s="115" t="s">
        <v>3480</v>
      </c>
      <c r="BO521" s="2"/>
      <c r="BP521" s="3"/>
      <c r="BQ521" s="3"/>
      <c r="BR521" s="3"/>
      <c r="BS521" s="3"/>
    </row>
    <row r="522" spans="1:71" ht="15">
      <c r="A522" s="66" t="s">
        <v>740</v>
      </c>
      <c r="B522" s="67"/>
      <c r="C522" s="67"/>
      <c r="D522" s="68">
        <v>150</v>
      </c>
      <c r="E522" s="70"/>
      <c r="F522" s="102" t="str">
        <f>HYPERLINK("https://yt3.ggpht.com/ytc/AOPolaRF5lhIV9zVyjkHoMh128Uua9jcf_MmUfJL=s88-c-k-c0x00ffffff-no-rj")</f>
        <v>https://yt3.ggpht.com/ytc/AOPolaRF5lhIV9zVyjkHoMh128Uua9jcf_MmUfJL=s88-c-k-c0x00ffffff-no-rj</v>
      </c>
      <c r="G522" s="67"/>
      <c r="H522" s="71" t="s">
        <v>1805</v>
      </c>
      <c r="I522" s="72"/>
      <c r="J522" s="72" t="s">
        <v>159</v>
      </c>
      <c r="K522" s="71" t="s">
        <v>1805</v>
      </c>
      <c r="L522" s="75">
        <v>1</v>
      </c>
      <c r="M522" s="76">
        <v>2476.7421875</v>
      </c>
      <c r="N522" s="76">
        <v>2942.14794921875</v>
      </c>
      <c r="O522" s="77"/>
      <c r="P522" s="78"/>
      <c r="Q522" s="78"/>
      <c r="R522" s="88"/>
      <c r="S522" s="49">
        <v>0</v>
      </c>
      <c r="T522" s="49">
        <v>1</v>
      </c>
      <c r="U522" s="50">
        <v>0</v>
      </c>
      <c r="V522" s="50">
        <v>0.135911</v>
      </c>
      <c r="W522" s="50">
        <v>0</v>
      </c>
      <c r="X522" s="50">
        <v>0.00158</v>
      </c>
      <c r="Y522" s="50">
        <v>0</v>
      </c>
      <c r="Z522" s="50">
        <v>0</v>
      </c>
      <c r="AA522" s="73">
        <v>522</v>
      </c>
      <c r="AB522" s="73"/>
      <c r="AC522" s="74"/>
      <c r="AD522" s="81" t="s">
        <v>1805</v>
      </c>
      <c r="AE522" s="81"/>
      <c r="AF522" s="81"/>
      <c r="AG522" s="81"/>
      <c r="AH522" s="81"/>
      <c r="AI522" s="81" t="s">
        <v>2538</v>
      </c>
      <c r="AJ522" s="85">
        <v>40865.24298611111</v>
      </c>
      <c r="AK522" s="83" t="str">
        <f>HYPERLINK("https://yt3.ggpht.com/ytc/AOPolaRF5lhIV9zVyjkHoMh128Uua9jcf_MmUfJL=s88-c-k-c0x00ffffff-no-rj")</f>
        <v>https://yt3.ggpht.com/ytc/AOPolaRF5lhIV9zVyjkHoMh128Uua9jcf_MmUfJL=s88-c-k-c0x00ffffff-no-rj</v>
      </c>
      <c r="AL522" s="81">
        <v>0</v>
      </c>
      <c r="AM522" s="81">
        <v>0</v>
      </c>
      <c r="AN522" s="81">
        <v>0</v>
      </c>
      <c r="AO522" s="81" t="b">
        <v>0</v>
      </c>
      <c r="AP522" s="81">
        <v>0</v>
      </c>
      <c r="AQ522" s="81"/>
      <c r="AR522" s="81"/>
      <c r="AS522" s="81" t="s">
        <v>2571</v>
      </c>
      <c r="AT522" s="83" t="str">
        <f>HYPERLINK("https://www.youtube.com/channel/UCh7lqi3R_UmYsHQnqlOCAEQ")</f>
        <v>https://www.youtube.com/channel/UCh7lqi3R_UmYsHQnqlOCAEQ</v>
      </c>
      <c r="AU522" s="81">
        <v>2</v>
      </c>
      <c r="AV522" s="49">
        <v>1</v>
      </c>
      <c r="AW522" s="50">
        <v>7.6923076923076925</v>
      </c>
      <c r="AX522" s="49">
        <v>0</v>
      </c>
      <c r="AY522" s="50">
        <v>0</v>
      </c>
      <c r="AZ522" s="49">
        <v>0</v>
      </c>
      <c r="BA522" s="50">
        <v>0</v>
      </c>
      <c r="BB522" s="49">
        <v>4</v>
      </c>
      <c r="BC522" s="50">
        <v>30.76923076923077</v>
      </c>
      <c r="BD522" s="49">
        <v>13</v>
      </c>
      <c r="BE522" s="49"/>
      <c r="BF522" s="49"/>
      <c r="BG522" s="49"/>
      <c r="BH522" s="49"/>
      <c r="BI522" s="49"/>
      <c r="BJ522" s="49"/>
      <c r="BK522" s="115" t="s">
        <v>3038</v>
      </c>
      <c r="BL522" s="115" t="s">
        <v>3038</v>
      </c>
      <c r="BM522" s="115" t="s">
        <v>3481</v>
      </c>
      <c r="BN522" s="115" t="s">
        <v>3481</v>
      </c>
      <c r="BO522" s="2"/>
      <c r="BP522" s="3"/>
      <c r="BQ522" s="3"/>
      <c r="BR522" s="3"/>
      <c r="BS522" s="3"/>
    </row>
    <row r="523" spans="1:71" ht="15">
      <c r="A523" s="66" t="s">
        <v>741</v>
      </c>
      <c r="B523" s="67"/>
      <c r="C523" s="67"/>
      <c r="D523" s="68">
        <v>150</v>
      </c>
      <c r="E523" s="70"/>
      <c r="F523" s="102" t="str">
        <f>HYPERLINK("https://yt3.ggpht.com/ytc/AOPolaTgtpYvVpFdnKdp2EEqsB36oGz5PPl6ep3dTQ=s88-c-k-c0x00ffffff-no-rj")</f>
        <v>https://yt3.ggpht.com/ytc/AOPolaTgtpYvVpFdnKdp2EEqsB36oGz5PPl6ep3dTQ=s88-c-k-c0x00ffffff-no-rj</v>
      </c>
      <c r="G523" s="67"/>
      <c r="H523" s="71" t="s">
        <v>1806</v>
      </c>
      <c r="I523" s="72"/>
      <c r="J523" s="72" t="s">
        <v>159</v>
      </c>
      <c r="K523" s="71" t="s">
        <v>1806</v>
      </c>
      <c r="L523" s="75">
        <v>1</v>
      </c>
      <c r="M523" s="76">
        <v>5766.40576171875</v>
      </c>
      <c r="N523" s="76">
        <v>1258.796142578125</v>
      </c>
      <c r="O523" s="77"/>
      <c r="P523" s="78"/>
      <c r="Q523" s="78"/>
      <c r="R523" s="88"/>
      <c r="S523" s="49">
        <v>0</v>
      </c>
      <c r="T523" s="49">
        <v>1</v>
      </c>
      <c r="U523" s="50">
        <v>0</v>
      </c>
      <c r="V523" s="50">
        <v>0.135911</v>
      </c>
      <c r="W523" s="50">
        <v>0</v>
      </c>
      <c r="X523" s="50">
        <v>0.00158</v>
      </c>
      <c r="Y523" s="50">
        <v>0</v>
      </c>
      <c r="Z523" s="50">
        <v>0</v>
      </c>
      <c r="AA523" s="73">
        <v>523</v>
      </c>
      <c r="AB523" s="73"/>
      <c r="AC523" s="74"/>
      <c r="AD523" s="81" t="s">
        <v>1806</v>
      </c>
      <c r="AE523" s="81"/>
      <c r="AF523" s="81"/>
      <c r="AG523" s="81"/>
      <c r="AH523" s="81"/>
      <c r="AI523" s="81" t="s">
        <v>2539</v>
      </c>
      <c r="AJ523" s="85">
        <v>40663.03104166667</v>
      </c>
      <c r="AK523" s="83" t="str">
        <f>HYPERLINK("https://yt3.ggpht.com/ytc/AOPolaTgtpYvVpFdnKdp2EEqsB36oGz5PPl6ep3dTQ=s88-c-k-c0x00ffffff-no-rj")</f>
        <v>https://yt3.ggpht.com/ytc/AOPolaTgtpYvVpFdnKdp2EEqsB36oGz5PPl6ep3dTQ=s88-c-k-c0x00ffffff-no-rj</v>
      </c>
      <c r="AL523" s="81">
        <v>0</v>
      </c>
      <c r="AM523" s="81">
        <v>0</v>
      </c>
      <c r="AN523" s="81">
        <v>1</v>
      </c>
      <c r="AO523" s="81" t="b">
        <v>0</v>
      </c>
      <c r="AP523" s="81">
        <v>0</v>
      </c>
      <c r="AQ523" s="81"/>
      <c r="AR523" s="81"/>
      <c r="AS523" s="81" t="s">
        <v>2571</v>
      </c>
      <c r="AT523" s="83" t="str">
        <f>HYPERLINK("https://www.youtube.com/channel/UCh3yf5uoARWEvYyCVLY51RQ")</f>
        <v>https://www.youtube.com/channel/UCh3yf5uoARWEvYyCVLY51RQ</v>
      </c>
      <c r="AU523" s="81">
        <v>2</v>
      </c>
      <c r="AV523" s="49">
        <v>2</v>
      </c>
      <c r="AW523" s="50">
        <v>2.6315789473684212</v>
      </c>
      <c r="AX523" s="49">
        <v>4</v>
      </c>
      <c r="AY523" s="50">
        <v>5.2631578947368425</v>
      </c>
      <c r="AZ523" s="49">
        <v>0</v>
      </c>
      <c r="BA523" s="50">
        <v>0</v>
      </c>
      <c r="BB523" s="49">
        <v>23</v>
      </c>
      <c r="BC523" s="50">
        <v>30.263157894736842</v>
      </c>
      <c r="BD523" s="49">
        <v>76</v>
      </c>
      <c r="BE523" s="49"/>
      <c r="BF523" s="49"/>
      <c r="BG523" s="49"/>
      <c r="BH523" s="49"/>
      <c r="BI523" s="49"/>
      <c r="BJ523" s="49"/>
      <c r="BK523" s="115" t="s">
        <v>3039</v>
      </c>
      <c r="BL523" s="115" t="s">
        <v>3039</v>
      </c>
      <c r="BM523" s="115" t="s">
        <v>3482</v>
      </c>
      <c r="BN523" s="115" t="s">
        <v>3482</v>
      </c>
      <c r="BO523" s="2"/>
      <c r="BP523" s="3"/>
      <c r="BQ523" s="3"/>
      <c r="BR523" s="3"/>
      <c r="BS523" s="3"/>
    </row>
    <row r="524" spans="1:71" ht="15">
      <c r="A524" s="66" t="s">
        <v>742</v>
      </c>
      <c r="B524" s="67"/>
      <c r="C524" s="67"/>
      <c r="D524" s="68">
        <v>150</v>
      </c>
      <c r="E524" s="70"/>
      <c r="F524" s="102" t="str">
        <f>HYPERLINK("https://yt3.ggpht.com/ytc/AOPolaQGuc8LOPMIaIZk76B1Hkd3bg6MTbm10bsLCuk24A=s88-c-k-c0x00ffffff-no-rj")</f>
        <v>https://yt3.ggpht.com/ytc/AOPolaQGuc8LOPMIaIZk76B1Hkd3bg6MTbm10bsLCuk24A=s88-c-k-c0x00ffffff-no-rj</v>
      </c>
      <c r="G524" s="67"/>
      <c r="H524" s="71" t="s">
        <v>1807</v>
      </c>
      <c r="I524" s="72"/>
      <c r="J524" s="72" t="s">
        <v>159</v>
      </c>
      <c r="K524" s="71" t="s">
        <v>1807</v>
      </c>
      <c r="L524" s="75">
        <v>1</v>
      </c>
      <c r="M524" s="76">
        <v>2062.923583984375</v>
      </c>
      <c r="N524" s="76">
        <v>3022.9189453125</v>
      </c>
      <c r="O524" s="77"/>
      <c r="P524" s="78"/>
      <c r="Q524" s="78"/>
      <c r="R524" s="88"/>
      <c r="S524" s="49">
        <v>0</v>
      </c>
      <c r="T524" s="49">
        <v>1</v>
      </c>
      <c r="U524" s="50">
        <v>0</v>
      </c>
      <c r="V524" s="50">
        <v>0.135911</v>
      </c>
      <c r="W524" s="50">
        <v>0</v>
      </c>
      <c r="X524" s="50">
        <v>0.00158</v>
      </c>
      <c r="Y524" s="50">
        <v>0</v>
      </c>
      <c r="Z524" s="50">
        <v>0</v>
      </c>
      <c r="AA524" s="73">
        <v>524</v>
      </c>
      <c r="AB524" s="73"/>
      <c r="AC524" s="74"/>
      <c r="AD524" s="81" t="s">
        <v>1807</v>
      </c>
      <c r="AE524" s="81"/>
      <c r="AF524" s="81"/>
      <c r="AG524" s="81"/>
      <c r="AH524" s="81"/>
      <c r="AI524" s="81" t="s">
        <v>2540</v>
      </c>
      <c r="AJ524" s="85">
        <v>42989.8830787037</v>
      </c>
      <c r="AK524" s="83" t="str">
        <f>HYPERLINK("https://yt3.ggpht.com/ytc/AOPolaQGuc8LOPMIaIZk76B1Hkd3bg6MTbm10bsLCuk24A=s88-c-k-c0x00ffffff-no-rj")</f>
        <v>https://yt3.ggpht.com/ytc/AOPolaQGuc8LOPMIaIZk76B1Hkd3bg6MTbm10bsLCuk24A=s88-c-k-c0x00ffffff-no-rj</v>
      </c>
      <c r="AL524" s="81">
        <v>0</v>
      </c>
      <c r="AM524" s="81">
        <v>0</v>
      </c>
      <c r="AN524" s="81">
        <v>3</v>
      </c>
      <c r="AO524" s="81" t="b">
        <v>0</v>
      </c>
      <c r="AP524" s="81">
        <v>0</v>
      </c>
      <c r="AQ524" s="81"/>
      <c r="AR524" s="81"/>
      <c r="AS524" s="81" t="s">
        <v>2571</v>
      </c>
      <c r="AT524" s="83" t="str">
        <f>HYPERLINK("https://www.youtube.com/channel/UCdSbBJ3CNwZUy3pCA0PJpdA")</f>
        <v>https://www.youtube.com/channel/UCdSbBJ3CNwZUy3pCA0PJpdA</v>
      </c>
      <c r="AU524" s="81">
        <v>2</v>
      </c>
      <c r="AV524" s="49">
        <v>0</v>
      </c>
      <c r="AW524" s="50">
        <v>0</v>
      </c>
      <c r="AX524" s="49">
        <v>0</v>
      </c>
      <c r="AY524" s="50">
        <v>0</v>
      </c>
      <c r="AZ524" s="49">
        <v>0</v>
      </c>
      <c r="BA524" s="50">
        <v>0</v>
      </c>
      <c r="BB524" s="49">
        <v>4</v>
      </c>
      <c r="BC524" s="50">
        <v>44.44444444444444</v>
      </c>
      <c r="BD524" s="49">
        <v>9</v>
      </c>
      <c r="BE524" s="49"/>
      <c r="BF524" s="49"/>
      <c r="BG524" s="49"/>
      <c r="BH524" s="49"/>
      <c r="BI524" s="49"/>
      <c r="BJ524" s="49"/>
      <c r="BK524" s="115" t="s">
        <v>3040</v>
      </c>
      <c r="BL524" s="115" t="s">
        <v>3040</v>
      </c>
      <c r="BM524" s="115" t="s">
        <v>3483</v>
      </c>
      <c r="BN524" s="115" t="s">
        <v>3483</v>
      </c>
      <c r="BO524" s="2"/>
      <c r="BP524" s="3"/>
      <c r="BQ524" s="3"/>
      <c r="BR524" s="3"/>
      <c r="BS524" s="3"/>
    </row>
    <row r="525" spans="1:71" ht="15">
      <c r="A525" s="66" t="s">
        <v>743</v>
      </c>
      <c r="B525" s="67"/>
      <c r="C525" s="67"/>
      <c r="D525" s="68">
        <v>150</v>
      </c>
      <c r="E525" s="70"/>
      <c r="F525" s="102" t="str">
        <f>HYPERLINK("https://yt3.ggpht.com/ytc/AOPolaTf6P89lX2mkHEeB0EaFsnStTlASobm6S8QVw=s88-c-k-c0x00ffffff-no-rj")</f>
        <v>https://yt3.ggpht.com/ytc/AOPolaTf6P89lX2mkHEeB0EaFsnStTlASobm6S8QVw=s88-c-k-c0x00ffffff-no-rj</v>
      </c>
      <c r="G525" s="67"/>
      <c r="H525" s="71" t="s">
        <v>1808</v>
      </c>
      <c r="I525" s="72"/>
      <c r="J525" s="72" t="s">
        <v>159</v>
      </c>
      <c r="K525" s="71" t="s">
        <v>1808</v>
      </c>
      <c r="L525" s="75">
        <v>1</v>
      </c>
      <c r="M525" s="76">
        <v>3230.8330078125</v>
      </c>
      <c r="N525" s="76">
        <v>765.2288818359375</v>
      </c>
      <c r="O525" s="77"/>
      <c r="P525" s="78"/>
      <c r="Q525" s="78"/>
      <c r="R525" s="88"/>
      <c r="S525" s="49">
        <v>0</v>
      </c>
      <c r="T525" s="49">
        <v>1</v>
      </c>
      <c r="U525" s="50">
        <v>0</v>
      </c>
      <c r="V525" s="50">
        <v>0.135911</v>
      </c>
      <c r="W525" s="50">
        <v>0</v>
      </c>
      <c r="X525" s="50">
        <v>0.00158</v>
      </c>
      <c r="Y525" s="50">
        <v>0</v>
      </c>
      <c r="Z525" s="50">
        <v>0</v>
      </c>
      <c r="AA525" s="73">
        <v>525</v>
      </c>
      <c r="AB525" s="73"/>
      <c r="AC525" s="74"/>
      <c r="AD525" s="81" t="s">
        <v>1808</v>
      </c>
      <c r="AE525" s="81"/>
      <c r="AF525" s="81"/>
      <c r="AG525" s="81"/>
      <c r="AH525" s="81"/>
      <c r="AI525" s="81" t="s">
        <v>2541</v>
      </c>
      <c r="AJ525" s="85">
        <v>41524.539664351854</v>
      </c>
      <c r="AK525" s="83" t="str">
        <f>HYPERLINK("https://yt3.ggpht.com/ytc/AOPolaTf6P89lX2mkHEeB0EaFsnStTlASobm6S8QVw=s88-c-k-c0x00ffffff-no-rj")</f>
        <v>https://yt3.ggpht.com/ytc/AOPolaTf6P89lX2mkHEeB0EaFsnStTlASobm6S8QVw=s88-c-k-c0x00ffffff-no-rj</v>
      </c>
      <c r="AL525" s="81">
        <v>0</v>
      </c>
      <c r="AM525" s="81">
        <v>0</v>
      </c>
      <c r="AN525" s="81">
        <v>1</v>
      </c>
      <c r="AO525" s="81" t="b">
        <v>0</v>
      </c>
      <c r="AP525" s="81">
        <v>0</v>
      </c>
      <c r="AQ525" s="81"/>
      <c r="AR525" s="81"/>
      <c r="AS525" s="81" t="s">
        <v>2571</v>
      </c>
      <c r="AT525" s="83" t="str">
        <f>HYPERLINK("https://www.youtube.com/channel/UCQZNFK8ncUO0DogKo5rxhEQ")</f>
        <v>https://www.youtube.com/channel/UCQZNFK8ncUO0DogKo5rxhEQ</v>
      </c>
      <c r="AU525" s="81">
        <v>2</v>
      </c>
      <c r="AV525" s="49">
        <v>0</v>
      </c>
      <c r="AW525" s="50">
        <v>0</v>
      </c>
      <c r="AX525" s="49">
        <v>0</v>
      </c>
      <c r="AY525" s="50">
        <v>0</v>
      </c>
      <c r="AZ525" s="49">
        <v>0</v>
      </c>
      <c r="BA525" s="50">
        <v>0</v>
      </c>
      <c r="BB525" s="49">
        <v>6</v>
      </c>
      <c r="BC525" s="50">
        <v>42.857142857142854</v>
      </c>
      <c r="BD525" s="49">
        <v>14</v>
      </c>
      <c r="BE525" s="49"/>
      <c r="BF525" s="49"/>
      <c r="BG525" s="49"/>
      <c r="BH525" s="49"/>
      <c r="BI525" s="49"/>
      <c r="BJ525" s="49"/>
      <c r="BK525" s="115" t="s">
        <v>3041</v>
      </c>
      <c r="BL525" s="115" t="s">
        <v>3041</v>
      </c>
      <c r="BM525" s="115" t="s">
        <v>3484</v>
      </c>
      <c r="BN525" s="115" t="s">
        <v>3484</v>
      </c>
      <c r="BO525" s="2"/>
      <c r="BP525" s="3"/>
      <c r="BQ525" s="3"/>
      <c r="BR525" s="3"/>
      <c r="BS525" s="3"/>
    </row>
    <row r="526" spans="1:71" ht="15">
      <c r="A526" s="66" t="s">
        <v>744</v>
      </c>
      <c r="B526" s="67"/>
      <c r="C526" s="67"/>
      <c r="D526" s="68">
        <v>150</v>
      </c>
      <c r="E526" s="70"/>
      <c r="F526" s="102" t="str">
        <f>HYPERLINK("https://yt3.ggpht.com/ytc/AOPolaR3JHwDyXIn_R6P5xUO-nOg-NRVxjhDUAVQSw=s88-c-k-c0x00ffffff-no-rj")</f>
        <v>https://yt3.ggpht.com/ytc/AOPolaR3JHwDyXIn_R6P5xUO-nOg-NRVxjhDUAVQSw=s88-c-k-c0x00ffffff-no-rj</v>
      </c>
      <c r="G526" s="67"/>
      <c r="H526" s="71" t="s">
        <v>1809</v>
      </c>
      <c r="I526" s="72"/>
      <c r="J526" s="72" t="s">
        <v>159</v>
      </c>
      <c r="K526" s="71" t="s">
        <v>1809</v>
      </c>
      <c r="L526" s="75">
        <v>1</v>
      </c>
      <c r="M526" s="76">
        <v>5016.37451171875</v>
      </c>
      <c r="N526" s="76">
        <v>1169.5419921875</v>
      </c>
      <c r="O526" s="77"/>
      <c r="P526" s="78"/>
      <c r="Q526" s="78"/>
      <c r="R526" s="88"/>
      <c r="S526" s="49">
        <v>0</v>
      </c>
      <c r="T526" s="49">
        <v>1</v>
      </c>
      <c r="U526" s="50">
        <v>0</v>
      </c>
      <c r="V526" s="50">
        <v>0.135911</v>
      </c>
      <c r="W526" s="50">
        <v>0</v>
      </c>
      <c r="X526" s="50">
        <v>0.00158</v>
      </c>
      <c r="Y526" s="50">
        <v>0</v>
      </c>
      <c r="Z526" s="50">
        <v>0</v>
      </c>
      <c r="AA526" s="73">
        <v>526</v>
      </c>
      <c r="AB526" s="73"/>
      <c r="AC526" s="74"/>
      <c r="AD526" s="81" t="s">
        <v>1809</v>
      </c>
      <c r="AE526" s="81"/>
      <c r="AF526" s="81"/>
      <c r="AG526" s="81"/>
      <c r="AH526" s="81"/>
      <c r="AI526" s="81" t="s">
        <v>2542</v>
      </c>
      <c r="AJ526" s="85">
        <v>40649.68956018519</v>
      </c>
      <c r="AK526" s="83" t="str">
        <f>HYPERLINK("https://yt3.ggpht.com/ytc/AOPolaR3JHwDyXIn_R6P5xUO-nOg-NRVxjhDUAVQSw=s88-c-k-c0x00ffffff-no-rj")</f>
        <v>https://yt3.ggpht.com/ytc/AOPolaR3JHwDyXIn_R6P5xUO-nOg-NRVxjhDUAVQSw=s88-c-k-c0x00ffffff-no-rj</v>
      </c>
      <c r="AL526" s="81">
        <v>0</v>
      </c>
      <c r="AM526" s="81">
        <v>0</v>
      </c>
      <c r="AN526" s="81">
        <v>1</v>
      </c>
      <c r="AO526" s="81" t="b">
        <v>0</v>
      </c>
      <c r="AP526" s="81">
        <v>0</v>
      </c>
      <c r="AQ526" s="81"/>
      <c r="AR526" s="81"/>
      <c r="AS526" s="81" t="s">
        <v>2571</v>
      </c>
      <c r="AT526" s="83" t="str">
        <f>HYPERLINK("https://www.youtube.com/channel/UCFj24ZYPMKVe7HzrTHeFO1w")</f>
        <v>https://www.youtube.com/channel/UCFj24ZYPMKVe7HzrTHeFO1w</v>
      </c>
      <c r="AU526" s="81">
        <v>2</v>
      </c>
      <c r="AV526" s="49">
        <v>4</v>
      </c>
      <c r="AW526" s="50">
        <v>4.081632653061225</v>
      </c>
      <c r="AX526" s="49">
        <v>4</v>
      </c>
      <c r="AY526" s="50">
        <v>4.081632653061225</v>
      </c>
      <c r="AZ526" s="49">
        <v>0</v>
      </c>
      <c r="BA526" s="50">
        <v>0</v>
      </c>
      <c r="BB526" s="49">
        <v>26</v>
      </c>
      <c r="BC526" s="50">
        <v>26.53061224489796</v>
      </c>
      <c r="BD526" s="49">
        <v>98</v>
      </c>
      <c r="BE526" s="49"/>
      <c r="BF526" s="49"/>
      <c r="BG526" s="49"/>
      <c r="BH526" s="49"/>
      <c r="BI526" s="49"/>
      <c r="BJ526" s="49"/>
      <c r="BK526" s="115" t="s">
        <v>3042</v>
      </c>
      <c r="BL526" s="115" t="s">
        <v>3042</v>
      </c>
      <c r="BM526" s="115" t="s">
        <v>3485</v>
      </c>
      <c r="BN526" s="115" t="s">
        <v>3485</v>
      </c>
      <c r="BO526" s="2"/>
      <c r="BP526" s="3"/>
      <c r="BQ526" s="3"/>
      <c r="BR526" s="3"/>
      <c r="BS526" s="3"/>
    </row>
    <row r="527" spans="1:71" ht="15">
      <c r="A527" s="66" t="s">
        <v>745</v>
      </c>
      <c r="B527" s="67"/>
      <c r="C527" s="67"/>
      <c r="D527" s="68">
        <v>150</v>
      </c>
      <c r="E527" s="70"/>
      <c r="F527" s="102" t="str">
        <f>HYPERLINK("https://yt3.ggpht.com/ytc/AOPolaT-ZM3_rvlgmHefS4aCr7zVgEODJC-5zxAwfcNWJ_lT0RP97c4hY-m5vgUeiyC_=s88-c-k-c0x00ffffff-no-rj")</f>
        <v>https://yt3.ggpht.com/ytc/AOPolaT-ZM3_rvlgmHefS4aCr7zVgEODJC-5zxAwfcNWJ_lT0RP97c4hY-m5vgUeiyC_=s88-c-k-c0x00ffffff-no-rj</v>
      </c>
      <c r="G527" s="67"/>
      <c r="H527" s="71" t="s">
        <v>1810</v>
      </c>
      <c r="I527" s="72"/>
      <c r="J527" s="72" t="s">
        <v>159</v>
      </c>
      <c r="K527" s="71" t="s">
        <v>1810</v>
      </c>
      <c r="L527" s="75">
        <v>1</v>
      </c>
      <c r="M527" s="76">
        <v>2169.030517578125</v>
      </c>
      <c r="N527" s="76">
        <v>718.1769409179688</v>
      </c>
      <c r="O527" s="77"/>
      <c r="P527" s="78"/>
      <c r="Q527" s="78"/>
      <c r="R527" s="88"/>
      <c r="S527" s="49">
        <v>0</v>
      </c>
      <c r="T527" s="49">
        <v>1</v>
      </c>
      <c r="U527" s="50">
        <v>0</v>
      </c>
      <c r="V527" s="50">
        <v>0.135911</v>
      </c>
      <c r="W527" s="50">
        <v>0</v>
      </c>
      <c r="X527" s="50">
        <v>0.00158</v>
      </c>
      <c r="Y527" s="50">
        <v>0</v>
      </c>
      <c r="Z527" s="50">
        <v>0</v>
      </c>
      <c r="AA527" s="73">
        <v>527</v>
      </c>
      <c r="AB527" s="73"/>
      <c r="AC527" s="74"/>
      <c r="AD527" s="81" t="s">
        <v>1810</v>
      </c>
      <c r="AE527" s="81"/>
      <c r="AF527" s="81"/>
      <c r="AG527" s="81"/>
      <c r="AH527" s="81"/>
      <c r="AI527" s="81" t="s">
        <v>2543</v>
      </c>
      <c r="AJ527" s="85">
        <v>44978.399618055555</v>
      </c>
      <c r="AK527" s="83" t="str">
        <f>HYPERLINK("https://yt3.ggpht.com/ytc/AOPolaT-ZM3_rvlgmHefS4aCr7zVgEODJC-5zxAwfcNWJ_lT0RP97c4hY-m5vgUeiyC_=s88-c-k-c0x00ffffff-no-rj")</f>
        <v>https://yt3.ggpht.com/ytc/AOPolaT-ZM3_rvlgmHefS4aCr7zVgEODJC-5zxAwfcNWJ_lT0RP97c4hY-m5vgUeiyC_=s88-c-k-c0x00ffffff-no-rj</v>
      </c>
      <c r="AL527" s="81">
        <v>0</v>
      </c>
      <c r="AM527" s="81">
        <v>0</v>
      </c>
      <c r="AN527" s="81">
        <v>0</v>
      </c>
      <c r="AO527" s="81" t="b">
        <v>0</v>
      </c>
      <c r="AP527" s="81">
        <v>0</v>
      </c>
      <c r="AQ527" s="81"/>
      <c r="AR527" s="81"/>
      <c r="AS527" s="81" t="s">
        <v>2571</v>
      </c>
      <c r="AT527" s="83" t="str">
        <f>HYPERLINK("https://www.youtube.com/channel/UCZr2delx9ViejpExHtH-bsg")</f>
        <v>https://www.youtube.com/channel/UCZr2delx9ViejpExHtH-bsg</v>
      </c>
      <c r="AU527" s="81">
        <v>2</v>
      </c>
      <c r="AV527" s="49">
        <v>2</v>
      </c>
      <c r="AW527" s="50">
        <v>4.444444444444445</v>
      </c>
      <c r="AX527" s="49">
        <v>0</v>
      </c>
      <c r="AY527" s="50">
        <v>0</v>
      </c>
      <c r="AZ527" s="49">
        <v>0</v>
      </c>
      <c r="BA527" s="50">
        <v>0</v>
      </c>
      <c r="BB527" s="49">
        <v>11</v>
      </c>
      <c r="BC527" s="50">
        <v>24.444444444444443</v>
      </c>
      <c r="BD527" s="49">
        <v>45</v>
      </c>
      <c r="BE527" s="49"/>
      <c r="BF527" s="49"/>
      <c r="BG527" s="49"/>
      <c r="BH527" s="49"/>
      <c r="BI527" s="49"/>
      <c r="BJ527" s="49"/>
      <c r="BK527" s="115" t="s">
        <v>4571</v>
      </c>
      <c r="BL527" s="115" t="s">
        <v>4571</v>
      </c>
      <c r="BM527" s="115" t="s">
        <v>4594</v>
      </c>
      <c r="BN527" s="115" t="s">
        <v>4594</v>
      </c>
      <c r="BO527" s="2"/>
      <c r="BP527" s="3"/>
      <c r="BQ527" s="3"/>
      <c r="BR527" s="3"/>
      <c r="BS527" s="3"/>
    </row>
    <row r="528" spans="1:71" ht="15">
      <c r="A528" s="66" t="s">
        <v>746</v>
      </c>
      <c r="B528" s="67"/>
      <c r="C528" s="67"/>
      <c r="D528" s="68">
        <v>150</v>
      </c>
      <c r="E528" s="70"/>
      <c r="F528" s="102" t="str">
        <f>HYPERLINK("https://yt3.ggpht.com/8JI1mPEgW9LXMplMcBcWUhINkMO4TyLUsLBBmuGl2wYoL1Im5Tm-XOohACA5vnr-E5cMcN_8m-o=s88-c-k-c0x00ffffff-no-rj")</f>
        <v>https://yt3.ggpht.com/8JI1mPEgW9LXMplMcBcWUhINkMO4TyLUsLBBmuGl2wYoL1Im5Tm-XOohACA5vnr-E5cMcN_8m-o=s88-c-k-c0x00ffffff-no-rj</v>
      </c>
      <c r="G528" s="67"/>
      <c r="H528" s="71" t="s">
        <v>1811</v>
      </c>
      <c r="I528" s="72"/>
      <c r="J528" s="72" t="s">
        <v>159</v>
      </c>
      <c r="K528" s="71" t="s">
        <v>1811</v>
      </c>
      <c r="L528" s="75">
        <v>1</v>
      </c>
      <c r="M528" s="76">
        <v>3388.94482421875</v>
      </c>
      <c r="N528" s="76">
        <v>4011.018798828125</v>
      </c>
      <c r="O528" s="77"/>
      <c r="P528" s="78"/>
      <c r="Q528" s="78"/>
      <c r="R528" s="88"/>
      <c r="S528" s="49">
        <v>0</v>
      </c>
      <c r="T528" s="49">
        <v>1</v>
      </c>
      <c r="U528" s="50">
        <v>0</v>
      </c>
      <c r="V528" s="50">
        <v>0.135911</v>
      </c>
      <c r="W528" s="50">
        <v>0</v>
      </c>
      <c r="X528" s="50">
        <v>0.00158</v>
      </c>
      <c r="Y528" s="50">
        <v>0</v>
      </c>
      <c r="Z528" s="50">
        <v>0</v>
      </c>
      <c r="AA528" s="73">
        <v>528</v>
      </c>
      <c r="AB528" s="73"/>
      <c r="AC528" s="74"/>
      <c r="AD528" s="81" t="s">
        <v>1811</v>
      </c>
      <c r="AE528" s="81"/>
      <c r="AF528" s="81"/>
      <c r="AG528" s="81"/>
      <c r="AH528" s="81"/>
      <c r="AI528" s="81" t="s">
        <v>2544</v>
      </c>
      <c r="AJ528" s="85">
        <v>41414.03325231482</v>
      </c>
      <c r="AK528" s="83" t="str">
        <f>HYPERLINK("https://yt3.ggpht.com/8JI1mPEgW9LXMplMcBcWUhINkMO4TyLUsLBBmuGl2wYoL1Im5Tm-XOohACA5vnr-E5cMcN_8m-o=s88-c-k-c0x00ffffff-no-rj")</f>
        <v>https://yt3.ggpht.com/8JI1mPEgW9LXMplMcBcWUhINkMO4TyLUsLBBmuGl2wYoL1Im5Tm-XOohACA5vnr-E5cMcN_8m-o=s88-c-k-c0x00ffffff-no-rj</v>
      </c>
      <c r="AL528" s="81">
        <v>0</v>
      </c>
      <c r="AM528" s="81">
        <v>0</v>
      </c>
      <c r="AN528" s="81">
        <v>4</v>
      </c>
      <c r="AO528" s="81" t="b">
        <v>0</v>
      </c>
      <c r="AP528" s="81">
        <v>0</v>
      </c>
      <c r="AQ528" s="81"/>
      <c r="AR528" s="81"/>
      <c r="AS528" s="81" t="s">
        <v>2571</v>
      </c>
      <c r="AT528" s="83" t="str">
        <f>HYPERLINK("https://www.youtube.com/channel/UCpxyF835h0owQBODKyblEZg")</f>
        <v>https://www.youtube.com/channel/UCpxyF835h0owQBODKyblEZg</v>
      </c>
      <c r="AU528" s="81">
        <v>2</v>
      </c>
      <c r="AV528" s="49">
        <v>2</v>
      </c>
      <c r="AW528" s="50">
        <v>3.508771929824561</v>
      </c>
      <c r="AX528" s="49">
        <v>1</v>
      </c>
      <c r="AY528" s="50">
        <v>1.7543859649122806</v>
      </c>
      <c r="AZ528" s="49">
        <v>0</v>
      </c>
      <c r="BA528" s="50">
        <v>0</v>
      </c>
      <c r="BB528" s="49">
        <v>13</v>
      </c>
      <c r="BC528" s="50">
        <v>22.80701754385965</v>
      </c>
      <c r="BD528" s="49">
        <v>57</v>
      </c>
      <c r="BE528" s="49"/>
      <c r="BF528" s="49"/>
      <c r="BG528" s="49"/>
      <c r="BH528" s="49"/>
      <c r="BI528" s="49"/>
      <c r="BJ528" s="49"/>
      <c r="BK528" s="115" t="s">
        <v>3043</v>
      </c>
      <c r="BL528" s="115" t="s">
        <v>3043</v>
      </c>
      <c r="BM528" s="115" t="s">
        <v>3486</v>
      </c>
      <c r="BN528" s="115" t="s">
        <v>3486</v>
      </c>
      <c r="BO528" s="2"/>
      <c r="BP528" s="3"/>
      <c r="BQ528" s="3"/>
      <c r="BR528" s="3"/>
      <c r="BS528" s="3"/>
    </row>
    <row r="529" spans="1:71" ht="15">
      <c r="A529" s="66" t="s">
        <v>747</v>
      </c>
      <c r="B529" s="67"/>
      <c r="C529" s="67"/>
      <c r="D529" s="68">
        <v>150</v>
      </c>
      <c r="E529" s="70"/>
      <c r="F529" s="102" t="str">
        <f>HYPERLINK("https://yt3.ggpht.com/ytc/AOPolaTj8V6VRRRysfOZThAl00h6VKUgyA_ar7GYuw=s88-c-k-c0x00ffffff-no-rj")</f>
        <v>https://yt3.ggpht.com/ytc/AOPolaTj8V6VRRRysfOZThAl00h6VKUgyA_ar7GYuw=s88-c-k-c0x00ffffff-no-rj</v>
      </c>
      <c r="G529" s="67"/>
      <c r="H529" s="71" t="s">
        <v>1812</v>
      </c>
      <c r="I529" s="72"/>
      <c r="J529" s="72" t="s">
        <v>159</v>
      </c>
      <c r="K529" s="71" t="s">
        <v>1812</v>
      </c>
      <c r="L529" s="75">
        <v>1</v>
      </c>
      <c r="M529" s="76">
        <v>622.198486328125</v>
      </c>
      <c r="N529" s="76">
        <v>1519.5777587890625</v>
      </c>
      <c r="O529" s="77"/>
      <c r="P529" s="78"/>
      <c r="Q529" s="78"/>
      <c r="R529" s="88"/>
      <c r="S529" s="49">
        <v>0</v>
      </c>
      <c r="T529" s="49">
        <v>1</v>
      </c>
      <c r="U529" s="50">
        <v>0</v>
      </c>
      <c r="V529" s="50">
        <v>0.135911</v>
      </c>
      <c r="W529" s="50">
        <v>0</v>
      </c>
      <c r="X529" s="50">
        <v>0.00158</v>
      </c>
      <c r="Y529" s="50">
        <v>0</v>
      </c>
      <c r="Z529" s="50">
        <v>0</v>
      </c>
      <c r="AA529" s="73">
        <v>529</v>
      </c>
      <c r="AB529" s="73"/>
      <c r="AC529" s="74"/>
      <c r="AD529" s="81" t="s">
        <v>1812</v>
      </c>
      <c r="AE529" s="81"/>
      <c r="AF529" s="81"/>
      <c r="AG529" s="81"/>
      <c r="AH529" s="81"/>
      <c r="AI529" s="81" t="s">
        <v>2545</v>
      </c>
      <c r="AJ529" s="85">
        <v>41480.006423611114</v>
      </c>
      <c r="AK529" s="83" t="str">
        <f>HYPERLINK("https://yt3.ggpht.com/ytc/AOPolaTj8V6VRRRysfOZThAl00h6VKUgyA_ar7GYuw=s88-c-k-c0x00ffffff-no-rj")</f>
        <v>https://yt3.ggpht.com/ytc/AOPolaTj8V6VRRRysfOZThAl00h6VKUgyA_ar7GYuw=s88-c-k-c0x00ffffff-no-rj</v>
      </c>
      <c r="AL529" s="81">
        <v>0</v>
      </c>
      <c r="AM529" s="81">
        <v>0</v>
      </c>
      <c r="AN529" s="81">
        <v>3</v>
      </c>
      <c r="AO529" s="81" t="b">
        <v>0</v>
      </c>
      <c r="AP529" s="81">
        <v>0</v>
      </c>
      <c r="AQ529" s="81"/>
      <c r="AR529" s="81"/>
      <c r="AS529" s="81" t="s">
        <v>2571</v>
      </c>
      <c r="AT529" s="83" t="str">
        <f>HYPERLINK("https://www.youtube.com/channel/UCoeVqZ8vEtP-zulwW0cPozA")</f>
        <v>https://www.youtube.com/channel/UCoeVqZ8vEtP-zulwW0cPozA</v>
      </c>
      <c r="AU529" s="81">
        <v>2</v>
      </c>
      <c r="AV529" s="49">
        <v>0</v>
      </c>
      <c r="AW529" s="50">
        <v>0</v>
      </c>
      <c r="AX529" s="49">
        <v>2</v>
      </c>
      <c r="AY529" s="50">
        <v>25</v>
      </c>
      <c r="AZ529" s="49">
        <v>0</v>
      </c>
      <c r="BA529" s="50">
        <v>0</v>
      </c>
      <c r="BB529" s="49">
        <v>4</v>
      </c>
      <c r="BC529" s="50">
        <v>50</v>
      </c>
      <c r="BD529" s="49">
        <v>8</v>
      </c>
      <c r="BE529" s="49"/>
      <c r="BF529" s="49"/>
      <c r="BG529" s="49"/>
      <c r="BH529" s="49"/>
      <c r="BI529" s="49"/>
      <c r="BJ529" s="49"/>
      <c r="BK529" s="115" t="s">
        <v>3044</v>
      </c>
      <c r="BL529" s="115" t="s">
        <v>3044</v>
      </c>
      <c r="BM529" s="115" t="s">
        <v>3487</v>
      </c>
      <c r="BN529" s="115" t="s">
        <v>3487</v>
      </c>
      <c r="BO529" s="2"/>
      <c r="BP529" s="3"/>
      <c r="BQ529" s="3"/>
      <c r="BR529" s="3"/>
      <c r="BS529" s="3"/>
    </row>
    <row r="530" spans="1:71" ht="15">
      <c r="A530" s="66" t="s">
        <v>748</v>
      </c>
      <c r="B530" s="67"/>
      <c r="C530" s="67"/>
      <c r="D530" s="68">
        <v>150</v>
      </c>
      <c r="E530" s="70"/>
      <c r="F530" s="102" t="str">
        <f>HYPERLINK("https://yt3.ggpht.com/69FaZigaXdjDmc3QGmRM9OArEksEYT9lpFULmvEP3oDn6hurbpiRxPg-dOcZhiZs4fC9VlOTckM=s88-c-k-c0x00ffffff-no-rj")</f>
        <v>https://yt3.ggpht.com/69FaZigaXdjDmc3QGmRM9OArEksEYT9lpFULmvEP3oDn6hurbpiRxPg-dOcZhiZs4fC9VlOTckM=s88-c-k-c0x00ffffff-no-rj</v>
      </c>
      <c r="G530" s="67"/>
      <c r="H530" s="71" t="s">
        <v>1813</v>
      </c>
      <c r="I530" s="72"/>
      <c r="J530" s="72" t="s">
        <v>159</v>
      </c>
      <c r="K530" s="71" t="s">
        <v>1813</v>
      </c>
      <c r="L530" s="75">
        <v>1</v>
      </c>
      <c r="M530" s="76">
        <v>981.6630859375</v>
      </c>
      <c r="N530" s="76">
        <v>3225.376708984375</v>
      </c>
      <c r="O530" s="77"/>
      <c r="P530" s="78"/>
      <c r="Q530" s="78"/>
      <c r="R530" s="88"/>
      <c r="S530" s="49">
        <v>0</v>
      </c>
      <c r="T530" s="49">
        <v>1</v>
      </c>
      <c r="U530" s="50">
        <v>0</v>
      </c>
      <c r="V530" s="50">
        <v>0.135911</v>
      </c>
      <c r="W530" s="50">
        <v>0</v>
      </c>
      <c r="X530" s="50">
        <v>0.00158</v>
      </c>
      <c r="Y530" s="50">
        <v>0</v>
      </c>
      <c r="Z530" s="50">
        <v>0</v>
      </c>
      <c r="AA530" s="73">
        <v>530</v>
      </c>
      <c r="AB530" s="73"/>
      <c r="AC530" s="74"/>
      <c r="AD530" s="81" t="s">
        <v>1813</v>
      </c>
      <c r="AE530" s="81"/>
      <c r="AF530" s="81"/>
      <c r="AG530" s="81"/>
      <c r="AH530" s="81"/>
      <c r="AI530" s="81" t="s">
        <v>2546</v>
      </c>
      <c r="AJ530" s="85">
        <v>44608.748020833336</v>
      </c>
      <c r="AK530" s="83" t="str">
        <f>HYPERLINK("https://yt3.ggpht.com/69FaZigaXdjDmc3QGmRM9OArEksEYT9lpFULmvEP3oDn6hurbpiRxPg-dOcZhiZs4fC9VlOTckM=s88-c-k-c0x00ffffff-no-rj")</f>
        <v>https://yt3.ggpht.com/69FaZigaXdjDmc3QGmRM9OArEksEYT9lpFULmvEP3oDn6hurbpiRxPg-dOcZhiZs4fC9VlOTckM=s88-c-k-c0x00ffffff-no-rj</v>
      </c>
      <c r="AL530" s="81">
        <v>1221</v>
      </c>
      <c r="AM530" s="81">
        <v>0</v>
      </c>
      <c r="AN530" s="81">
        <v>2</v>
      </c>
      <c r="AO530" s="81" t="b">
        <v>0</v>
      </c>
      <c r="AP530" s="81">
        <v>2</v>
      </c>
      <c r="AQ530" s="81"/>
      <c r="AR530" s="81"/>
      <c r="AS530" s="81" t="s">
        <v>2571</v>
      </c>
      <c r="AT530" s="83" t="str">
        <f>HYPERLINK("https://www.youtube.com/channel/UCq2KGwWgjEdkhrVX8Or0nUA")</f>
        <v>https://www.youtube.com/channel/UCq2KGwWgjEdkhrVX8Or0nUA</v>
      </c>
      <c r="AU530" s="81">
        <v>2</v>
      </c>
      <c r="AV530" s="49">
        <v>0</v>
      </c>
      <c r="AW530" s="50">
        <v>0</v>
      </c>
      <c r="AX530" s="49">
        <v>2</v>
      </c>
      <c r="AY530" s="50">
        <v>9.523809523809524</v>
      </c>
      <c r="AZ530" s="49">
        <v>0</v>
      </c>
      <c r="BA530" s="50">
        <v>0</v>
      </c>
      <c r="BB530" s="49">
        <v>7</v>
      </c>
      <c r="BC530" s="50">
        <v>33.333333333333336</v>
      </c>
      <c r="BD530" s="49">
        <v>21</v>
      </c>
      <c r="BE530" s="49"/>
      <c r="BF530" s="49"/>
      <c r="BG530" s="49"/>
      <c r="BH530" s="49"/>
      <c r="BI530" s="49"/>
      <c r="BJ530" s="49"/>
      <c r="BK530" s="115" t="s">
        <v>3045</v>
      </c>
      <c r="BL530" s="115" t="s">
        <v>3045</v>
      </c>
      <c r="BM530" s="115" t="s">
        <v>3488</v>
      </c>
      <c r="BN530" s="115" t="s">
        <v>3488</v>
      </c>
      <c r="BO530" s="2"/>
      <c r="BP530" s="3"/>
      <c r="BQ530" s="3"/>
      <c r="BR530" s="3"/>
      <c r="BS530" s="3"/>
    </row>
    <row r="531" spans="1:71" ht="15">
      <c r="A531" s="66" t="s">
        <v>749</v>
      </c>
      <c r="B531" s="67"/>
      <c r="C531" s="67"/>
      <c r="D531" s="68">
        <v>150</v>
      </c>
      <c r="E531" s="70"/>
      <c r="F531" s="102" t="str">
        <f>HYPERLINK("https://yt3.ggpht.com/ytc/AOPolaQf2U6JEuk4IMly_KzBCoH5iwBg7V3QL_3NW7QUmSz4oiI8Xz-OHz1X3Vinb69B=s88-c-k-c0x00ffffff-no-rj")</f>
        <v>https://yt3.ggpht.com/ytc/AOPolaQf2U6JEuk4IMly_KzBCoH5iwBg7V3QL_3NW7QUmSz4oiI8Xz-OHz1X3Vinb69B=s88-c-k-c0x00ffffff-no-rj</v>
      </c>
      <c r="G531" s="67"/>
      <c r="H531" s="71" t="s">
        <v>1814</v>
      </c>
      <c r="I531" s="72"/>
      <c r="J531" s="72" t="s">
        <v>159</v>
      </c>
      <c r="K531" s="71" t="s">
        <v>1814</v>
      </c>
      <c r="L531" s="75">
        <v>1</v>
      </c>
      <c r="M531" s="76">
        <v>3738.707763671875</v>
      </c>
      <c r="N531" s="76">
        <v>1082.9324951171875</v>
      </c>
      <c r="O531" s="77"/>
      <c r="P531" s="78"/>
      <c r="Q531" s="78"/>
      <c r="R531" s="88"/>
      <c r="S531" s="49">
        <v>0</v>
      </c>
      <c r="T531" s="49">
        <v>1</v>
      </c>
      <c r="U531" s="50">
        <v>0</v>
      </c>
      <c r="V531" s="50">
        <v>0.135911</v>
      </c>
      <c r="W531" s="50">
        <v>0</v>
      </c>
      <c r="X531" s="50">
        <v>0.00158</v>
      </c>
      <c r="Y531" s="50">
        <v>0</v>
      </c>
      <c r="Z531" s="50">
        <v>0</v>
      </c>
      <c r="AA531" s="73">
        <v>531</v>
      </c>
      <c r="AB531" s="73"/>
      <c r="AC531" s="74"/>
      <c r="AD531" s="81" t="s">
        <v>1814</v>
      </c>
      <c r="AE531" s="81"/>
      <c r="AF531" s="81"/>
      <c r="AG531" s="81"/>
      <c r="AH531" s="81"/>
      <c r="AI531" s="81" t="s">
        <v>2547</v>
      </c>
      <c r="AJ531" s="85">
        <v>44949.0796875</v>
      </c>
      <c r="AK531" s="83" t="str">
        <f>HYPERLINK("https://yt3.ggpht.com/ytc/AOPolaQf2U6JEuk4IMly_KzBCoH5iwBg7V3QL_3NW7QUmSz4oiI8Xz-OHz1X3Vinb69B=s88-c-k-c0x00ffffff-no-rj")</f>
        <v>https://yt3.ggpht.com/ytc/AOPolaQf2U6JEuk4IMly_KzBCoH5iwBg7V3QL_3NW7QUmSz4oiI8Xz-OHz1X3Vinb69B=s88-c-k-c0x00ffffff-no-rj</v>
      </c>
      <c r="AL531" s="81">
        <v>0</v>
      </c>
      <c r="AM531" s="81">
        <v>0</v>
      </c>
      <c r="AN531" s="81">
        <v>0</v>
      </c>
      <c r="AO531" s="81" t="b">
        <v>0</v>
      </c>
      <c r="AP531" s="81">
        <v>0</v>
      </c>
      <c r="AQ531" s="81"/>
      <c r="AR531" s="81"/>
      <c r="AS531" s="81" t="s">
        <v>2571</v>
      </c>
      <c r="AT531" s="83" t="str">
        <f>HYPERLINK("https://www.youtube.com/channel/UCU7a7E1vVVarstk6QbGuZew")</f>
        <v>https://www.youtube.com/channel/UCU7a7E1vVVarstk6QbGuZew</v>
      </c>
      <c r="AU531" s="81">
        <v>2</v>
      </c>
      <c r="AV531" s="49">
        <v>0</v>
      </c>
      <c r="AW531" s="50">
        <v>0</v>
      </c>
      <c r="AX531" s="49">
        <v>0</v>
      </c>
      <c r="AY531" s="50">
        <v>0</v>
      </c>
      <c r="AZ531" s="49">
        <v>0</v>
      </c>
      <c r="BA531" s="50">
        <v>0</v>
      </c>
      <c r="BB531" s="49">
        <v>5</v>
      </c>
      <c r="BC531" s="50">
        <v>71.42857142857143</v>
      </c>
      <c r="BD531" s="49">
        <v>7</v>
      </c>
      <c r="BE531" s="49"/>
      <c r="BF531" s="49"/>
      <c r="BG531" s="49"/>
      <c r="BH531" s="49"/>
      <c r="BI531" s="49"/>
      <c r="BJ531" s="49"/>
      <c r="BK531" s="115" t="s">
        <v>3046</v>
      </c>
      <c r="BL531" s="115" t="s">
        <v>3046</v>
      </c>
      <c r="BM531" s="115" t="s">
        <v>3489</v>
      </c>
      <c r="BN531" s="115" t="s">
        <v>3489</v>
      </c>
      <c r="BO531" s="2"/>
      <c r="BP531" s="3"/>
      <c r="BQ531" s="3"/>
      <c r="BR531" s="3"/>
      <c r="BS531" s="3"/>
    </row>
    <row r="532" spans="1:71" ht="15">
      <c r="A532" s="66" t="s">
        <v>750</v>
      </c>
      <c r="B532" s="67"/>
      <c r="C532" s="67"/>
      <c r="D532" s="68">
        <v>150</v>
      </c>
      <c r="E532" s="70"/>
      <c r="F532" s="102" t="str">
        <f>HYPERLINK("https://yt3.ggpht.com/ytc/AOPolaQqGNO1JSsgPAYC6m3m8qFnSYFQx2vJ9hTV9J0f0Q=s88-c-k-c0x00ffffff-no-rj")</f>
        <v>https://yt3.ggpht.com/ytc/AOPolaQqGNO1JSsgPAYC6m3m8qFnSYFQx2vJ9hTV9J0f0Q=s88-c-k-c0x00ffffff-no-rj</v>
      </c>
      <c r="G532" s="67"/>
      <c r="H532" s="71" t="s">
        <v>1815</v>
      </c>
      <c r="I532" s="72"/>
      <c r="J532" s="72" t="s">
        <v>159</v>
      </c>
      <c r="K532" s="71" t="s">
        <v>1815</v>
      </c>
      <c r="L532" s="75">
        <v>1</v>
      </c>
      <c r="M532" s="76">
        <v>2192.912109375</v>
      </c>
      <c r="N532" s="76">
        <v>323.2610778808594</v>
      </c>
      <c r="O532" s="77"/>
      <c r="P532" s="78"/>
      <c r="Q532" s="78"/>
      <c r="R532" s="88"/>
      <c r="S532" s="49">
        <v>0</v>
      </c>
      <c r="T532" s="49">
        <v>1</v>
      </c>
      <c r="U532" s="50">
        <v>0</v>
      </c>
      <c r="V532" s="50">
        <v>0.135911</v>
      </c>
      <c r="W532" s="50">
        <v>0</v>
      </c>
      <c r="X532" s="50">
        <v>0.00158</v>
      </c>
      <c r="Y532" s="50">
        <v>0</v>
      </c>
      <c r="Z532" s="50">
        <v>0</v>
      </c>
      <c r="AA532" s="73">
        <v>532</v>
      </c>
      <c r="AB532" s="73"/>
      <c r="AC532" s="74"/>
      <c r="AD532" s="81" t="s">
        <v>1815</v>
      </c>
      <c r="AE532" s="81"/>
      <c r="AF532" s="81"/>
      <c r="AG532" s="81"/>
      <c r="AH532" s="81"/>
      <c r="AI532" s="81" t="s">
        <v>2548</v>
      </c>
      <c r="AJ532" s="85">
        <v>42269.9012037037</v>
      </c>
      <c r="AK532" s="83" t="str">
        <f>HYPERLINK("https://yt3.ggpht.com/ytc/AOPolaQqGNO1JSsgPAYC6m3m8qFnSYFQx2vJ9hTV9J0f0Q=s88-c-k-c0x00ffffff-no-rj")</f>
        <v>https://yt3.ggpht.com/ytc/AOPolaQqGNO1JSsgPAYC6m3m8qFnSYFQx2vJ9hTV9J0f0Q=s88-c-k-c0x00ffffff-no-rj</v>
      </c>
      <c r="AL532" s="81">
        <v>0</v>
      </c>
      <c r="AM532" s="81">
        <v>0</v>
      </c>
      <c r="AN532" s="81">
        <v>0</v>
      </c>
      <c r="AO532" s="81" t="b">
        <v>0</v>
      </c>
      <c r="AP532" s="81">
        <v>0</v>
      </c>
      <c r="AQ532" s="81"/>
      <c r="AR532" s="81"/>
      <c r="AS532" s="81" t="s">
        <v>2571</v>
      </c>
      <c r="AT532" s="83" t="str">
        <f>HYPERLINK("https://www.youtube.com/channel/UCsQZw5xNPYzlK6-Wgocxa2Q")</f>
        <v>https://www.youtube.com/channel/UCsQZw5xNPYzlK6-Wgocxa2Q</v>
      </c>
      <c r="AU532" s="81">
        <v>2</v>
      </c>
      <c r="AV532" s="49">
        <v>0</v>
      </c>
      <c r="AW532" s="50">
        <v>0</v>
      </c>
      <c r="AX532" s="49">
        <v>1</v>
      </c>
      <c r="AY532" s="50">
        <v>7.142857142857143</v>
      </c>
      <c r="AZ532" s="49">
        <v>0</v>
      </c>
      <c r="BA532" s="50">
        <v>0</v>
      </c>
      <c r="BB532" s="49">
        <v>6</v>
      </c>
      <c r="BC532" s="50">
        <v>42.857142857142854</v>
      </c>
      <c r="BD532" s="49">
        <v>14</v>
      </c>
      <c r="BE532" s="49"/>
      <c r="BF532" s="49"/>
      <c r="BG532" s="49"/>
      <c r="BH532" s="49"/>
      <c r="BI532" s="49"/>
      <c r="BJ532" s="49"/>
      <c r="BK532" s="115" t="s">
        <v>3047</v>
      </c>
      <c r="BL532" s="115" t="s">
        <v>3047</v>
      </c>
      <c r="BM532" s="115" t="s">
        <v>3490</v>
      </c>
      <c r="BN532" s="115" t="s">
        <v>3490</v>
      </c>
      <c r="BO532" s="2"/>
      <c r="BP532" s="3"/>
      <c r="BQ532" s="3"/>
      <c r="BR532" s="3"/>
      <c r="BS532" s="3"/>
    </row>
    <row r="533" spans="1:71" ht="15">
      <c r="A533" s="66" t="s">
        <v>751</v>
      </c>
      <c r="B533" s="67"/>
      <c r="C533" s="67"/>
      <c r="D533" s="68">
        <v>150</v>
      </c>
      <c r="E533" s="70"/>
      <c r="F533" s="102" t="str">
        <f>HYPERLINK("https://yt3.ggpht.com/ytc/AOPolaQ1nMfCJpG96IgPMFENbJhbYFECV2znz1r1QQ=s88-c-k-c0x00ffffff-no-rj")</f>
        <v>https://yt3.ggpht.com/ytc/AOPolaQ1nMfCJpG96IgPMFENbJhbYFECV2znz1r1QQ=s88-c-k-c0x00ffffff-no-rj</v>
      </c>
      <c r="G533" s="67"/>
      <c r="H533" s="71" t="s">
        <v>1816</v>
      </c>
      <c r="I533" s="72"/>
      <c r="J533" s="72" t="s">
        <v>159</v>
      </c>
      <c r="K533" s="71" t="s">
        <v>1816</v>
      </c>
      <c r="L533" s="75">
        <v>1</v>
      </c>
      <c r="M533" s="76">
        <v>4059.66259765625</v>
      </c>
      <c r="N533" s="76">
        <v>4062.20654296875</v>
      </c>
      <c r="O533" s="77"/>
      <c r="P533" s="78"/>
      <c r="Q533" s="78"/>
      <c r="R533" s="88"/>
      <c r="S533" s="49">
        <v>0</v>
      </c>
      <c r="T533" s="49">
        <v>1</v>
      </c>
      <c r="U533" s="50">
        <v>0</v>
      </c>
      <c r="V533" s="50">
        <v>0.135911</v>
      </c>
      <c r="W533" s="50">
        <v>0</v>
      </c>
      <c r="X533" s="50">
        <v>0.00158</v>
      </c>
      <c r="Y533" s="50">
        <v>0</v>
      </c>
      <c r="Z533" s="50">
        <v>0</v>
      </c>
      <c r="AA533" s="73">
        <v>533</v>
      </c>
      <c r="AB533" s="73"/>
      <c r="AC533" s="74"/>
      <c r="AD533" s="81" t="s">
        <v>1816</v>
      </c>
      <c r="AE533" s="81"/>
      <c r="AF533" s="81"/>
      <c r="AG533" s="81"/>
      <c r="AH533" s="81"/>
      <c r="AI533" s="81" t="s">
        <v>2549</v>
      </c>
      <c r="AJ533" s="85">
        <v>41536.53859953704</v>
      </c>
      <c r="AK533" s="83" t="str">
        <f>HYPERLINK("https://yt3.ggpht.com/ytc/AOPolaQ1nMfCJpG96IgPMFENbJhbYFECV2znz1r1QQ=s88-c-k-c0x00ffffff-no-rj")</f>
        <v>https://yt3.ggpht.com/ytc/AOPolaQ1nMfCJpG96IgPMFENbJhbYFECV2znz1r1QQ=s88-c-k-c0x00ffffff-no-rj</v>
      </c>
      <c r="AL533" s="81">
        <v>0</v>
      </c>
      <c r="AM533" s="81">
        <v>0</v>
      </c>
      <c r="AN533" s="81">
        <v>1</v>
      </c>
      <c r="AO533" s="81" t="b">
        <v>0</v>
      </c>
      <c r="AP533" s="81">
        <v>0</v>
      </c>
      <c r="AQ533" s="81"/>
      <c r="AR533" s="81"/>
      <c r="AS533" s="81" t="s">
        <v>2571</v>
      </c>
      <c r="AT533" s="83" t="str">
        <f>HYPERLINK("https://www.youtube.com/channel/UC8GtSV9GhYff3M5XGJ54aXw")</f>
        <v>https://www.youtube.com/channel/UC8GtSV9GhYff3M5XGJ54aXw</v>
      </c>
      <c r="AU533" s="81">
        <v>2</v>
      </c>
      <c r="AV533" s="49">
        <v>1</v>
      </c>
      <c r="AW533" s="50">
        <v>2.272727272727273</v>
      </c>
      <c r="AX533" s="49">
        <v>1</v>
      </c>
      <c r="AY533" s="50">
        <v>2.272727272727273</v>
      </c>
      <c r="AZ533" s="49">
        <v>0</v>
      </c>
      <c r="BA533" s="50">
        <v>0</v>
      </c>
      <c r="BB533" s="49">
        <v>13</v>
      </c>
      <c r="BC533" s="50">
        <v>29.545454545454547</v>
      </c>
      <c r="BD533" s="49">
        <v>44</v>
      </c>
      <c r="BE533" s="49"/>
      <c r="BF533" s="49"/>
      <c r="BG533" s="49"/>
      <c r="BH533" s="49"/>
      <c r="BI533" s="49"/>
      <c r="BJ533" s="49"/>
      <c r="BK533" s="115" t="s">
        <v>3048</v>
      </c>
      <c r="BL533" s="115" t="s">
        <v>3048</v>
      </c>
      <c r="BM533" s="115" t="s">
        <v>3491</v>
      </c>
      <c r="BN533" s="115" t="s">
        <v>3491</v>
      </c>
      <c r="BO533" s="2"/>
      <c r="BP533" s="3"/>
      <c r="BQ533" s="3"/>
      <c r="BR533" s="3"/>
      <c r="BS533" s="3"/>
    </row>
    <row r="534" spans="1:71" ht="15">
      <c r="A534" s="66" t="s">
        <v>752</v>
      </c>
      <c r="B534" s="67"/>
      <c r="C534" s="67"/>
      <c r="D534" s="68">
        <v>150</v>
      </c>
      <c r="E534" s="70"/>
      <c r="F534" s="102" t="str">
        <f>HYPERLINK("https://yt3.ggpht.com/ytc/AOPolaTGZ1rxR9PS7Y8Wlxwyc0M73C3bYrnsnvn0y21q=s88-c-k-c0x00ffffff-no-rj")</f>
        <v>https://yt3.ggpht.com/ytc/AOPolaTGZ1rxR9PS7Y8Wlxwyc0M73C3bYrnsnvn0y21q=s88-c-k-c0x00ffffff-no-rj</v>
      </c>
      <c r="G534" s="67"/>
      <c r="H534" s="71" t="s">
        <v>1817</v>
      </c>
      <c r="I534" s="72"/>
      <c r="J534" s="72" t="s">
        <v>159</v>
      </c>
      <c r="K534" s="71" t="s">
        <v>1817</v>
      </c>
      <c r="L534" s="75">
        <v>1</v>
      </c>
      <c r="M534" s="76">
        <v>1108.9781494140625</v>
      </c>
      <c r="N534" s="76">
        <v>2092.20751953125</v>
      </c>
      <c r="O534" s="77"/>
      <c r="P534" s="78"/>
      <c r="Q534" s="78"/>
      <c r="R534" s="88"/>
      <c r="S534" s="49">
        <v>0</v>
      </c>
      <c r="T534" s="49">
        <v>1</v>
      </c>
      <c r="U534" s="50">
        <v>0</v>
      </c>
      <c r="V534" s="50">
        <v>0.135911</v>
      </c>
      <c r="W534" s="50">
        <v>0</v>
      </c>
      <c r="X534" s="50">
        <v>0.00158</v>
      </c>
      <c r="Y534" s="50">
        <v>0</v>
      </c>
      <c r="Z534" s="50">
        <v>0</v>
      </c>
      <c r="AA534" s="73">
        <v>534</v>
      </c>
      <c r="AB534" s="73"/>
      <c r="AC534" s="74"/>
      <c r="AD534" s="81" t="s">
        <v>1817</v>
      </c>
      <c r="AE534" s="81"/>
      <c r="AF534" s="81"/>
      <c r="AG534" s="81"/>
      <c r="AH534" s="81"/>
      <c r="AI534" s="81" t="s">
        <v>2550</v>
      </c>
      <c r="AJ534" s="85">
        <v>40819.60670138889</v>
      </c>
      <c r="AK534" s="83" t="str">
        <f>HYPERLINK("https://yt3.ggpht.com/ytc/AOPolaTGZ1rxR9PS7Y8Wlxwyc0M73C3bYrnsnvn0y21q=s88-c-k-c0x00ffffff-no-rj")</f>
        <v>https://yt3.ggpht.com/ytc/AOPolaTGZ1rxR9PS7Y8Wlxwyc0M73C3bYrnsnvn0y21q=s88-c-k-c0x00ffffff-no-rj</v>
      </c>
      <c r="AL534" s="81">
        <v>36</v>
      </c>
      <c r="AM534" s="81">
        <v>0</v>
      </c>
      <c r="AN534" s="81">
        <v>0</v>
      </c>
      <c r="AO534" s="81" t="b">
        <v>0</v>
      </c>
      <c r="AP534" s="81">
        <v>2</v>
      </c>
      <c r="AQ534" s="81"/>
      <c r="AR534" s="81"/>
      <c r="AS534" s="81" t="s">
        <v>2571</v>
      </c>
      <c r="AT534" s="83" t="str">
        <f>HYPERLINK("https://www.youtube.com/channel/UCPFy5FBbF6w5gBuLt7yDuoQ")</f>
        <v>https://www.youtube.com/channel/UCPFy5FBbF6w5gBuLt7yDuoQ</v>
      </c>
      <c r="AU534" s="81">
        <v>2</v>
      </c>
      <c r="AV534" s="49">
        <v>1</v>
      </c>
      <c r="AW534" s="50">
        <v>16.666666666666668</v>
      </c>
      <c r="AX534" s="49">
        <v>0</v>
      </c>
      <c r="AY534" s="50">
        <v>0</v>
      </c>
      <c r="AZ534" s="49">
        <v>0</v>
      </c>
      <c r="BA534" s="50">
        <v>0</v>
      </c>
      <c r="BB534" s="49">
        <v>1</v>
      </c>
      <c r="BC534" s="50">
        <v>16.666666666666668</v>
      </c>
      <c r="BD534" s="49">
        <v>6</v>
      </c>
      <c r="BE534" s="49"/>
      <c r="BF534" s="49"/>
      <c r="BG534" s="49"/>
      <c r="BH534" s="49"/>
      <c r="BI534" s="49"/>
      <c r="BJ534" s="49"/>
      <c r="BK534" s="115" t="s">
        <v>3049</v>
      </c>
      <c r="BL534" s="115" t="s">
        <v>3049</v>
      </c>
      <c r="BM534" s="115" t="s">
        <v>3492</v>
      </c>
      <c r="BN534" s="115" t="s">
        <v>3492</v>
      </c>
      <c r="BO534" s="2"/>
      <c r="BP534" s="3"/>
      <c r="BQ534" s="3"/>
      <c r="BR534" s="3"/>
      <c r="BS534" s="3"/>
    </row>
    <row r="535" spans="1:71" ht="15">
      <c r="A535" s="66" t="s">
        <v>753</v>
      </c>
      <c r="B535" s="67"/>
      <c r="C535" s="67"/>
      <c r="D535" s="68">
        <v>150</v>
      </c>
      <c r="E535" s="70"/>
      <c r="F535" s="102" t="str">
        <f>HYPERLINK("https://yt3.ggpht.com/ytc/AOPolaQXQAHPlWOc8vcjMOzvoSSIB3hzVgViBqtb8E136VMK44bJvpjZ2TVOWycIVCJu=s88-c-k-c0x00ffffff-no-rj")</f>
        <v>https://yt3.ggpht.com/ytc/AOPolaQXQAHPlWOc8vcjMOzvoSSIB3hzVgViBqtb8E136VMK44bJvpjZ2TVOWycIVCJu=s88-c-k-c0x00ffffff-no-rj</v>
      </c>
      <c r="G535" s="67"/>
      <c r="H535" s="71" t="s">
        <v>1818</v>
      </c>
      <c r="I535" s="72"/>
      <c r="J535" s="72" t="s">
        <v>159</v>
      </c>
      <c r="K535" s="71" t="s">
        <v>1818</v>
      </c>
      <c r="L535" s="75">
        <v>1</v>
      </c>
      <c r="M535" s="76">
        <v>3034.761962890625</v>
      </c>
      <c r="N535" s="76">
        <v>318.78912353515625</v>
      </c>
      <c r="O535" s="77"/>
      <c r="P535" s="78"/>
      <c r="Q535" s="78"/>
      <c r="R535" s="88"/>
      <c r="S535" s="49">
        <v>0</v>
      </c>
      <c r="T535" s="49">
        <v>1</v>
      </c>
      <c r="U535" s="50">
        <v>0</v>
      </c>
      <c r="V535" s="50">
        <v>0.135911</v>
      </c>
      <c r="W535" s="50">
        <v>0</v>
      </c>
      <c r="X535" s="50">
        <v>0.00158</v>
      </c>
      <c r="Y535" s="50">
        <v>0</v>
      </c>
      <c r="Z535" s="50">
        <v>0</v>
      </c>
      <c r="AA535" s="73">
        <v>535</v>
      </c>
      <c r="AB535" s="73"/>
      <c r="AC535" s="74"/>
      <c r="AD535" s="81" t="s">
        <v>1818</v>
      </c>
      <c r="AE535" s="81"/>
      <c r="AF535" s="81"/>
      <c r="AG535" s="81"/>
      <c r="AH535" s="81"/>
      <c r="AI535" s="81" t="s">
        <v>2551</v>
      </c>
      <c r="AJ535" s="85">
        <v>43817.24261574074</v>
      </c>
      <c r="AK535" s="83" t="str">
        <f>HYPERLINK("https://yt3.ggpht.com/ytc/AOPolaQXQAHPlWOc8vcjMOzvoSSIB3hzVgViBqtb8E136VMK44bJvpjZ2TVOWycIVCJu=s88-c-k-c0x00ffffff-no-rj")</f>
        <v>https://yt3.ggpht.com/ytc/AOPolaQXQAHPlWOc8vcjMOzvoSSIB3hzVgViBqtb8E136VMK44bJvpjZ2TVOWycIVCJu=s88-c-k-c0x00ffffff-no-rj</v>
      </c>
      <c r="AL535" s="81">
        <v>0</v>
      </c>
      <c r="AM535" s="81">
        <v>0</v>
      </c>
      <c r="AN535" s="81">
        <v>2</v>
      </c>
      <c r="AO535" s="81" t="b">
        <v>0</v>
      </c>
      <c r="AP535" s="81">
        <v>0</v>
      </c>
      <c r="AQ535" s="81"/>
      <c r="AR535" s="81"/>
      <c r="AS535" s="81" t="s">
        <v>2571</v>
      </c>
      <c r="AT535" s="83" t="str">
        <f>HYPERLINK("https://www.youtube.com/channel/UC_VTIa2BmuHAn0-hWEFNkjQ")</f>
        <v>https://www.youtube.com/channel/UC_VTIa2BmuHAn0-hWEFNkjQ</v>
      </c>
      <c r="AU535" s="81">
        <v>2</v>
      </c>
      <c r="AV535" s="49">
        <v>0</v>
      </c>
      <c r="AW535" s="50">
        <v>0</v>
      </c>
      <c r="AX535" s="49">
        <v>1</v>
      </c>
      <c r="AY535" s="50">
        <v>16.666666666666668</v>
      </c>
      <c r="AZ535" s="49">
        <v>0</v>
      </c>
      <c r="BA535" s="50">
        <v>0</v>
      </c>
      <c r="BB535" s="49">
        <v>2</v>
      </c>
      <c r="BC535" s="50">
        <v>33.333333333333336</v>
      </c>
      <c r="BD535" s="49">
        <v>6</v>
      </c>
      <c r="BE535" s="49"/>
      <c r="BF535" s="49"/>
      <c r="BG535" s="49"/>
      <c r="BH535" s="49"/>
      <c r="BI535" s="49"/>
      <c r="BJ535" s="49"/>
      <c r="BK535" s="115" t="s">
        <v>3050</v>
      </c>
      <c r="BL535" s="115" t="s">
        <v>3050</v>
      </c>
      <c r="BM535" s="115" t="s">
        <v>3493</v>
      </c>
      <c r="BN535" s="115" t="s">
        <v>3493</v>
      </c>
      <c r="BO535" s="2"/>
      <c r="BP535" s="3"/>
      <c r="BQ535" s="3"/>
      <c r="BR535" s="3"/>
      <c r="BS535" s="3"/>
    </row>
    <row r="536" spans="1:71" ht="15">
      <c r="A536" s="66" t="s">
        <v>754</v>
      </c>
      <c r="B536" s="67"/>
      <c r="C536" s="67"/>
      <c r="D536" s="68">
        <v>150</v>
      </c>
      <c r="E536" s="70"/>
      <c r="F536" s="102" t="str">
        <f>HYPERLINK("https://yt3.ggpht.com/ytc/AOPolaTUsNx-WePWU8M-A7xhmpv56VcencUOSL6ywFgc0vQ=s88-c-k-c0x00ffffff-no-rj")</f>
        <v>https://yt3.ggpht.com/ytc/AOPolaTUsNx-WePWU8M-A7xhmpv56VcencUOSL6ywFgc0vQ=s88-c-k-c0x00ffffff-no-rj</v>
      </c>
      <c r="G536" s="67"/>
      <c r="H536" s="71" t="s">
        <v>1819</v>
      </c>
      <c r="I536" s="72"/>
      <c r="J536" s="72" t="s">
        <v>159</v>
      </c>
      <c r="K536" s="71" t="s">
        <v>1819</v>
      </c>
      <c r="L536" s="75">
        <v>1</v>
      </c>
      <c r="M536" s="76">
        <v>1430.0601806640625</v>
      </c>
      <c r="N536" s="76">
        <v>1735.2384033203125</v>
      </c>
      <c r="O536" s="77"/>
      <c r="P536" s="78"/>
      <c r="Q536" s="78"/>
      <c r="R536" s="88"/>
      <c r="S536" s="49">
        <v>0</v>
      </c>
      <c r="T536" s="49">
        <v>1</v>
      </c>
      <c r="U536" s="50">
        <v>0</v>
      </c>
      <c r="V536" s="50">
        <v>0.135911</v>
      </c>
      <c r="W536" s="50">
        <v>0</v>
      </c>
      <c r="X536" s="50">
        <v>0.00158</v>
      </c>
      <c r="Y536" s="50">
        <v>0</v>
      </c>
      <c r="Z536" s="50">
        <v>0</v>
      </c>
      <c r="AA536" s="73">
        <v>536</v>
      </c>
      <c r="AB536" s="73"/>
      <c r="AC536" s="74"/>
      <c r="AD536" s="81" t="s">
        <v>1819</v>
      </c>
      <c r="AE536" s="81"/>
      <c r="AF536" s="81"/>
      <c r="AG536" s="81"/>
      <c r="AH536" s="81"/>
      <c r="AI536" s="81" t="s">
        <v>2552</v>
      </c>
      <c r="AJ536" s="85">
        <v>41194.888715277775</v>
      </c>
      <c r="AK536" s="83" t="str">
        <f>HYPERLINK("https://yt3.ggpht.com/ytc/AOPolaTUsNx-WePWU8M-A7xhmpv56VcencUOSL6ywFgc0vQ=s88-c-k-c0x00ffffff-no-rj")</f>
        <v>https://yt3.ggpht.com/ytc/AOPolaTUsNx-WePWU8M-A7xhmpv56VcencUOSL6ywFgc0vQ=s88-c-k-c0x00ffffff-no-rj</v>
      </c>
      <c r="AL536" s="81">
        <v>0</v>
      </c>
      <c r="AM536" s="81">
        <v>0</v>
      </c>
      <c r="AN536" s="81">
        <v>119</v>
      </c>
      <c r="AO536" s="81" t="b">
        <v>0</v>
      </c>
      <c r="AP536" s="81">
        <v>0</v>
      </c>
      <c r="AQ536" s="81"/>
      <c r="AR536" s="81"/>
      <c r="AS536" s="81" t="s">
        <v>2571</v>
      </c>
      <c r="AT536" s="83" t="str">
        <f>HYPERLINK("https://www.youtube.com/channel/UCtqI5iwQxmxR04uUCRtCiQg")</f>
        <v>https://www.youtube.com/channel/UCtqI5iwQxmxR04uUCRtCiQg</v>
      </c>
      <c r="AU536" s="81">
        <v>2</v>
      </c>
      <c r="AV536" s="49">
        <v>3</v>
      </c>
      <c r="AW536" s="50">
        <v>3.1578947368421053</v>
      </c>
      <c r="AX536" s="49">
        <v>3</v>
      </c>
      <c r="AY536" s="50">
        <v>3.1578947368421053</v>
      </c>
      <c r="AZ536" s="49">
        <v>0</v>
      </c>
      <c r="BA536" s="50">
        <v>0</v>
      </c>
      <c r="BB536" s="49">
        <v>34</v>
      </c>
      <c r="BC536" s="50">
        <v>35.78947368421053</v>
      </c>
      <c r="BD536" s="49">
        <v>95</v>
      </c>
      <c r="BE536" s="49"/>
      <c r="BF536" s="49"/>
      <c r="BG536" s="49"/>
      <c r="BH536" s="49"/>
      <c r="BI536" s="49"/>
      <c r="BJ536" s="49"/>
      <c r="BK536" s="115" t="s">
        <v>4572</v>
      </c>
      <c r="BL536" s="115" t="s">
        <v>4572</v>
      </c>
      <c r="BM536" s="115" t="s">
        <v>4595</v>
      </c>
      <c r="BN536" s="115" t="s">
        <v>4595</v>
      </c>
      <c r="BO536" s="2"/>
      <c r="BP536" s="3"/>
      <c r="BQ536" s="3"/>
      <c r="BR536" s="3"/>
      <c r="BS536" s="3"/>
    </row>
    <row r="537" spans="1:71" ht="15">
      <c r="A537" s="66" t="s">
        <v>755</v>
      </c>
      <c r="B537" s="67"/>
      <c r="C537" s="67"/>
      <c r="D537" s="68">
        <v>150</v>
      </c>
      <c r="E537" s="70"/>
      <c r="F537" s="102" t="str">
        <f>HYPERLINK("https://yt3.ggpht.com/ytc/AOPolaT-qhXdklGvJ4uAJuVJU3SB-nUmfPu0hoVCPQ=s88-c-k-c0x00ffffff-no-rj")</f>
        <v>https://yt3.ggpht.com/ytc/AOPolaT-qhXdklGvJ4uAJuVJU3SB-nUmfPu0hoVCPQ=s88-c-k-c0x00ffffff-no-rj</v>
      </c>
      <c r="G537" s="67"/>
      <c r="H537" s="71" t="s">
        <v>1820</v>
      </c>
      <c r="I537" s="72"/>
      <c r="J537" s="72" t="s">
        <v>159</v>
      </c>
      <c r="K537" s="71" t="s">
        <v>1820</v>
      </c>
      <c r="L537" s="75">
        <v>1</v>
      </c>
      <c r="M537" s="76">
        <v>3205.94580078125</v>
      </c>
      <c r="N537" s="76">
        <v>2478.956298828125</v>
      </c>
      <c r="O537" s="77"/>
      <c r="P537" s="78"/>
      <c r="Q537" s="78"/>
      <c r="R537" s="88"/>
      <c r="S537" s="49">
        <v>0</v>
      </c>
      <c r="T537" s="49">
        <v>1</v>
      </c>
      <c r="U537" s="50">
        <v>0</v>
      </c>
      <c r="V537" s="50">
        <v>0.135911</v>
      </c>
      <c r="W537" s="50">
        <v>0</v>
      </c>
      <c r="X537" s="50">
        <v>0.00158</v>
      </c>
      <c r="Y537" s="50">
        <v>0</v>
      </c>
      <c r="Z537" s="50">
        <v>0</v>
      </c>
      <c r="AA537" s="73">
        <v>537</v>
      </c>
      <c r="AB537" s="73"/>
      <c r="AC537" s="74"/>
      <c r="AD537" s="81" t="s">
        <v>1820</v>
      </c>
      <c r="AE537" s="81"/>
      <c r="AF537" s="81"/>
      <c r="AG537" s="81"/>
      <c r="AH537" s="81"/>
      <c r="AI537" s="81" t="s">
        <v>2553</v>
      </c>
      <c r="AJ537" s="85">
        <v>38819.08988425926</v>
      </c>
      <c r="AK537" s="83" t="str">
        <f>HYPERLINK("https://yt3.ggpht.com/ytc/AOPolaT-qhXdklGvJ4uAJuVJU3SB-nUmfPu0hoVCPQ=s88-c-k-c0x00ffffff-no-rj")</f>
        <v>https://yt3.ggpht.com/ytc/AOPolaT-qhXdklGvJ4uAJuVJU3SB-nUmfPu0hoVCPQ=s88-c-k-c0x00ffffff-no-rj</v>
      </c>
      <c r="AL537" s="81">
        <v>0</v>
      </c>
      <c r="AM537" s="81">
        <v>0</v>
      </c>
      <c r="AN537" s="81">
        <v>1</v>
      </c>
      <c r="AO537" s="81" t="b">
        <v>0</v>
      </c>
      <c r="AP537" s="81">
        <v>0</v>
      </c>
      <c r="AQ537" s="81"/>
      <c r="AR537" s="81"/>
      <c r="AS537" s="81" t="s">
        <v>2571</v>
      </c>
      <c r="AT537" s="83" t="str">
        <f>HYPERLINK("https://www.youtube.com/channel/UC9ghtevKnFxOoUAHiuQxdnA")</f>
        <v>https://www.youtube.com/channel/UC9ghtevKnFxOoUAHiuQxdnA</v>
      </c>
      <c r="AU537" s="81">
        <v>2</v>
      </c>
      <c r="AV537" s="49">
        <v>0</v>
      </c>
      <c r="AW537" s="50">
        <v>0</v>
      </c>
      <c r="AX537" s="49">
        <v>0</v>
      </c>
      <c r="AY537" s="50">
        <v>0</v>
      </c>
      <c r="AZ537" s="49">
        <v>0</v>
      </c>
      <c r="BA537" s="50">
        <v>0</v>
      </c>
      <c r="BB537" s="49">
        <v>8</v>
      </c>
      <c r="BC537" s="50">
        <v>42.10526315789474</v>
      </c>
      <c r="BD537" s="49">
        <v>19</v>
      </c>
      <c r="BE537" s="49"/>
      <c r="BF537" s="49"/>
      <c r="BG537" s="49"/>
      <c r="BH537" s="49"/>
      <c r="BI537" s="49"/>
      <c r="BJ537" s="49"/>
      <c r="BK537" s="115" t="s">
        <v>3051</v>
      </c>
      <c r="BL537" s="115" t="s">
        <v>3051</v>
      </c>
      <c r="BM537" s="115" t="s">
        <v>3494</v>
      </c>
      <c r="BN537" s="115" t="s">
        <v>3494</v>
      </c>
      <c r="BO537" s="2"/>
      <c r="BP537" s="3"/>
      <c r="BQ537" s="3"/>
      <c r="BR537" s="3"/>
      <c r="BS537" s="3"/>
    </row>
    <row r="538" spans="1:71" ht="15">
      <c r="A538" s="66" t="s">
        <v>756</v>
      </c>
      <c r="B538" s="67"/>
      <c r="C538" s="67"/>
      <c r="D538" s="68">
        <v>150</v>
      </c>
      <c r="E538" s="70"/>
      <c r="F538" s="102" t="str">
        <f>HYPERLINK("https://yt3.ggpht.com/I1K4V7fD5v43ZQNi7Td3EP9QapwaiDND-G6XcELlkeUntgXgLHw_MHa8l0L9GfVGaVPc5aLnzfM=s88-c-k-c0x00ffffff-no-rj")</f>
        <v>https://yt3.ggpht.com/I1K4V7fD5v43ZQNi7Td3EP9QapwaiDND-G6XcELlkeUntgXgLHw_MHa8l0L9GfVGaVPc5aLnzfM=s88-c-k-c0x00ffffff-no-rj</v>
      </c>
      <c r="G538" s="67"/>
      <c r="H538" s="71" t="s">
        <v>1821</v>
      </c>
      <c r="I538" s="72"/>
      <c r="J538" s="72" t="s">
        <v>159</v>
      </c>
      <c r="K538" s="71" t="s">
        <v>1821</v>
      </c>
      <c r="L538" s="75">
        <v>1</v>
      </c>
      <c r="M538" s="76">
        <v>545.5885009765625</v>
      </c>
      <c r="N538" s="76">
        <v>1136.944091796875</v>
      </c>
      <c r="O538" s="77"/>
      <c r="P538" s="78"/>
      <c r="Q538" s="78"/>
      <c r="R538" s="88"/>
      <c r="S538" s="49">
        <v>0</v>
      </c>
      <c r="T538" s="49">
        <v>1</v>
      </c>
      <c r="U538" s="50">
        <v>0</v>
      </c>
      <c r="V538" s="50">
        <v>0.135911</v>
      </c>
      <c r="W538" s="50">
        <v>0</v>
      </c>
      <c r="X538" s="50">
        <v>0.00158</v>
      </c>
      <c r="Y538" s="50">
        <v>0</v>
      </c>
      <c r="Z538" s="50">
        <v>0</v>
      </c>
      <c r="AA538" s="73">
        <v>538</v>
      </c>
      <c r="AB538" s="73"/>
      <c r="AC538" s="74"/>
      <c r="AD538" s="81" t="s">
        <v>1821</v>
      </c>
      <c r="AE538" s="81" t="s">
        <v>2008</v>
      </c>
      <c r="AF538" s="81"/>
      <c r="AG538" s="81"/>
      <c r="AH538" s="81"/>
      <c r="AI538" s="81" t="s">
        <v>2554</v>
      </c>
      <c r="AJ538" s="85">
        <v>41190.613217592596</v>
      </c>
      <c r="AK538" s="83" t="str">
        <f>HYPERLINK("https://yt3.ggpht.com/I1K4V7fD5v43ZQNi7Td3EP9QapwaiDND-G6XcELlkeUntgXgLHw_MHa8l0L9GfVGaVPc5aLnzfM=s88-c-k-c0x00ffffff-no-rj")</f>
        <v>https://yt3.ggpht.com/I1K4V7fD5v43ZQNi7Td3EP9QapwaiDND-G6XcELlkeUntgXgLHw_MHa8l0L9GfVGaVPc5aLnzfM=s88-c-k-c0x00ffffff-no-rj</v>
      </c>
      <c r="AL538" s="81">
        <v>11136</v>
      </c>
      <c r="AM538" s="81">
        <v>0</v>
      </c>
      <c r="AN538" s="81">
        <v>489</v>
      </c>
      <c r="AO538" s="81" t="b">
        <v>0</v>
      </c>
      <c r="AP538" s="81">
        <v>331</v>
      </c>
      <c r="AQ538" s="81"/>
      <c r="AR538" s="81"/>
      <c r="AS538" s="81" t="s">
        <v>2571</v>
      </c>
      <c r="AT538" s="83" t="str">
        <f>HYPERLINK("https://www.youtube.com/channel/UCGfAOkG4QkX8yUYKgU8eAPw")</f>
        <v>https://www.youtube.com/channel/UCGfAOkG4QkX8yUYKgU8eAPw</v>
      </c>
      <c r="AU538" s="81">
        <v>2</v>
      </c>
      <c r="AV538" s="49">
        <v>0</v>
      </c>
      <c r="AW538" s="50">
        <v>0</v>
      </c>
      <c r="AX538" s="49">
        <v>0</v>
      </c>
      <c r="AY538" s="50">
        <v>0</v>
      </c>
      <c r="AZ538" s="49">
        <v>0</v>
      </c>
      <c r="BA538" s="50">
        <v>0</v>
      </c>
      <c r="BB538" s="49">
        <v>0</v>
      </c>
      <c r="BC538" s="50">
        <v>0</v>
      </c>
      <c r="BD538" s="49">
        <v>1</v>
      </c>
      <c r="BE538" s="49"/>
      <c r="BF538" s="49"/>
      <c r="BG538" s="49"/>
      <c r="BH538" s="49"/>
      <c r="BI538" s="49"/>
      <c r="BJ538" s="49"/>
      <c r="BK538" s="115" t="s">
        <v>4477</v>
      </c>
      <c r="BL538" s="115" t="s">
        <v>4477</v>
      </c>
      <c r="BM538" s="115" t="s">
        <v>4477</v>
      </c>
      <c r="BN538" s="115" t="s">
        <v>4477</v>
      </c>
      <c r="BO538" s="2"/>
      <c r="BP538" s="3"/>
      <c r="BQ538" s="3"/>
      <c r="BR538" s="3"/>
      <c r="BS538" s="3"/>
    </row>
    <row r="539" spans="1:71" ht="15">
      <c r="A539" s="66" t="s">
        <v>757</v>
      </c>
      <c r="B539" s="67"/>
      <c r="C539" s="67"/>
      <c r="D539" s="68">
        <v>150</v>
      </c>
      <c r="E539" s="70"/>
      <c r="F539" s="102" t="str">
        <f>HYPERLINK("https://yt3.ggpht.com/uSsKiW2M-O2te1y-uPQSMdDTHeWhdt9hYqYGtc9ryByYOap6CmaWuyC9XnSW0sL_1jj-5J9Z=s88-c-k-c0x00ffffff-no-rj")</f>
        <v>https://yt3.ggpht.com/uSsKiW2M-O2te1y-uPQSMdDTHeWhdt9hYqYGtc9ryByYOap6CmaWuyC9XnSW0sL_1jj-5J9Z=s88-c-k-c0x00ffffff-no-rj</v>
      </c>
      <c r="G539" s="67"/>
      <c r="H539" s="71" t="s">
        <v>1822</v>
      </c>
      <c r="I539" s="72"/>
      <c r="J539" s="72" t="s">
        <v>159</v>
      </c>
      <c r="K539" s="71" t="s">
        <v>1822</v>
      </c>
      <c r="L539" s="75">
        <v>1</v>
      </c>
      <c r="M539" s="76">
        <v>3628.60546875</v>
      </c>
      <c r="N539" s="76">
        <v>566.8108520507812</v>
      </c>
      <c r="O539" s="77"/>
      <c r="P539" s="78"/>
      <c r="Q539" s="78"/>
      <c r="R539" s="88"/>
      <c r="S539" s="49">
        <v>0</v>
      </c>
      <c r="T539" s="49">
        <v>1</v>
      </c>
      <c r="U539" s="50">
        <v>0</v>
      </c>
      <c r="V539" s="50">
        <v>0.135911</v>
      </c>
      <c r="W539" s="50">
        <v>0</v>
      </c>
      <c r="X539" s="50">
        <v>0.00158</v>
      </c>
      <c r="Y539" s="50">
        <v>0</v>
      </c>
      <c r="Z539" s="50">
        <v>0</v>
      </c>
      <c r="AA539" s="73">
        <v>539</v>
      </c>
      <c r="AB539" s="73"/>
      <c r="AC539" s="74"/>
      <c r="AD539" s="81" t="s">
        <v>1822</v>
      </c>
      <c r="AE539" s="81"/>
      <c r="AF539" s="81"/>
      <c r="AG539" s="81"/>
      <c r="AH539" s="81"/>
      <c r="AI539" s="81" t="s">
        <v>2555</v>
      </c>
      <c r="AJ539" s="85">
        <v>44363.680625</v>
      </c>
      <c r="AK539" s="83" t="str">
        <f>HYPERLINK("https://yt3.ggpht.com/uSsKiW2M-O2te1y-uPQSMdDTHeWhdt9hYqYGtc9ryByYOap6CmaWuyC9XnSW0sL_1jj-5J9Z=s88-c-k-c0x00ffffff-no-rj")</f>
        <v>https://yt3.ggpht.com/uSsKiW2M-O2te1y-uPQSMdDTHeWhdt9hYqYGtc9ryByYOap6CmaWuyC9XnSW0sL_1jj-5J9Z=s88-c-k-c0x00ffffff-no-rj</v>
      </c>
      <c r="AL539" s="81">
        <v>0</v>
      </c>
      <c r="AM539" s="81">
        <v>0</v>
      </c>
      <c r="AN539" s="81">
        <v>0</v>
      </c>
      <c r="AO539" s="81" t="b">
        <v>0</v>
      </c>
      <c r="AP539" s="81">
        <v>0</v>
      </c>
      <c r="AQ539" s="81"/>
      <c r="AR539" s="81"/>
      <c r="AS539" s="81" t="s">
        <v>2571</v>
      </c>
      <c r="AT539" s="83" t="str">
        <f>HYPERLINK("https://www.youtube.com/channel/UCTREXhmvJISUYsbtrWRN40w")</f>
        <v>https://www.youtube.com/channel/UCTREXhmvJISUYsbtrWRN40w</v>
      </c>
      <c r="AU539" s="81">
        <v>2</v>
      </c>
      <c r="AV539" s="49">
        <v>1</v>
      </c>
      <c r="AW539" s="50">
        <v>5.882352941176471</v>
      </c>
      <c r="AX539" s="49">
        <v>1</v>
      </c>
      <c r="AY539" s="50">
        <v>5.882352941176471</v>
      </c>
      <c r="AZ539" s="49">
        <v>0</v>
      </c>
      <c r="BA539" s="50">
        <v>0</v>
      </c>
      <c r="BB539" s="49">
        <v>4</v>
      </c>
      <c r="BC539" s="50">
        <v>23.529411764705884</v>
      </c>
      <c r="BD539" s="49">
        <v>17</v>
      </c>
      <c r="BE539" s="49"/>
      <c r="BF539" s="49"/>
      <c r="BG539" s="49"/>
      <c r="BH539" s="49"/>
      <c r="BI539" s="49"/>
      <c r="BJ539" s="49"/>
      <c r="BK539" s="115" t="s">
        <v>3052</v>
      </c>
      <c r="BL539" s="115" t="s">
        <v>3052</v>
      </c>
      <c r="BM539" s="115" t="s">
        <v>3495</v>
      </c>
      <c r="BN539" s="115" t="s">
        <v>3495</v>
      </c>
      <c r="BO539" s="2"/>
      <c r="BP539" s="3"/>
      <c r="BQ539" s="3"/>
      <c r="BR539" s="3"/>
      <c r="BS539" s="3"/>
    </row>
    <row r="540" spans="1:71" ht="15">
      <c r="A540" s="66" t="s">
        <v>759</v>
      </c>
      <c r="B540" s="67"/>
      <c r="C540" s="67"/>
      <c r="D540" s="68">
        <v>150</v>
      </c>
      <c r="E540" s="70"/>
      <c r="F540" s="102" t="str">
        <f>HYPERLINK("https://yt3.ggpht.com/ytc/AOPolaR1wvn_RNdnSlENAM5XYEFftBMoWYhmFpemfoYAhmW3nDYokfVCFIu0GyYrE4W2=s88-c-k-c0x00ffffff-no-rj")</f>
        <v>https://yt3.ggpht.com/ytc/AOPolaR1wvn_RNdnSlENAM5XYEFftBMoWYhmFpemfoYAhmW3nDYokfVCFIu0GyYrE4W2=s88-c-k-c0x00ffffff-no-rj</v>
      </c>
      <c r="G540" s="67"/>
      <c r="H540" s="71" t="s">
        <v>1823</v>
      </c>
      <c r="I540" s="72"/>
      <c r="J540" s="72" t="s">
        <v>159</v>
      </c>
      <c r="K540" s="71" t="s">
        <v>1823</v>
      </c>
      <c r="L540" s="75">
        <v>1</v>
      </c>
      <c r="M540" s="76">
        <v>3245.16162109375</v>
      </c>
      <c r="N540" s="76">
        <v>1399.718017578125</v>
      </c>
      <c r="O540" s="77"/>
      <c r="P540" s="78"/>
      <c r="Q540" s="78"/>
      <c r="R540" s="88"/>
      <c r="S540" s="49">
        <v>0</v>
      </c>
      <c r="T540" s="49">
        <v>1</v>
      </c>
      <c r="U540" s="50">
        <v>0</v>
      </c>
      <c r="V540" s="50">
        <v>0.135911</v>
      </c>
      <c r="W540" s="50">
        <v>0</v>
      </c>
      <c r="X540" s="50">
        <v>0.00158</v>
      </c>
      <c r="Y540" s="50">
        <v>0</v>
      </c>
      <c r="Z540" s="50">
        <v>0</v>
      </c>
      <c r="AA540" s="73">
        <v>540</v>
      </c>
      <c r="AB540" s="73"/>
      <c r="AC540" s="74"/>
      <c r="AD540" s="81" t="s">
        <v>1823</v>
      </c>
      <c r="AE540" s="81"/>
      <c r="AF540" s="81"/>
      <c r="AG540" s="81"/>
      <c r="AH540" s="81"/>
      <c r="AI540" s="81" t="s">
        <v>2556</v>
      </c>
      <c r="AJ540" s="85">
        <v>44726.39604166667</v>
      </c>
      <c r="AK540" s="83" t="str">
        <f>HYPERLINK("https://yt3.ggpht.com/ytc/AOPolaR1wvn_RNdnSlENAM5XYEFftBMoWYhmFpemfoYAhmW3nDYokfVCFIu0GyYrE4W2=s88-c-k-c0x00ffffff-no-rj")</f>
        <v>https://yt3.ggpht.com/ytc/AOPolaR1wvn_RNdnSlENAM5XYEFftBMoWYhmFpemfoYAhmW3nDYokfVCFIu0GyYrE4W2=s88-c-k-c0x00ffffff-no-rj</v>
      </c>
      <c r="AL540" s="81">
        <v>1</v>
      </c>
      <c r="AM540" s="81">
        <v>0</v>
      </c>
      <c r="AN540" s="81">
        <v>0</v>
      </c>
      <c r="AO540" s="81" t="b">
        <v>0</v>
      </c>
      <c r="AP540" s="81">
        <v>1</v>
      </c>
      <c r="AQ540" s="81"/>
      <c r="AR540" s="81"/>
      <c r="AS540" s="81" t="s">
        <v>2571</v>
      </c>
      <c r="AT540" s="83" t="str">
        <f>HYPERLINK("https://www.youtube.com/channel/UCwO1KyxLlTQ1JDBoi78ek6w")</f>
        <v>https://www.youtube.com/channel/UCwO1KyxLlTQ1JDBoi78ek6w</v>
      </c>
      <c r="AU540" s="81">
        <v>2</v>
      </c>
      <c r="AV540" s="49">
        <v>0</v>
      </c>
      <c r="AW540" s="50">
        <v>0</v>
      </c>
      <c r="AX540" s="49">
        <v>1</v>
      </c>
      <c r="AY540" s="50">
        <v>12.5</v>
      </c>
      <c r="AZ540" s="49">
        <v>0</v>
      </c>
      <c r="BA540" s="50">
        <v>0</v>
      </c>
      <c r="BB540" s="49">
        <v>3</v>
      </c>
      <c r="BC540" s="50">
        <v>37.5</v>
      </c>
      <c r="BD540" s="49">
        <v>8</v>
      </c>
      <c r="BE540" s="49"/>
      <c r="BF540" s="49"/>
      <c r="BG540" s="49"/>
      <c r="BH540" s="49"/>
      <c r="BI540" s="49"/>
      <c r="BJ540" s="49"/>
      <c r="BK540" s="115" t="s">
        <v>3053</v>
      </c>
      <c r="BL540" s="115" t="s">
        <v>3053</v>
      </c>
      <c r="BM540" s="115" t="s">
        <v>3496</v>
      </c>
      <c r="BN540" s="115" t="s">
        <v>3496</v>
      </c>
      <c r="BO540" s="2"/>
      <c r="BP540" s="3"/>
      <c r="BQ540" s="3"/>
      <c r="BR540" s="3"/>
      <c r="BS540" s="3"/>
    </row>
    <row r="541" spans="1:71" ht="15">
      <c r="A541" s="66" t="s">
        <v>760</v>
      </c>
      <c r="B541" s="67"/>
      <c r="C541" s="67"/>
      <c r="D541" s="68">
        <v>150</v>
      </c>
      <c r="E541" s="70"/>
      <c r="F541" s="102" t="str">
        <f>HYPERLINK("https://yt3.ggpht.com/ytc/AOPolaTQjlwv5BbsrPjlMFbwvJk3f6FyJs4AmHQz1-OK=s88-c-k-c0x00ffffff-no-rj")</f>
        <v>https://yt3.ggpht.com/ytc/AOPolaTQjlwv5BbsrPjlMFbwvJk3f6FyJs4AmHQz1-OK=s88-c-k-c0x00ffffff-no-rj</v>
      </c>
      <c r="G541" s="67"/>
      <c r="H541" s="71" t="s">
        <v>1901</v>
      </c>
      <c r="I541" s="72"/>
      <c r="J541" s="72" t="s">
        <v>159</v>
      </c>
      <c r="K541" s="71" t="s">
        <v>1901</v>
      </c>
      <c r="L541" s="75">
        <v>1</v>
      </c>
      <c r="M541" s="76">
        <v>7822.82373046875</v>
      </c>
      <c r="N541" s="76">
        <v>711.1358032226562</v>
      </c>
      <c r="O541" s="77"/>
      <c r="P541" s="78"/>
      <c r="Q541" s="78"/>
      <c r="R541" s="88"/>
      <c r="S541" s="49">
        <v>1</v>
      </c>
      <c r="T541" s="49">
        <v>1</v>
      </c>
      <c r="U541" s="50">
        <v>0</v>
      </c>
      <c r="V541" s="50">
        <v>0</v>
      </c>
      <c r="W541" s="50">
        <v>0</v>
      </c>
      <c r="X541" s="50">
        <v>0.001815</v>
      </c>
      <c r="Y541" s="50">
        <v>0</v>
      </c>
      <c r="Z541" s="50">
        <v>0</v>
      </c>
      <c r="AA541" s="73">
        <v>541</v>
      </c>
      <c r="AB541" s="73"/>
      <c r="AC541" s="74"/>
      <c r="AD541" s="81" t="s">
        <v>1901</v>
      </c>
      <c r="AE541" s="81" t="s">
        <v>2009</v>
      </c>
      <c r="AF541" s="81"/>
      <c r="AG541" s="81"/>
      <c r="AH541" s="81"/>
      <c r="AI541" s="81" t="s">
        <v>2557</v>
      </c>
      <c r="AJ541" s="85">
        <v>44016.890023148146</v>
      </c>
      <c r="AK541" s="83" t="str">
        <f>HYPERLINK("https://yt3.ggpht.com/ytc/AOPolaTQjlwv5BbsrPjlMFbwvJk3f6FyJs4AmHQz1-OK=s88-c-k-c0x00ffffff-no-rj")</f>
        <v>https://yt3.ggpht.com/ytc/AOPolaTQjlwv5BbsrPjlMFbwvJk3f6FyJs4AmHQz1-OK=s88-c-k-c0x00ffffff-no-rj</v>
      </c>
      <c r="AL541" s="81">
        <v>74925</v>
      </c>
      <c r="AM541" s="81">
        <v>0</v>
      </c>
      <c r="AN541" s="81">
        <v>368</v>
      </c>
      <c r="AO541" s="81" t="b">
        <v>0</v>
      </c>
      <c r="AP541" s="81">
        <v>138</v>
      </c>
      <c r="AQ541" s="81"/>
      <c r="AR541" s="81"/>
      <c r="AS541" s="81" t="s">
        <v>2571</v>
      </c>
      <c r="AT541" s="83" t="str">
        <f>HYPERLINK("https://www.youtube.com/channel/UCnB99F-prcrtxiX9PrYHQ3w")</f>
        <v>https://www.youtube.com/channel/UCnB99F-prcrtxiX9PrYHQ3w</v>
      </c>
      <c r="AU541" s="81">
        <v>6</v>
      </c>
      <c r="AV541" s="49"/>
      <c r="AW541" s="50"/>
      <c r="AX541" s="49"/>
      <c r="AY541" s="50"/>
      <c r="AZ541" s="49"/>
      <c r="BA541" s="50"/>
      <c r="BB541" s="49"/>
      <c r="BC541" s="50"/>
      <c r="BD541" s="49"/>
      <c r="BE541" s="49"/>
      <c r="BF541" s="49"/>
      <c r="BG541" s="49"/>
      <c r="BH541" s="49"/>
      <c r="BI541" s="49"/>
      <c r="BJ541" s="49"/>
      <c r="BK541" s="115" t="s">
        <v>4477</v>
      </c>
      <c r="BL541" s="115" t="s">
        <v>4477</v>
      </c>
      <c r="BM541" s="115" t="s">
        <v>4477</v>
      </c>
      <c r="BN541" s="115" t="s">
        <v>4477</v>
      </c>
      <c r="BO541" s="2"/>
      <c r="BP541" s="3"/>
      <c r="BQ541" s="3"/>
      <c r="BR541" s="3"/>
      <c r="BS541" s="3"/>
    </row>
    <row r="542" spans="1:71" ht="15">
      <c r="A542" s="66" t="s">
        <v>761</v>
      </c>
      <c r="B542" s="67"/>
      <c r="C542" s="67"/>
      <c r="D542" s="68">
        <v>150</v>
      </c>
      <c r="E542" s="70"/>
      <c r="F542" s="102" t="str">
        <f>HYPERLINK("https://yt3.ggpht.com/ytc/AOPolaTOgVHektOARnCkKFx8eg_1RDf2JZ0FBxQgWWZK=s88-c-k-c0x00ffffff-no-rj")</f>
        <v>https://yt3.ggpht.com/ytc/AOPolaTOgVHektOARnCkKFx8eg_1RDf2JZ0FBxQgWWZK=s88-c-k-c0x00ffffff-no-rj</v>
      </c>
      <c r="G542" s="67"/>
      <c r="H542" s="71" t="s">
        <v>1902</v>
      </c>
      <c r="I542" s="72"/>
      <c r="J542" s="72" t="s">
        <v>159</v>
      </c>
      <c r="K542" s="71" t="s">
        <v>1902</v>
      </c>
      <c r="L542" s="75">
        <v>1</v>
      </c>
      <c r="M542" s="76">
        <v>7490.81982421875</v>
      </c>
      <c r="N542" s="76">
        <v>711.1358032226562</v>
      </c>
      <c r="O542" s="77"/>
      <c r="P542" s="78"/>
      <c r="Q542" s="78"/>
      <c r="R542" s="88"/>
      <c r="S542" s="49">
        <v>1</v>
      </c>
      <c r="T542" s="49">
        <v>1</v>
      </c>
      <c r="U542" s="50">
        <v>0</v>
      </c>
      <c r="V542" s="50">
        <v>0</v>
      </c>
      <c r="W542" s="50">
        <v>0</v>
      </c>
      <c r="X542" s="50">
        <v>0.001815</v>
      </c>
      <c r="Y542" s="50">
        <v>0</v>
      </c>
      <c r="Z542" s="50">
        <v>0</v>
      </c>
      <c r="AA542" s="73">
        <v>542</v>
      </c>
      <c r="AB542" s="73"/>
      <c r="AC542" s="74"/>
      <c r="AD542" s="81" t="s">
        <v>1902</v>
      </c>
      <c r="AE542" s="81" t="s">
        <v>2010</v>
      </c>
      <c r="AF542" s="81"/>
      <c r="AG542" s="81"/>
      <c r="AH542" s="81"/>
      <c r="AI542" s="81" t="s">
        <v>2558</v>
      </c>
      <c r="AJ542" s="85">
        <v>39961.670115740744</v>
      </c>
      <c r="AK542" s="83" t="str">
        <f>HYPERLINK("https://yt3.ggpht.com/ytc/AOPolaTOgVHektOARnCkKFx8eg_1RDf2JZ0FBxQgWWZK=s88-c-k-c0x00ffffff-no-rj")</f>
        <v>https://yt3.ggpht.com/ytc/AOPolaTOgVHektOARnCkKFx8eg_1RDf2JZ0FBxQgWWZK=s88-c-k-c0x00ffffff-no-rj</v>
      </c>
      <c r="AL542" s="81">
        <v>54591</v>
      </c>
      <c r="AM542" s="81">
        <v>0</v>
      </c>
      <c r="AN542" s="81">
        <v>1710</v>
      </c>
      <c r="AO542" s="81" t="b">
        <v>0</v>
      </c>
      <c r="AP542" s="81">
        <v>233</v>
      </c>
      <c r="AQ542" s="81"/>
      <c r="AR542" s="81"/>
      <c r="AS542" s="81" t="s">
        <v>2571</v>
      </c>
      <c r="AT542" s="83" t="str">
        <f>HYPERLINK("https://www.youtube.com/channel/UC6L5K_fcAcj6wsunXj0wLPg")</f>
        <v>https://www.youtube.com/channel/UC6L5K_fcAcj6wsunXj0wLPg</v>
      </c>
      <c r="AU542" s="81">
        <v>6</v>
      </c>
      <c r="AV542" s="49"/>
      <c r="AW542" s="50"/>
      <c r="AX542" s="49"/>
      <c r="AY542" s="50"/>
      <c r="AZ542" s="49"/>
      <c r="BA542" s="50"/>
      <c r="BB542" s="49"/>
      <c r="BC542" s="50"/>
      <c r="BD542" s="49"/>
      <c r="BE542" s="49"/>
      <c r="BF542" s="49"/>
      <c r="BG542" s="49"/>
      <c r="BH542" s="49"/>
      <c r="BI542" s="49"/>
      <c r="BJ542" s="49"/>
      <c r="BK542" s="115" t="s">
        <v>4477</v>
      </c>
      <c r="BL542" s="115" t="s">
        <v>4477</v>
      </c>
      <c r="BM542" s="115" t="s">
        <v>4477</v>
      </c>
      <c r="BN542" s="115" t="s">
        <v>4477</v>
      </c>
      <c r="BO542" s="2"/>
      <c r="BP542" s="3"/>
      <c r="BQ542" s="3"/>
      <c r="BR542" s="3"/>
      <c r="BS542" s="3"/>
    </row>
    <row r="543" spans="1:71" ht="15">
      <c r="A543" s="66" t="s">
        <v>762</v>
      </c>
      <c r="B543" s="67"/>
      <c r="C543" s="67"/>
      <c r="D543" s="68">
        <v>150</v>
      </c>
      <c r="E543" s="70"/>
      <c r="F543" s="102" t="str">
        <f>HYPERLINK("https://yt3.ggpht.com/ytc/AOPolaT1j4IAdzfyqNIxw9sWes-JYSIua__fIOFSFPw0Iw=s88-c-k-c0x00ffffff-no-rj")</f>
        <v>https://yt3.ggpht.com/ytc/AOPolaT1j4IAdzfyqNIxw9sWes-JYSIua__fIOFSFPw0Iw=s88-c-k-c0x00ffffff-no-rj</v>
      </c>
      <c r="G543" s="67"/>
      <c r="H543" s="71" t="s">
        <v>1903</v>
      </c>
      <c r="I543" s="72"/>
      <c r="J543" s="72" t="s">
        <v>159</v>
      </c>
      <c r="K543" s="71" t="s">
        <v>1903</v>
      </c>
      <c r="L543" s="75">
        <v>1</v>
      </c>
      <c r="M543" s="76">
        <v>7158.81689453125</v>
      </c>
      <c r="N543" s="76">
        <v>711.1358032226562</v>
      </c>
      <c r="O543" s="77"/>
      <c r="P543" s="78"/>
      <c r="Q543" s="78"/>
      <c r="R543" s="88"/>
      <c r="S543" s="49">
        <v>1</v>
      </c>
      <c r="T543" s="49">
        <v>1</v>
      </c>
      <c r="U543" s="50">
        <v>0</v>
      </c>
      <c r="V543" s="50">
        <v>0</v>
      </c>
      <c r="W543" s="50">
        <v>0</v>
      </c>
      <c r="X543" s="50">
        <v>0.001815</v>
      </c>
      <c r="Y543" s="50">
        <v>0</v>
      </c>
      <c r="Z543" s="50">
        <v>0</v>
      </c>
      <c r="AA543" s="73">
        <v>543</v>
      </c>
      <c r="AB543" s="73"/>
      <c r="AC543" s="74"/>
      <c r="AD543" s="81" t="s">
        <v>1903</v>
      </c>
      <c r="AE543" s="81" t="s">
        <v>2011</v>
      </c>
      <c r="AF543" s="81"/>
      <c r="AG543" s="81"/>
      <c r="AH543" s="81"/>
      <c r="AI543" s="81" t="s">
        <v>2559</v>
      </c>
      <c r="AJ543" s="85">
        <v>42522.70384259259</v>
      </c>
      <c r="AK543" s="83" t="str">
        <f>HYPERLINK("https://yt3.ggpht.com/ytc/AOPolaT1j4IAdzfyqNIxw9sWes-JYSIua__fIOFSFPw0Iw=s88-c-k-c0x00ffffff-no-rj")</f>
        <v>https://yt3.ggpht.com/ytc/AOPolaT1j4IAdzfyqNIxw9sWes-JYSIua__fIOFSFPw0Iw=s88-c-k-c0x00ffffff-no-rj</v>
      </c>
      <c r="AL543" s="81">
        <v>13373322</v>
      </c>
      <c r="AM543" s="81">
        <v>0</v>
      </c>
      <c r="AN543" s="81">
        <v>69700</v>
      </c>
      <c r="AO543" s="81" t="b">
        <v>0</v>
      </c>
      <c r="AP543" s="81">
        <v>1518</v>
      </c>
      <c r="AQ543" s="81"/>
      <c r="AR543" s="81"/>
      <c r="AS543" s="81" t="s">
        <v>2571</v>
      </c>
      <c r="AT543" s="83" t="str">
        <f>HYPERLINK("https://www.youtube.com/channel/UC1SzkJRHwqp4uAtcnGmCAwQ")</f>
        <v>https://www.youtube.com/channel/UC1SzkJRHwqp4uAtcnGmCAwQ</v>
      </c>
      <c r="AU543" s="81">
        <v>6</v>
      </c>
      <c r="AV543" s="49"/>
      <c r="AW543" s="50"/>
      <c r="AX543" s="49"/>
      <c r="AY543" s="50"/>
      <c r="AZ543" s="49"/>
      <c r="BA543" s="50"/>
      <c r="BB543" s="49"/>
      <c r="BC543" s="50"/>
      <c r="BD543" s="49"/>
      <c r="BE543" s="49"/>
      <c r="BF543" s="49"/>
      <c r="BG543" s="49"/>
      <c r="BH543" s="49"/>
      <c r="BI543" s="49"/>
      <c r="BJ543" s="49"/>
      <c r="BK543" s="115" t="s">
        <v>4477</v>
      </c>
      <c r="BL543" s="115" t="s">
        <v>4477</v>
      </c>
      <c r="BM543" s="115" t="s">
        <v>4477</v>
      </c>
      <c r="BN543" s="115" t="s">
        <v>4477</v>
      </c>
      <c r="BO543" s="2"/>
      <c r="BP543" s="3"/>
      <c r="BQ543" s="3"/>
      <c r="BR543" s="3"/>
      <c r="BS543" s="3"/>
    </row>
    <row r="544" spans="1:71" ht="15">
      <c r="A544" s="66" t="s">
        <v>763</v>
      </c>
      <c r="B544" s="67"/>
      <c r="C544" s="67"/>
      <c r="D544" s="68">
        <v>150</v>
      </c>
      <c r="E544" s="70"/>
      <c r="F544" s="102" t="str">
        <f>HYPERLINK("https://yt3.ggpht.com/r5rCTb_gl4gwL9BoCt33mf5JSqqcf9FVd6GFeA4iGZyzKxFS04mMa2qu_HecyE0Kq8EujxZC=s88-c-k-c0x00ffffff-no-rj")</f>
        <v>https://yt3.ggpht.com/r5rCTb_gl4gwL9BoCt33mf5JSqqcf9FVd6GFeA4iGZyzKxFS04mMa2qu_HecyE0Kq8EujxZC=s88-c-k-c0x00ffffff-no-rj</v>
      </c>
      <c r="G544" s="67"/>
      <c r="H544" s="71" t="s">
        <v>1904</v>
      </c>
      <c r="I544" s="72"/>
      <c r="J544" s="72" t="s">
        <v>159</v>
      </c>
      <c r="K544" s="71" t="s">
        <v>1904</v>
      </c>
      <c r="L544" s="75">
        <v>1</v>
      </c>
      <c r="M544" s="76">
        <v>7158.81689453125</v>
      </c>
      <c r="N544" s="76">
        <v>332.8214111328125</v>
      </c>
      <c r="O544" s="77"/>
      <c r="P544" s="78"/>
      <c r="Q544" s="78"/>
      <c r="R544" s="88"/>
      <c r="S544" s="49">
        <v>1</v>
      </c>
      <c r="T544" s="49">
        <v>1</v>
      </c>
      <c r="U544" s="50">
        <v>0</v>
      </c>
      <c r="V544" s="50">
        <v>0</v>
      </c>
      <c r="W544" s="50">
        <v>0</v>
      </c>
      <c r="X544" s="50">
        <v>0.001815</v>
      </c>
      <c r="Y544" s="50">
        <v>0</v>
      </c>
      <c r="Z544" s="50">
        <v>0</v>
      </c>
      <c r="AA544" s="73">
        <v>544</v>
      </c>
      <c r="AB544" s="73"/>
      <c r="AC544" s="74"/>
      <c r="AD544" s="81" t="s">
        <v>1904</v>
      </c>
      <c r="AE544" s="81" t="s">
        <v>2012</v>
      </c>
      <c r="AF544" s="81"/>
      <c r="AG544" s="81"/>
      <c r="AH544" s="81"/>
      <c r="AI544" s="81" t="s">
        <v>2560</v>
      </c>
      <c r="AJ544" s="85">
        <v>40929.81344907408</v>
      </c>
      <c r="AK544" s="83" t="str">
        <f>HYPERLINK("https://yt3.ggpht.com/r5rCTb_gl4gwL9BoCt33mf5JSqqcf9FVd6GFeA4iGZyzKxFS04mMa2qu_HecyE0Kq8EujxZC=s88-c-k-c0x00ffffff-no-rj")</f>
        <v>https://yt3.ggpht.com/r5rCTb_gl4gwL9BoCt33mf5JSqqcf9FVd6GFeA4iGZyzKxFS04mMa2qu_HecyE0Kq8EujxZC=s88-c-k-c0x00ffffff-no-rj</v>
      </c>
      <c r="AL544" s="81">
        <v>12408</v>
      </c>
      <c r="AM544" s="81">
        <v>0</v>
      </c>
      <c r="AN544" s="81">
        <v>162</v>
      </c>
      <c r="AO544" s="81" t="b">
        <v>0</v>
      </c>
      <c r="AP544" s="81">
        <v>37</v>
      </c>
      <c r="AQ544" s="81"/>
      <c r="AR544" s="81"/>
      <c r="AS544" s="81" t="s">
        <v>2571</v>
      </c>
      <c r="AT544" s="83" t="str">
        <f>HYPERLINK("https://www.youtube.com/channel/UCeZGMiCc3WoU9xYLq6yWxNA")</f>
        <v>https://www.youtube.com/channel/UCeZGMiCc3WoU9xYLq6yWxNA</v>
      </c>
      <c r="AU544" s="81">
        <v>6</v>
      </c>
      <c r="AV544" s="49"/>
      <c r="AW544" s="50"/>
      <c r="AX544" s="49"/>
      <c r="AY544" s="50"/>
      <c r="AZ544" s="49"/>
      <c r="BA544" s="50"/>
      <c r="BB544" s="49"/>
      <c r="BC544" s="50"/>
      <c r="BD544" s="49"/>
      <c r="BE544" s="49"/>
      <c r="BF544" s="49"/>
      <c r="BG544" s="49"/>
      <c r="BH544" s="49"/>
      <c r="BI544" s="49"/>
      <c r="BJ544" s="49"/>
      <c r="BK544" s="115" t="s">
        <v>4477</v>
      </c>
      <c r="BL544" s="115" t="s">
        <v>4477</v>
      </c>
      <c r="BM544" s="115" t="s">
        <v>4477</v>
      </c>
      <c r="BN544" s="115" t="s">
        <v>4477</v>
      </c>
      <c r="BO544" s="2"/>
      <c r="BP544" s="3"/>
      <c r="BQ544" s="3"/>
      <c r="BR544" s="3"/>
      <c r="BS544" s="3"/>
    </row>
    <row r="545" spans="1:71" ht="15">
      <c r="A545" s="66" t="s">
        <v>764</v>
      </c>
      <c r="B545" s="67"/>
      <c r="C545" s="67"/>
      <c r="D545" s="68">
        <v>150</v>
      </c>
      <c r="E545" s="70"/>
      <c r="F545" s="102" t="str">
        <f>HYPERLINK("https://yt3.ggpht.com/ytc/AOPolaSt9pAJGK4Bhtm1GrkHert2uJLxDTIGJd20uVUA=s88-c-k-c0x00ffffff-no-rj")</f>
        <v>https://yt3.ggpht.com/ytc/AOPolaSt9pAJGK4Bhtm1GrkHert2uJLxDTIGJd20uVUA=s88-c-k-c0x00ffffff-no-rj</v>
      </c>
      <c r="G545" s="67"/>
      <c r="H545" s="71" t="s">
        <v>1905</v>
      </c>
      <c r="I545" s="72"/>
      <c r="J545" s="72" t="s">
        <v>159</v>
      </c>
      <c r="K545" s="71" t="s">
        <v>1905</v>
      </c>
      <c r="L545" s="75">
        <v>1</v>
      </c>
      <c r="M545" s="76">
        <v>6826.814453125</v>
      </c>
      <c r="N545" s="76">
        <v>332.8214111328125</v>
      </c>
      <c r="O545" s="77"/>
      <c r="P545" s="78"/>
      <c r="Q545" s="78"/>
      <c r="R545" s="88"/>
      <c r="S545" s="49">
        <v>1</v>
      </c>
      <c r="T545" s="49">
        <v>1</v>
      </c>
      <c r="U545" s="50">
        <v>0</v>
      </c>
      <c r="V545" s="50">
        <v>0</v>
      </c>
      <c r="W545" s="50">
        <v>0</v>
      </c>
      <c r="X545" s="50">
        <v>0.001815</v>
      </c>
      <c r="Y545" s="50">
        <v>0</v>
      </c>
      <c r="Z545" s="50">
        <v>0</v>
      </c>
      <c r="AA545" s="73">
        <v>545</v>
      </c>
      <c r="AB545" s="73"/>
      <c r="AC545" s="74"/>
      <c r="AD545" s="81" t="s">
        <v>1905</v>
      </c>
      <c r="AE545" s="81" t="s">
        <v>2013</v>
      </c>
      <c r="AF545" s="81"/>
      <c r="AG545" s="81"/>
      <c r="AH545" s="81"/>
      <c r="AI545" s="81" t="s">
        <v>2561</v>
      </c>
      <c r="AJ545" s="85">
        <v>43969.65284722222</v>
      </c>
      <c r="AK545" s="83" t="str">
        <f>HYPERLINK("https://yt3.ggpht.com/ytc/AOPolaSt9pAJGK4Bhtm1GrkHert2uJLxDTIGJd20uVUA=s88-c-k-c0x00ffffff-no-rj")</f>
        <v>https://yt3.ggpht.com/ytc/AOPolaSt9pAJGK4Bhtm1GrkHert2uJLxDTIGJd20uVUA=s88-c-k-c0x00ffffff-no-rj</v>
      </c>
      <c r="AL545" s="81">
        <v>832374</v>
      </c>
      <c r="AM545" s="81">
        <v>0</v>
      </c>
      <c r="AN545" s="81">
        <v>4030</v>
      </c>
      <c r="AO545" s="81" t="b">
        <v>0</v>
      </c>
      <c r="AP545" s="81">
        <v>289</v>
      </c>
      <c r="AQ545" s="81"/>
      <c r="AR545" s="81"/>
      <c r="AS545" s="81" t="s">
        <v>2571</v>
      </c>
      <c r="AT545" s="83" t="str">
        <f>HYPERLINK("https://www.youtube.com/channel/UC2B7Dr18DkozSwsNg0sNZJg")</f>
        <v>https://www.youtube.com/channel/UC2B7Dr18DkozSwsNg0sNZJg</v>
      </c>
      <c r="AU545" s="81">
        <v>6</v>
      </c>
      <c r="AV545" s="49"/>
      <c r="AW545" s="50"/>
      <c r="AX545" s="49"/>
      <c r="AY545" s="50"/>
      <c r="AZ545" s="49"/>
      <c r="BA545" s="50"/>
      <c r="BB545" s="49"/>
      <c r="BC545" s="50"/>
      <c r="BD545" s="49"/>
      <c r="BE545" s="49"/>
      <c r="BF545" s="49"/>
      <c r="BG545" s="49"/>
      <c r="BH545" s="49"/>
      <c r="BI545" s="49"/>
      <c r="BJ545" s="49"/>
      <c r="BK545" s="115" t="s">
        <v>4477</v>
      </c>
      <c r="BL545" s="115" t="s">
        <v>4477</v>
      </c>
      <c r="BM545" s="115" t="s">
        <v>4477</v>
      </c>
      <c r="BN545" s="115" t="s">
        <v>4477</v>
      </c>
      <c r="BO545" s="2"/>
      <c r="BP545" s="3"/>
      <c r="BQ545" s="3"/>
      <c r="BR545" s="3"/>
      <c r="BS545" s="3"/>
    </row>
    <row r="546" spans="1:71" ht="15">
      <c r="A546" s="66" t="s">
        <v>765</v>
      </c>
      <c r="B546" s="67"/>
      <c r="C546" s="67"/>
      <c r="D546" s="68">
        <v>150</v>
      </c>
      <c r="E546" s="70"/>
      <c r="F546" s="102" t="str">
        <f>HYPERLINK("https://yt3.ggpht.com/PX3vr3AKMifr-YFGUeLZuUkB-09iAT48JtOJHGB2TOzH-VC0VjQBjp8Suknd8c_EBdLsQpSx=s88-c-k-c0x00ffffff-no-rj")</f>
        <v>https://yt3.ggpht.com/PX3vr3AKMifr-YFGUeLZuUkB-09iAT48JtOJHGB2TOzH-VC0VjQBjp8Suknd8c_EBdLsQpSx=s88-c-k-c0x00ffffff-no-rj</v>
      </c>
      <c r="G546" s="67"/>
      <c r="H546" s="71" t="s">
        <v>1906</v>
      </c>
      <c r="I546" s="72"/>
      <c r="J546" s="72" t="s">
        <v>159</v>
      </c>
      <c r="K546" s="71" t="s">
        <v>1906</v>
      </c>
      <c r="L546" s="75">
        <v>1</v>
      </c>
      <c r="M546" s="76">
        <v>6494.810546875</v>
      </c>
      <c r="N546" s="76">
        <v>332.8214111328125</v>
      </c>
      <c r="O546" s="77"/>
      <c r="P546" s="78"/>
      <c r="Q546" s="78"/>
      <c r="R546" s="88"/>
      <c r="S546" s="49">
        <v>1</v>
      </c>
      <c r="T546" s="49">
        <v>1</v>
      </c>
      <c r="U546" s="50">
        <v>0</v>
      </c>
      <c r="V546" s="50">
        <v>0</v>
      </c>
      <c r="W546" s="50">
        <v>0</v>
      </c>
      <c r="X546" s="50">
        <v>0.001815</v>
      </c>
      <c r="Y546" s="50">
        <v>0</v>
      </c>
      <c r="Z546" s="50">
        <v>0</v>
      </c>
      <c r="AA546" s="73">
        <v>546</v>
      </c>
      <c r="AB546" s="73"/>
      <c r="AC546" s="74"/>
      <c r="AD546" s="81" t="s">
        <v>1906</v>
      </c>
      <c r="AE546" s="81"/>
      <c r="AF546" s="81"/>
      <c r="AG546" s="81"/>
      <c r="AH546" s="81"/>
      <c r="AI546" s="81" t="s">
        <v>2562</v>
      </c>
      <c r="AJ546" s="85">
        <v>44907.851064814815</v>
      </c>
      <c r="AK546" s="83" t="str">
        <f>HYPERLINK("https://yt3.ggpht.com/PX3vr3AKMifr-YFGUeLZuUkB-09iAT48JtOJHGB2TOzH-VC0VjQBjp8Suknd8c_EBdLsQpSx=s88-c-k-c0x00ffffff-no-rj")</f>
        <v>https://yt3.ggpht.com/PX3vr3AKMifr-YFGUeLZuUkB-09iAT48JtOJHGB2TOzH-VC0VjQBjp8Suknd8c_EBdLsQpSx=s88-c-k-c0x00ffffff-no-rj</v>
      </c>
      <c r="AL546" s="81">
        <v>804</v>
      </c>
      <c r="AM546" s="81">
        <v>0</v>
      </c>
      <c r="AN546" s="81">
        <v>42</v>
      </c>
      <c r="AO546" s="81" t="b">
        <v>0</v>
      </c>
      <c r="AP546" s="81">
        <v>48</v>
      </c>
      <c r="AQ546" s="81"/>
      <c r="AR546" s="81"/>
      <c r="AS546" s="81" t="s">
        <v>2571</v>
      </c>
      <c r="AT546" s="83" t="str">
        <f>HYPERLINK("https://www.youtube.com/channel/UCqkdDIaK41sFacTy9x0aNAQ")</f>
        <v>https://www.youtube.com/channel/UCqkdDIaK41sFacTy9x0aNAQ</v>
      </c>
      <c r="AU546" s="81">
        <v>6</v>
      </c>
      <c r="AV546" s="49"/>
      <c r="AW546" s="50"/>
      <c r="AX546" s="49"/>
      <c r="AY546" s="50"/>
      <c r="AZ546" s="49"/>
      <c r="BA546" s="50"/>
      <c r="BB546" s="49"/>
      <c r="BC546" s="50"/>
      <c r="BD546" s="49"/>
      <c r="BE546" s="49"/>
      <c r="BF546" s="49"/>
      <c r="BG546" s="49"/>
      <c r="BH546" s="49"/>
      <c r="BI546" s="49"/>
      <c r="BJ546" s="49"/>
      <c r="BK546" s="115" t="s">
        <v>4477</v>
      </c>
      <c r="BL546" s="115" t="s">
        <v>4477</v>
      </c>
      <c r="BM546" s="115" t="s">
        <v>4477</v>
      </c>
      <c r="BN546" s="115" t="s">
        <v>4477</v>
      </c>
      <c r="BO546" s="2"/>
      <c r="BP546" s="3"/>
      <c r="BQ546" s="3"/>
      <c r="BR546" s="3"/>
      <c r="BS546" s="3"/>
    </row>
    <row r="547" spans="1:71" ht="15">
      <c r="A547" s="66" t="s">
        <v>766</v>
      </c>
      <c r="B547" s="67"/>
      <c r="C547" s="67"/>
      <c r="D547" s="68">
        <v>150</v>
      </c>
      <c r="E547" s="70"/>
      <c r="F547" s="102" t="str">
        <f>HYPERLINK("https://yt3.ggpht.com/jgipMzqjChyzC-eGb6WucpKOzuVnSBpnFSvSlkuUYPvdVTQ1JFBSoQyCzeLQ9HU0VLuJngQC7w=s88-c-k-c0x00ffffff-no-rj")</f>
        <v>https://yt3.ggpht.com/jgipMzqjChyzC-eGb6WucpKOzuVnSBpnFSvSlkuUYPvdVTQ1JFBSoQyCzeLQ9HU0VLuJngQC7w=s88-c-k-c0x00ffffff-no-rj</v>
      </c>
      <c r="G547" s="67"/>
      <c r="H547" s="71" t="s">
        <v>1907</v>
      </c>
      <c r="I547" s="72"/>
      <c r="J547" s="72" t="s">
        <v>159</v>
      </c>
      <c r="K547" s="71" t="s">
        <v>1907</v>
      </c>
      <c r="L547" s="75">
        <v>1</v>
      </c>
      <c r="M547" s="76">
        <v>6826.814453125</v>
      </c>
      <c r="N547" s="76">
        <v>711.1358032226562</v>
      </c>
      <c r="O547" s="77"/>
      <c r="P547" s="78"/>
      <c r="Q547" s="78"/>
      <c r="R547" s="88"/>
      <c r="S547" s="49">
        <v>1</v>
      </c>
      <c r="T547" s="49">
        <v>1</v>
      </c>
      <c r="U547" s="50">
        <v>0</v>
      </c>
      <c r="V547" s="50">
        <v>0</v>
      </c>
      <c r="W547" s="50">
        <v>0</v>
      </c>
      <c r="X547" s="50">
        <v>0.001815</v>
      </c>
      <c r="Y547" s="50">
        <v>0</v>
      </c>
      <c r="Z547" s="50">
        <v>0</v>
      </c>
      <c r="AA547" s="73">
        <v>547</v>
      </c>
      <c r="AB547" s="73"/>
      <c r="AC547" s="74"/>
      <c r="AD547" s="81" t="s">
        <v>1907</v>
      </c>
      <c r="AE547" s="81" t="s">
        <v>2014</v>
      </c>
      <c r="AF547" s="81"/>
      <c r="AG547" s="81"/>
      <c r="AH547" s="81"/>
      <c r="AI547" s="81" t="s">
        <v>2563</v>
      </c>
      <c r="AJ547" s="85">
        <v>42915.6980787037</v>
      </c>
      <c r="AK547" s="83" t="str">
        <f>HYPERLINK("https://yt3.ggpht.com/jgipMzqjChyzC-eGb6WucpKOzuVnSBpnFSvSlkuUYPvdVTQ1JFBSoQyCzeLQ9HU0VLuJngQC7w=s88-c-k-c0x00ffffff-no-rj")</f>
        <v>https://yt3.ggpht.com/jgipMzqjChyzC-eGb6WucpKOzuVnSBpnFSvSlkuUYPvdVTQ1JFBSoQyCzeLQ9HU0VLuJngQC7w=s88-c-k-c0x00ffffff-no-rj</v>
      </c>
      <c r="AL547" s="81">
        <v>471793</v>
      </c>
      <c r="AM547" s="81">
        <v>0</v>
      </c>
      <c r="AN547" s="81">
        <v>4990</v>
      </c>
      <c r="AO547" s="81" t="b">
        <v>0</v>
      </c>
      <c r="AP547" s="81">
        <v>950</v>
      </c>
      <c r="AQ547" s="81"/>
      <c r="AR547" s="81"/>
      <c r="AS547" s="81" t="s">
        <v>2571</v>
      </c>
      <c r="AT547" s="83" t="str">
        <f>HYPERLINK("https://www.youtube.com/channel/UC43XbxjX7RZZ_gK9Vt8Z8FA")</f>
        <v>https://www.youtube.com/channel/UC43XbxjX7RZZ_gK9Vt8Z8FA</v>
      </c>
      <c r="AU547" s="81">
        <v>6</v>
      </c>
      <c r="AV547" s="49"/>
      <c r="AW547" s="50"/>
      <c r="AX547" s="49"/>
      <c r="AY547" s="50"/>
      <c r="AZ547" s="49"/>
      <c r="BA547" s="50"/>
      <c r="BB547" s="49"/>
      <c r="BC547" s="50"/>
      <c r="BD547" s="49"/>
      <c r="BE547" s="49"/>
      <c r="BF547" s="49"/>
      <c r="BG547" s="49"/>
      <c r="BH547" s="49"/>
      <c r="BI547" s="49"/>
      <c r="BJ547" s="49"/>
      <c r="BK547" s="115" t="s">
        <v>4477</v>
      </c>
      <c r="BL547" s="115" t="s">
        <v>4477</v>
      </c>
      <c r="BM547" s="115" t="s">
        <v>4477</v>
      </c>
      <c r="BN547" s="115" t="s">
        <v>4477</v>
      </c>
      <c r="BO547" s="2"/>
      <c r="BP547" s="3"/>
      <c r="BQ547" s="3"/>
      <c r="BR547" s="3"/>
      <c r="BS547" s="3"/>
    </row>
    <row r="548" spans="1:71" ht="15">
      <c r="A548" s="66" t="s">
        <v>767</v>
      </c>
      <c r="B548" s="67"/>
      <c r="C548" s="67"/>
      <c r="D548" s="68">
        <v>150</v>
      </c>
      <c r="E548" s="70"/>
      <c r="F548" s="102" t="str">
        <f>HYPERLINK("https://yt3.ggpht.com/14a8xcrDNj8pXJXsXwHW9Y4iriGurYrV5YnQX_tB1WYtcwTTeUcbRk-21kj9ZtNZshm2BRr4-Q=s88-c-k-c0x00ffffff-no-rj")</f>
        <v>https://yt3.ggpht.com/14a8xcrDNj8pXJXsXwHW9Y4iriGurYrV5YnQX_tB1WYtcwTTeUcbRk-21kj9ZtNZshm2BRr4-Q=s88-c-k-c0x00ffffff-no-rj</v>
      </c>
      <c r="G548" s="67"/>
      <c r="H548" s="71" t="s">
        <v>1908</v>
      </c>
      <c r="I548" s="72"/>
      <c r="J548" s="72" t="s">
        <v>159</v>
      </c>
      <c r="K548" s="71" t="s">
        <v>1908</v>
      </c>
      <c r="L548" s="75">
        <v>1</v>
      </c>
      <c r="M548" s="76">
        <v>7158.81689453125</v>
      </c>
      <c r="N548" s="76">
        <v>1089.4501953125</v>
      </c>
      <c r="O548" s="77"/>
      <c r="P548" s="78"/>
      <c r="Q548" s="78"/>
      <c r="R548" s="88"/>
      <c r="S548" s="49">
        <v>1</v>
      </c>
      <c r="T548" s="49">
        <v>1</v>
      </c>
      <c r="U548" s="50">
        <v>0</v>
      </c>
      <c r="V548" s="50">
        <v>0</v>
      </c>
      <c r="W548" s="50">
        <v>0</v>
      </c>
      <c r="X548" s="50">
        <v>0.001815</v>
      </c>
      <c r="Y548" s="50">
        <v>0</v>
      </c>
      <c r="Z548" s="50">
        <v>0</v>
      </c>
      <c r="AA548" s="73">
        <v>548</v>
      </c>
      <c r="AB548" s="73"/>
      <c r="AC548" s="74"/>
      <c r="AD548" s="81" t="s">
        <v>1908</v>
      </c>
      <c r="AE548" s="81" t="s">
        <v>2015</v>
      </c>
      <c r="AF548" s="81"/>
      <c r="AG548" s="81"/>
      <c r="AH548" s="81"/>
      <c r="AI548" s="81" t="s">
        <v>2564</v>
      </c>
      <c r="AJ548" s="85">
        <v>43279.77099537037</v>
      </c>
      <c r="AK548" s="83" t="str">
        <f>HYPERLINK("https://yt3.ggpht.com/14a8xcrDNj8pXJXsXwHW9Y4iriGurYrV5YnQX_tB1WYtcwTTeUcbRk-21kj9ZtNZshm2BRr4-Q=s88-c-k-c0x00ffffff-no-rj")</f>
        <v>https://yt3.ggpht.com/14a8xcrDNj8pXJXsXwHW9Y4iriGurYrV5YnQX_tB1WYtcwTTeUcbRk-21kj9ZtNZshm2BRr4-Q=s88-c-k-c0x00ffffff-no-rj</v>
      </c>
      <c r="AL548" s="81">
        <v>11522938</v>
      </c>
      <c r="AM548" s="81">
        <v>0</v>
      </c>
      <c r="AN548" s="81">
        <v>85900</v>
      </c>
      <c r="AO548" s="81" t="b">
        <v>0</v>
      </c>
      <c r="AP548" s="81">
        <v>14078</v>
      </c>
      <c r="AQ548" s="81"/>
      <c r="AR548" s="81"/>
      <c r="AS548" s="81" t="s">
        <v>2571</v>
      </c>
      <c r="AT548" s="83" t="str">
        <f>HYPERLINK("https://www.youtube.com/channel/UCPLKy4Ypb4mfblbjJI8Aljw")</f>
        <v>https://www.youtube.com/channel/UCPLKy4Ypb4mfblbjJI8Aljw</v>
      </c>
      <c r="AU548" s="81">
        <v>6</v>
      </c>
      <c r="AV548" s="49"/>
      <c r="AW548" s="50"/>
      <c r="AX548" s="49"/>
      <c r="AY548" s="50"/>
      <c r="AZ548" s="49"/>
      <c r="BA548" s="50"/>
      <c r="BB548" s="49"/>
      <c r="BC548" s="50"/>
      <c r="BD548" s="49"/>
      <c r="BE548" s="49"/>
      <c r="BF548" s="49"/>
      <c r="BG548" s="49"/>
      <c r="BH548" s="49"/>
      <c r="BI548" s="49"/>
      <c r="BJ548" s="49"/>
      <c r="BK548" s="115" t="s">
        <v>4477</v>
      </c>
      <c r="BL548" s="115" t="s">
        <v>4477</v>
      </c>
      <c r="BM548" s="115" t="s">
        <v>4477</v>
      </c>
      <c r="BN548" s="115" t="s">
        <v>4477</v>
      </c>
      <c r="BO548" s="2"/>
      <c r="BP548" s="3"/>
      <c r="BQ548" s="3"/>
      <c r="BR548" s="3"/>
      <c r="BS548" s="3"/>
    </row>
    <row r="549" spans="1:71" ht="15">
      <c r="A549" s="66" t="s">
        <v>768</v>
      </c>
      <c r="B549" s="67"/>
      <c r="C549" s="67"/>
      <c r="D549" s="68">
        <v>150</v>
      </c>
      <c r="E549" s="70"/>
      <c r="F549" s="102" t="str">
        <f>HYPERLINK("https://yt3.ggpht.com/BK_oN_sSa_u3_KNsMkQoCZlaMYP4CPe650fMS6GdAQ-cClPVq0SBbIlGCMhk7l7aFEaVi5lt4g=s88-c-k-c0x00ffffff-no-rj")</f>
        <v>https://yt3.ggpht.com/BK_oN_sSa_u3_KNsMkQoCZlaMYP4CPe650fMS6GdAQ-cClPVq0SBbIlGCMhk7l7aFEaVi5lt4g=s88-c-k-c0x00ffffff-no-rj</v>
      </c>
      <c r="G549" s="67"/>
      <c r="H549" s="71" t="s">
        <v>1909</v>
      </c>
      <c r="I549" s="72"/>
      <c r="J549" s="72" t="s">
        <v>159</v>
      </c>
      <c r="K549" s="71" t="s">
        <v>1909</v>
      </c>
      <c r="L549" s="75">
        <v>1</v>
      </c>
      <c r="M549" s="76">
        <v>6826.814453125</v>
      </c>
      <c r="N549" s="76">
        <v>1089.4501953125</v>
      </c>
      <c r="O549" s="77"/>
      <c r="P549" s="78"/>
      <c r="Q549" s="78"/>
      <c r="R549" s="88"/>
      <c r="S549" s="49">
        <v>1</v>
      </c>
      <c r="T549" s="49">
        <v>1</v>
      </c>
      <c r="U549" s="50">
        <v>0</v>
      </c>
      <c r="V549" s="50">
        <v>0</v>
      </c>
      <c r="W549" s="50">
        <v>0</v>
      </c>
      <c r="X549" s="50">
        <v>0.001815</v>
      </c>
      <c r="Y549" s="50">
        <v>0</v>
      </c>
      <c r="Z549" s="50">
        <v>0</v>
      </c>
      <c r="AA549" s="73">
        <v>549</v>
      </c>
      <c r="AB549" s="73"/>
      <c r="AC549" s="74"/>
      <c r="AD549" s="81" t="s">
        <v>1909</v>
      </c>
      <c r="AE549" s="81" t="s">
        <v>2016</v>
      </c>
      <c r="AF549" s="81"/>
      <c r="AG549" s="81"/>
      <c r="AH549" s="81"/>
      <c r="AI549" s="81" t="s">
        <v>2565</v>
      </c>
      <c r="AJ549" s="85">
        <v>44970.81476851852</v>
      </c>
      <c r="AK549" s="83" t="str">
        <f>HYPERLINK("https://yt3.ggpht.com/BK_oN_sSa_u3_KNsMkQoCZlaMYP4CPe650fMS6GdAQ-cClPVq0SBbIlGCMhk7l7aFEaVi5lt4g=s88-c-k-c0x00ffffff-no-rj")</f>
        <v>https://yt3.ggpht.com/BK_oN_sSa_u3_KNsMkQoCZlaMYP4CPe650fMS6GdAQ-cClPVq0SBbIlGCMhk7l7aFEaVi5lt4g=s88-c-k-c0x00ffffff-no-rj</v>
      </c>
      <c r="AL549" s="81">
        <v>2312</v>
      </c>
      <c r="AM549" s="81">
        <v>0</v>
      </c>
      <c r="AN549" s="81">
        <v>22</v>
      </c>
      <c r="AO549" s="81" t="b">
        <v>0</v>
      </c>
      <c r="AP549" s="81">
        <v>48</v>
      </c>
      <c r="AQ549" s="81"/>
      <c r="AR549" s="81"/>
      <c r="AS549" s="81" t="s">
        <v>2571</v>
      </c>
      <c r="AT549" s="83" t="str">
        <f>HYPERLINK("https://www.youtube.com/channel/UCMDX6W0aC7y0n-v6cLiTDxQ")</f>
        <v>https://www.youtube.com/channel/UCMDX6W0aC7y0n-v6cLiTDxQ</v>
      </c>
      <c r="AU549" s="81">
        <v>6</v>
      </c>
      <c r="AV549" s="49"/>
      <c r="AW549" s="50"/>
      <c r="AX549" s="49"/>
      <c r="AY549" s="50"/>
      <c r="AZ549" s="49"/>
      <c r="BA549" s="50"/>
      <c r="BB549" s="49"/>
      <c r="BC549" s="50"/>
      <c r="BD549" s="49"/>
      <c r="BE549" s="49"/>
      <c r="BF549" s="49"/>
      <c r="BG549" s="49"/>
      <c r="BH549" s="49"/>
      <c r="BI549" s="49"/>
      <c r="BJ549" s="49"/>
      <c r="BK549" s="115" t="s">
        <v>4477</v>
      </c>
      <c r="BL549" s="115" t="s">
        <v>4477</v>
      </c>
      <c r="BM549" s="115" t="s">
        <v>4477</v>
      </c>
      <c r="BN549" s="115" t="s">
        <v>4477</v>
      </c>
      <c r="BO549" s="2"/>
      <c r="BP549" s="3"/>
      <c r="BQ549" s="3"/>
      <c r="BR549" s="3"/>
      <c r="BS549" s="3"/>
    </row>
    <row r="550" spans="1:71" ht="15">
      <c r="A550" s="66" t="s">
        <v>769</v>
      </c>
      <c r="B550" s="67"/>
      <c r="C550" s="67"/>
      <c r="D550" s="68">
        <v>150</v>
      </c>
      <c r="E550" s="70"/>
      <c r="F550" s="102" t="str">
        <f>HYPERLINK("https://yt3.ggpht.com/ytc/AOPolaT0Jddlziol5xnB-PZe3u0kL1j-G5Wy8uUxjQRJ=s88-c-k-c0x00ffffff-no-rj")</f>
        <v>https://yt3.ggpht.com/ytc/AOPolaT0Jddlziol5xnB-PZe3u0kL1j-G5Wy8uUxjQRJ=s88-c-k-c0x00ffffff-no-rj</v>
      </c>
      <c r="G550" s="67"/>
      <c r="H550" s="71" t="s">
        <v>1910</v>
      </c>
      <c r="I550" s="72"/>
      <c r="J550" s="72" t="s">
        <v>159</v>
      </c>
      <c r="K550" s="71" t="s">
        <v>1910</v>
      </c>
      <c r="L550" s="75">
        <v>1</v>
      </c>
      <c r="M550" s="76">
        <v>6494.810546875</v>
      </c>
      <c r="N550" s="76">
        <v>1089.4501953125</v>
      </c>
      <c r="O550" s="77"/>
      <c r="P550" s="78"/>
      <c r="Q550" s="78"/>
      <c r="R550" s="88"/>
      <c r="S550" s="49">
        <v>1</v>
      </c>
      <c r="T550" s="49">
        <v>1</v>
      </c>
      <c r="U550" s="50">
        <v>0</v>
      </c>
      <c r="V550" s="50">
        <v>0</v>
      </c>
      <c r="W550" s="50">
        <v>0</v>
      </c>
      <c r="X550" s="50">
        <v>0.001815</v>
      </c>
      <c r="Y550" s="50">
        <v>0</v>
      </c>
      <c r="Z550" s="50">
        <v>0</v>
      </c>
      <c r="AA550" s="73">
        <v>550</v>
      </c>
      <c r="AB550" s="73"/>
      <c r="AC550" s="74"/>
      <c r="AD550" s="81" t="s">
        <v>1910</v>
      </c>
      <c r="AE550" s="81" t="s">
        <v>2017</v>
      </c>
      <c r="AF550" s="81"/>
      <c r="AG550" s="81"/>
      <c r="AH550" s="81"/>
      <c r="AI550" s="81" t="s">
        <v>2566</v>
      </c>
      <c r="AJ550" s="85">
        <v>41854.767916666664</v>
      </c>
      <c r="AK550" s="83" t="str">
        <f>HYPERLINK("https://yt3.ggpht.com/ytc/AOPolaT0Jddlziol5xnB-PZe3u0kL1j-G5Wy8uUxjQRJ=s88-c-k-c0x00ffffff-no-rj")</f>
        <v>https://yt3.ggpht.com/ytc/AOPolaT0Jddlziol5xnB-PZe3u0kL1j-G5Wy8uUxjQRJ=s88-c-k-c0x00ffffff-no-rj</v>
      </c>
      <c r="AL550" s="81">
        <v>64997</v>
      </c>
      <c r="AM550" s="81">
        <v>0</v>
      </c>
      <c r="AN550" s="81">
        <v>965</v>
      </c>
      <c r="AO550" s="81" t="b">
        <v>0</v>
      </c>
      <c r="AP550" s="81">
        <v>579</v>
      </c>
      <c r="AQ550" s="81"/>
      <c r="AR550" s="81"/>
      <c r="AS550" s="81" t="s">
        <v>2571</v>
      </c>
      <c r="AT550" s="83" t="str">
        <f>HYPERLINK("https://www.youtube.com/channel/UCqXINvmzjxJ9yCyhtqP4SDQ")</f>
        <v>https://www.youtube.com/channel/UCqXINvmzjxJ9yCyhtqP4SDQ</v>
      </c>
      <c r="AU550" s="81">
        <v>6</v>
      </c>
      <c r="AV550" s="49"/>
      <c r="AW550" s="50"/>
      <c r="AX550" s="49"/>
      <c r="AY550" s="50"/>
      <c r="AZ550" s="49"/>
      <c r="BA550" s="50"/>
      <c r="BB550" s="49"/>
      <c r="BC550" s="50"/>
      <c r="BD550" s="49"/>
      <c r="BE550" s="49"/>
      <c r="BF550" s="49"/>
      <c r="BG550" s="49"/>
      <c r="BH550" s="49"/>
      <c r="BI550" s="49"/>
      <c r="BJ550" s="49"/>
      <c r="BK550" s="115" t="s">
        <v>4477</v>
      </c>
      <c r="BL550" s="115" t="s">
        <v>4477</v>
      </c>
      <c r="BM550" s="115" t="s">
        <v>4477</v>
      </c>
      <c r="BN550" s="115" t="s">
        <v>4477</v>
      </c>
      <c r="BO550" s="2"/>
      <c r="BP550" s="3"/>
      <c r="BQ550" s="3"/>
      <c r="BR550" s="3"/>
      <c r="BS550" s="3"/>
    </row>
    <row r="551" spans="1:71" ht="15">
      <c r="A551" s="66" t="s">
        <v>770</v>
      </c>
      <c r="B551" s="67"/>
      <c r="C551" s="67"/>
      <c r="D551" s="68">
        <v>150</v>
      </c>
      <c r="E551" s="70"/>
      <c r="F551" s="102" t="str">
        <f>HYPERLINK("https://yt3.ggpht.com/ytc/AOPolaR7nMHQQ_wgaEkq6xQVQdIDuWQS7qlVucPX83rn=s88-c-k-c0x00ffffff-no-rj")</f>
        <v>https://yt3.ggpht.com/ytc/AOPolaR7nMHQQ_wgaEkq6xQVQdIDuWQS7qlVucPX83rn=s88-c-k-c0x00ffffff-no-rj</v>
      </c>
      <c r="G551" s="67"/>
      <c r="H551" s="71" t="s">
        <v>1911</v>
      </c>
      <c r="I551" s="72"/>
      <c r="J551" s="72" t="s">
        <v>159</v>
      </c>
      <c r="K551" s="71" t="s">
        <v>1911</v>
      </c>
      <c r="L551" s="75">
        <v>1</v>
      </c>
      <c r="M551" s="76">
        <v>6494.810546875</v>
      </c>
      <c r="N551" s="76">
        <v>711.1358032226562</v>
      </c>
      <c r="O551" s="77"/>
      <c r="P551" s="78"/>
      <c r="Q551" s="78"/>
      <c r="R551" s="88"/>
      <c r="S551" s="49">
        <v>1</v>
      </c>
      <c r="T551" s="49">
        <v>1</v>
      </c>
      <c r="U551" s="50">
        <v>0</v>
      </c>
      <c r="V551" s="50">
        <v>0</v>
      </c>
      <c r="W551" s="50">
        <v>0</v>
      </c>
      <c r="X551" s="50">
        <v>0.001815</v>
      </c>
      <c r="Y551" s="50">
        <v>0</v>
      </c>
      <c r="Z551" s="50">
        <v>0</v>
      </c>
      <c r="AA551" s="73">
        <v>551</v>
      </c>
      <c r="AB551" s="73"/>
      <c r="AC551" s="74"/>
      <c r="AD551" s="81" t="s">
        <v>1911</v>
      </c>
      <c r="AE551" s="81" t="s">
        <v>2018</v>
      </c>
      <c r="AF551" s="81"/>
      <c r="AG551" s="81"/>
      <c r="AH551" s="81"/>
      <c r="AI551" s="81" t="s">
        <v>2567</v>
      </c>
      <c r="AJ551" s="85">
        <v>42220.70491898148</v>
      </c>
      <c r="AK551" s="83" t="str">
        <f>HYPERLINK("https://yt3.ggpht.com/ytc/AOPolaR7nMHQQ_wgaEkq6xQVQdIDuWQS7qlVucPX83rn=s88-c-k-c0x00ffffff-no-rj")</f>
        <v>https://yt3.ggpht.com/ytc/AOPolaR7nMHQQ_wgaEkq6xQVQdIDuWQS7qlVucPX83rn=s88-c-k-c0x00ffffff-no-rj</v>
      </c>
      <c r="AL551" s="81">
        <v>5675</v>
      </c>
      <c r="AM551" s="81">
        <v>0</v>
      </c>
      <c r="AN551" s="81">
        <v>44</v>
      </c>
      <c r="AO551" s="81" t="b">
        <v>0</v>
      </c>
      <c r="AP551" s="81">
        <v>19</v>
      </c>
      <c r="AQ551" s="81"/>
      <c r="AR551" s="81"/>
      <c r="AS551" s="81" t="s">
        <v>2571</v>
      </c>
      <c r="AT551" s="83" t="str">
        <f>HYPERLINK("https://www.youtube.com/channel/UCMdbxhTrvc48jOCVJyThL2A")</f>
        <v>https://www.youtube.com/channel/UCMdbxhTrvc48jOCVJyThL2A</v>
      </c>
      <c r="AU551" s="81">
        <v>6</v>
      </c>
      <c r="AV551" s="49"/>
      <c r="AW551" s="50"/>
      <c r="AX551" s="49"/>
      <c r="AY551" s="50"/>
      <c r="AZ551" s="49"/>
      <c r="BA551" s="50"/>
      <c r="BB551" s="49"/>
      <c r="BC551" s="50"/>
      <c r="BD551" s="49"/>
      <c r="BE551" s="49"/>
      <c r="BF551" s="49"/>
      <c r="BG551" s="49"/>
      <c r="BH551" s="49"/>
      <c r="BI551" s="49"/>
      <c r="BJ551" s="49"/>
      <c r="BK551" s="115" t="s">
        <v>4477</v>
      </c>
      <c r="BL551" s="115" t="s">
        <v>4477</v>
      </c>
      <c r="BM551" s="115" t="s">
        <v>4477</v>
      </c>
      <c r="BN551" s="115" t="s">
        <v>4477</v>
      </c>
      <c r="BO551" s="2"/>
      <c r="BP551" s="3"/>
      <c r="BQ551" s="3"/>
      <c r="BR551" s="3"/>
      <c r="BS551" s="3"/>
    </row>
    <row r="552" spans="1:71" ht="15">
      <c r="A552" s="66" t="s">
        <v>771</v>
      </c>
      <c r="B552" s="67"/>
      <c r="C552" s="67"/>
      <c r="D552" s="68">
        <v>150</v>
      </c>
      <c r="E552" s="70"/>
      <c r="F552" s="102" t="str">
        <f>HYPERLINK("https://yt3.ggpht.com/ytc/AOPolaQZr5FhyjQyTET5fnwSioyEND6yIDfE7ThibMXw=s88-c-k-c0x00ffffff-no-rj")</f>
        <v>https://yt3.ggpht.com/ytc/AOPolaQZr5FhyjQyTET5fnwSioyEND6yIDfE7ThibMXw=s88-c-k-c0x00ffffff-no-rj</v>
      </c>
      <c r="G552" s="67"/>
      <c r="H552" s="71" t="s">
        <v>1912</v>
      </c>
      <c r="I552" s="72"/>
      <c r="J552" s="72" t="s">
        <v>159</v>
      </c>
      <c r="K552" s="71" t="s">
        <v>1912</v>
      </c>
      <c r="L552" s="75">
        <v>1</v>
      </c>
      <c r="M552" s="76">
        <v>7822.82373046875</v>
      </c>
      <c r="N552" s="76">
        <v>1089.4501953125</v>
      </c>
      <c r="O552" s="77"/>
      <c r="P552" s="78"/>
      <c r="Q552" s="78"/>
      <c r="R552" s="88"/>
      <c r="S552" s="49">
        <v>1</v>
      </c>
      <c r="T552" s="49">
        <v>1</v>
      </c>
      <c r="U552" s="50">
        <v>0</v>
      </c>
      <c r="V552" s="50">
        <v>0</v>
      </c>
      <c r="W552" s="50">
        <v>0</v>
      </c>
      <c r="X552" s="50">
        <v>0.001815</v>
      </c>
      <c r="Y552" s="50">
        <v>0</v>
      </c>
      <c r="Z552" s="50">
        <v>0</v>
      </c>
      <c r="AA552" s="73">
        <v>552</v>
      </c>
      <c r="AB552" s="73"/>
      <c r="AC552" s="74"/>
      <c r="AD552" s="81" t="s">
        <v>1912</v>
      </c>
      <c r="AE552" s="81"/>
      <c r="AF552" s="81"/>
      <c r="AG552" s="81"/>
      <c r="AH552" s="81"/>
      <c r="AI552" s="81" t="s">
        <v>2568</v>
      </c>
      <c r="AJ552" s="85">
        <v>43060.84410879629</v>
      </c>
      <c r="AK552" s="83" t="str">
        <f>HYPERLINK("https://yt3.ggpht.com/ytc/AOPolaQZr5FhyjQyTET5fnwSioyEND6yIDfE7ThibMXw=s88-c-k-c0x00ffffff-no-rj")</f>
        <v>https://yt3.ggpht.com/ytc/AOPolaQZr5FhyjQyTET5fnwSioyEND6yIDfE7ThibMXw=s88-c-k-c0x00ffffff-no-rj</v>
      </c>
      <c r="AL552" s="81">
        <v>7246</v>
      </c>
      <c r="AM552" s="81">
        <v>0</v>
      </c>
      <c r="AN552" s="81">
        <v>121</v>
      </c>
      <c r="AO552" s="81" t="b">
        <v>0</v>
      </c>
      <c r="AP552" s="81">
        <v>96</v>
      </c>
      <c r="AQ552" s="81"/>
      <c r="AR552" s="81"/>
      <c r="AS552" s="81" t="s">
        <v>2571</v>
      </c>
      <c r="AT552" s="83" t="str">
        <f>HYPERLINK("https://www.youtube.com/channel/UCiqaENFNWjqWJxV0XcGt1Pw")</f>
        <v>https://www.youtube.com/channel/UCiqaENFNWjqWJxV0XcGt1Pw</v>
      </c>
      <c r="AU552" s="81">
        <v>6</v>
      </c>
      <c r="AV552" s="49"/>
      <c r="AW552" s="50"/>
      <c r="AX552" s="49"/>
      <c r="AY552" s="50"/>
      <c r="AZ552" s="49"/>
      <c r="BA552" s="50"/>
      <c r="BB552" s="49"/>
      <c r="BC552" s="50"/>
      <c r="BD552" s="49"/>
      <c r="BE552" s="49"/>
      <c r="BF552" s="49"/>
      <c r="BG552" s="49"/>
      <c r="BH552" s="49"/>
      <c r="BI552" s="49"/>
      <c r="BJ552" s="49"/>
      <c r="BK552" s="115" t="s">
        <v>4477</v>
      </c>
      <c r="BL552" s="115" t="s">
        <v>4477</v>
      </c>
      <c r="BM552" s="115" t="s">
        <v>4477</v>
      </c>
      <c r="BN552" s="115" t="s">
        <v>4477</v>
      </c>
      <c r="BO552" s="2"/>
      <c r="BP552" s="3"/>
      <c r="BQ552" s="3"/>
      <c r="BR552" s="3"/>
      <c r="BS552" s="3"/>
    </row>
    <row r="553" spans="1:71" ht="15">
      <c r="A553" s="89" t="s">
        <v>772</v>
      </c>
      <c r="B553" s="90"/>
      <c r="C553" s="90"/>
      <c r="D553" s="91">
        <v>150</v>
      </c>
      <c r="E553" s="92"/>
      <c r="F553" s="103" t="str">
        <f>HYPERLINK("https://yt3.ggpht.com/q-C6kn59-OOHgUWkCXVC57cVw0h8SZY-IOJPutkwyHuM0Bes9BxzFK0T5bzV3qyqgcN7J5qcsg=s88-c-k-c0x00ffffff-no-rj")</f>
        <v>https://yt3.ggpht.com/q-C6kn59-OOHgUWkCXVC57cVw0h8SZY-IOJPutkwyHuM0Bes9BxzFK0T5bzV3qyqgcN7J5qcsg=s88-c-k-c0x00ffffff-no-rj</v>
      </c>
      <c r="G553" s="90"/>
      <c r="H553" s="93" t="s">
        <v>1913</v>
      </c>
      <c r="I553" s="94"/>
      <c r="J553" s="94" t="s">
        <v>159</v>
      </c>
      <c r="K553" s="93" t="s">
        <v>1913</v>
      </c>
      <c r="L553" s="95">
        <v>1</v>
      </c>
      <c r="M553" s="96">
        <v>7490.81982421875</v>
      </c>
      <c r="N553" s="96">
        <v>1089.4501953125</v>
      </c>
      <c r="O553" s="97"/>
      <c r="P553" s="98"/>
      <c r="Q553" s="98"/>
      <c r="R553" s="99"/>
      <c r="S553" s="49">
        <v>1</v>
      </c>
      <c r="T553" s="49">
        <v>1</v>
      </c>
      <c r="U553" s="50">
        <v>0</v>
      </c>
      <c r="V553" s="50">
        <v>0</v>
      </c>
      <c r="W553" s="50">
        <v>0</v>
      </c>
      <c r="X553" s="50">
        <v>0.001815</v>
      </c>
      <c r="Y553" s="50">
        <v>0</v>
      </c>
      <c r="Z553" s="50">
        <v>0</v>
      </c>
      <c r="AA553" s="100">
        <v>553</v>
      </c>
      <c r="AB553" s="100"/>
      <c r="AC553" s="101"/>
      <c r="AD553" s="81" t="s">
        <v>1913</v>
      </c>
      <c r="AE553" s="81" t="s">
        <v>2019</v>
      </c>
      <c r="AF553" s="81"/>
      <c r="AG553" s="81"/>
      <c r="AH553" s="81"/>
      <c r="AI553" s="81" t="s">
        <v>2569</v>
      </c>
      <c r="AJ553" s="85">
        <v>42614.862395833334</v>
      </c>
      <c r="AK553" s="83" t="str">
        <f>HYPERLINK("https://yt3.ggpht.com/q-C6kn59-OOHgUWkCXVC57cVw0h8SZY-IOJPutkwyHuM0Bes9BxzFK0T5bzV3qyqgcN7J5qcsg=s88-c-k-c0x00ffffff-no-rj")</f>
        <v>https://yt3.ggpht.com/q-C6kn59-OOHgUWkCXVC57cVw0h8SZY-IOJPutkwyHuM0Bes9BxzFK0T5bzV3qyqgcN7J5qcsg=s88-c-k-c0x00ffffff-no-rj</v>
      </c>
      <c r="AL553" s="81">
        <v>35567</v>
      </c>
      <c r="AM553" s="81">
        <v>0</v>
      </c>
      <c r="AN553" s="81">
        <v>636</v>
      </c>
      <c r="AO553" s="81" t="b">
        <v>0</v>
      </c>
      <c r="AP553" s="81">
        <v>234</v>
      </c>
      <c r="AQ553" s="81"/>
      <c r="AR553" s="81"/>
      <c r="AS553" s="81" t="s">
        <v>2571</v>
      </c>
      <c r="AT553" s="83" t="str">
        <f>HYPERLINK("https://www.youtube.com/channel/UCocUu8iWasfmkgkUzDKJUcA")</f>
        <v>https://www.youtube.com/channel/UCocUu8iWasfmkgkUzDKJUcA</v>
      </c>
      <c r="AU553" s="81">
        <v>6</v>
      </c>
      <c r="AV553" s="49"/>
      <c r="AW553" s="50"/>
      <c r="AX553" s="49"/>
      <c r="AY553" s="50"/>
      <c r="AZ553" s="49"/>
      <c r="BA553" s="50"/>
      <c r="BB553" s="49"/>
      <c r="BC553" s="50"/>
      <c r="BD553" s="49"/>
      <c r="BE553" s="49"/>
      <c r="BF553" s="49"/>
      <c r="BG553" s="49"/>
      <c r="BH553" s="49"/>
      <c r="BI553" s="49"/>
      <c r="BJ553" s="49"/>
      <c r="BK553" s="115" t="s">
        <v>4477</v>
      </c>
      <c r="BL553" s="115" t="s">
        <v>4477</v>
      </c>
      <c r="BM553" s="115" t="s">
        <v>4477</v>
      </c>
      <c r="BN553" s="115" t="s">
        <v>4477</v>
      </c>
      <c r="BO553" s="2"/>
      <c r="BP553" s="3"/>
      <c r="BQ553" s="3"/>
      <c r="BR553" s="3"/>
      <c r="BS5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3"/>
    <dataValidation allowBlank="1" showInputMessage="1" promptTitle="Vertex Tooltip" prompt="Enter optional text that will pop up when the mouse is hovered over the vertex." errorTitle="Invalid Vertex Image Key" sqref="K3:K5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3"/>
    <dataValidation allowBlank="1" showInputMessage="1" promptTitle="Vertex Label Fill Color" prompt="To select an optional fill color for the Label shape, right-click and select Select Color on the right-click menu." sqref="I3:I553"/>
    <dataValidation allowBlank="1" showInputMessage="1" promptTitle="Vertex Image File" prompt="Enter the path to an image file.  Hover over the column header for examples." errorTitle="Invalid Vertex Image Key" sqref="F3:F553"/>
    <dataValidation allowBlank="1" showInputMessage="1" promptTitle="Vertex Color" prompt="To select an optional vertex color, right-click and select Select Color on the right-click menu." sqref="B3:B553"/>
    <dataValidation allowBlank="1" showInputMessage="1" promptTitle="Vertex Opacity" prompt="Enter an optional vertex opacity between 0 (transparent) and 100 (opaque)." errorTitle="Invalid Vertex Opacity" error="The optional vertex opacity must be a whole number between 0 and 10." sqref="E3:E553"/>
    <dataValidation type="list" allowBlank="1" showInputMessage="1" showErrorMessage="1" promptTitle="Vertex Shape" prompt="Select an optional vertex shape." errorTitle="Invalid Vertex Shape" error="You have entered an invalid vertex shape.  Try selecting from the drop-down list instead." sqref="C3:C5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3">
      <formula1>ValidVertexLabelPositions</formula1>
    </dataValidation>
    <dataValidation allowBlank="1" showInputMessage="1" showErrorMessage="1" promptTitle="Vertex Name" prompt="Enter the name of the vertex." sqref="A3:A5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v>
      </c>
      <c r="Z2" s="54" t="s">
        <v>215</v>
      </c>
      <c r="AA2" s="54" t="s">
        <v>216</v>
      </c>
      <c r="AB2" s="54" t="s">
        <v>217</v>
      </c>
      <c r="AC2" s="54" t="s">
        <v>218</v>
      </c>
      <c r="AD2" s="54" t="s">
        <v>219</v>
      </c>
      <c r="AE2" s="54" t="s">
        <v>220</v>
      </c>
      <c r="AF2" s="54" t="s">
        <v>221</v>
      </c>
      <c r="AG2" s="54" t="s">
        <v>4372</v>
      </c>
      <c r="AH2" s="13" t="s">
        <v>4432</v>
      </c>
      <c r="AI2" s="13" t="s">
        <v>4447</v>
      </c>
      <c r="AJ2" s="13" t="s">
        <v>4459</v>
      </c>
      <c r="AK2" s="13" t="s">
        <v>4471</v>
      </c>
      <c r="AL2" s="13" t="s">
        <v>4541</v>
      </c>
    </row>
    <row r="3" spans="1:38" ht="15">
      <c r="A3" s="66" t="s">
        <v>3500</v>
      </c>
      <c r="B3" s="67" t="s">
        <v>3514</v>
      </c>
      <c r="C3" s="67" t="s">
        <v>56</v>
      </c>
      <c r="D3" s="105"/>
      <c r="E3" s="14"/>
      <c r="F3" s="15" t="s">
        <v>4794</v>
      </c>
      <c r="G3" s="64"/>
      <c r="H3" s="64"/>
      <c r="I3" s="106">
        <v>3</v>
      </c>
      <c r="J3" s="51"/>
      <c r="K3" s="49">
        <v>196</v>
      </c>
      <c r="L3" s="49">
        <v>196</v>
      </c>
      <c r="M3" s="49">
        <v>0</v>
      </c>
      <c r="N3" s="49">
        <v>196</v>
      </c>
      <c r="O3" s="49">
        <v>1</v>
      </c>
      <c r="P3" s="50">
        <v>0</v>
      </c>
      <c r="Q3" s="50">
        <v>0</v>
      </c>
      <c r="R3" s="49">
        <v>1</v>
      </c>
      <c r="S3" s="49">
        <v>0</v>
      </c>
      <c r="T3" s="49">
        <v>196</v>
      </c>
      <c r="U3" s="49">
        <v>196</v>
      </c>
      <c r="V3" s="49">
        <v>2</v>
      </c>
      <c r="W3" s="50">
        <v>1.979644</v>
      </c>
      <c r="X3" s="50">
        <v>0.00510204081632653</v>
      </c>
      <c r="Y3" s="49">
        <v>141</v>
      </c>
      <c r="Z3" s="50">
        <v>4.066916642630516</v>
      </c>
      <c r="AA3" s="49">
        <v>127</v>
      </c>
      <c r="AB3" s="50">
        <v>3.6631093164118833</v>
      </c>
      <c r="AC3" s="49">
        <v>0</v>
      </c>
      <c r="AD3" s="50">
        <v>0</v>
      </c>
      <c r="AE3" s="49">
        <v>1167</v>
      </c>
      <c r="AF3" s="50">
        <v>33.66022497836747</v>
      </c>
      <c r="AG3" s="49">
        <v>3467</v>
      </c>
      <c r="AH3" s="81" t="s">
        <v>4405</v>
      </c>
      <c r="AI3" s="81" t="s">
        <v>2573</v>
      </c>
      <c r="AJ3" s="81"/>
      <c r="AK3" s="107" t="s">
        <v>4472</v>
      </c>
      <c r="AL3" s="107" t="s">
        <v>4542</v>
      </c>
    </row>
    <row r="4" spans="1:38" ht="15">
      <c r="A4" s="66" t="s">
        <v>3501</v>
      </c>
      <c r="B4" s="67" t="s">
        <v>3515</v>
      </c>
      <c r="C4" s="67" t="s">
        <v>56</v>
      </c>
      <c r="D4" s="105"/>
      <c r="E4" s="14"/>
      <c r="F4" s="15" t="s">
        <v>4795</v>
      </c>
      <c r="G4" s="64"/>
      <c r="H4" s="64"/>
      <c r="I4" s="106">
        <v>4</v>
      </c>
      <c r="J4" s="79"/>
      <c r="K4" s="49">
        <v>150</v>
      </c>
      <c r="L4" s="49">
        <v>150</v>
      </c>
      <c r="M4" s="49">
        <v>0</v>
      </c>
      <c r="N4" s="49">
        <v>150</v>
      </c>
      <c r="O4" s="49">
        <v>1</v>
      </c>
      <c r="P4" s="50">
        <v>0</v>
      </c>
      <c r="Q4" s="50">
        <v>0</v>
      </c>
      <c r="R4" s="49">
        <v>1</v>
      </c>
      <c r="S4" s="49">
        <v>0</v>
      </c>
      <c r="T4" s="49">
        <v>150</v>
      </c>
      <c r="U4" s="49">
        <v>150</v>
      </c>
      <c r="V4" s="49">
        <v>2</v>
      </c>
      <c r="W4" s="50">
        <v>1.973422</v>
      </c>
      <c r="X4" s="50">
        <v>0.006666666666666667</v>
      </c>
      <c r="Y4" s="49">
        <v>152</v>
      </c>
      <c r="Z4" s="50">
        <v>4.232804232804233</v>
      </c>
      <c r="AA4" s="49">
        <v>112</v>
      </c>
      <c r="AB4" s="50">
        <v>3.1189083820662766</v>
      </c>
      <c r="AC4" s="49">
        <v>0</v>
      </c>
      <c r="AD4" s="50">
        <v>0</v>
      </c>
      <c r="AE4" s="49">
        <v>1226</v>
      </c>
      <c r="AF4" s="50">
        <v>34.140907825118354</v>
      </c>
      <c r="AG4" s="49">
        <v>3591</v>
      </c>
      <c r="AH4" s="81" t="s">
        <v>4406</v>
      </c>
      <c r="AI4" s="81" t="s">
        <v>1860</v>
      </c>
      <c r="AJ4" s="81"/>
      <c r="AK4" s="107" t="s">
        <v>4473</v>
      </c>
      <c r="AL4" s="107" t="s">
        <v>4543</v>
      </c>
    </row>
    <row r="5" spans="1:38" ht="15">
      <c r="A5" s="66" t="s">
        <v>3502</v>
      </c>
      <c r="B5" s="67" t="s">
        <v>3516</v>
      </c>
      <c r="C5" s="67" t="s">
        <v>56</v>
      </c>
      <c r="D5" s="105"/>
      <c r="E5" s="14"/>
      <c r="F5" s="15" t="s">
        <v>4796</v>
      </c>
      <c r="G5" s="64"/>
      <c r="H5" s="64"/>
      <c r="I5" s="106">
        <v>5</v>
      </c>
      <c r="J5" s="79"/>
      <c r="K5" s="49">
        <v>66</v>
      </c>
      <c r="L5" s="49">
        <v>66</v>
      </c>
      <c r="M5" s="49">
        <v>0</v>
      </c>
      <c r="N5" s="49">
        <v>66</v>
      </c>
      <c r="O5" s="49">
        <v>1</v>
      </c>
      <c r="P5" s="50">
        <v>0</v>
      </c>
      <c r="Q5" s="50">
        <v>0</v>
      </c>
      <c r="R5" s="49">
        <v>1</v>
      </c>
      <c r="S5" s="49">
        <v>0</v>
      </c>
      <c r="T5" s="49">
        <v>66</v>
      </c>
      <c r="U5" s="49">
        <v>66</v>
      </c>
      <c r="V5" s="49">
        <v>2</v>
      </c>
      <c r="W5" s="50">
        <v>1.939853</v>
      </c>
      <c r="X5" s="50">
        <v>0.015151515151515152</v>
      </c>
      <c r="Y5" s="49">
        <v>106</v>
      </c>
      <c r="Z5" s="50">
        <v>3.212121212121212</v>
      </c>
      <c r="AA5" s="49">
        <v>131</v>
      </c>
      <c r="AB5" s="50">
        <v>3.9696969696969697</v>
      </c>
      <c r="AC5" s="49">
        <v>0</v>
      </c>
      <c r="AD5" s="50">
        <v>0</v>
      </c>
      <c r="AE5" s="49">
        <v>1080</v>
      </c>
      <c r="AF5" s="50">
        <v>32.72727272727273</v>
      </c>
      <c r="AG5" s="49">
        <v>3300</v>
      </c>
      <c r="AH5" s="81" t="s">
        <v>4410</v>
      </c>
      <c r="AI5" s="81" t="s">
        <v>1860</v>
      </c>
      <c r="AJ5" s="81"/>
      <c r="AK5" s="107" t="s">
        <v>4474</v>
      </c>
      <c r="AL5" s="107" t="s">
        <v>4544</v>
      </c>
    </row>
    <row r="6" spans="1:38" ht="15">
      <c r="A6" s="66" t="s">
        <v>3503</v>
      </c>
      <c r="B6" s="67" t="s">
        <v>3517</v>
      </c>
      <c r="C6" s="67" t="s">
        <v>56</v>
      </c>
      <c r="D6" s="105"/>
      <c r="E6" s="14"/>
      <c r="F6" s="15" t="s">
        <v>4797</v>
      </c>
      <c r="G6" s="64"/>
      <c r="H6" s="64"/>
      <c r="I6" s="106">
        <v>6</v>
      </c>
      <c r="J6" s="79"/>
      <c r="K6" s="49">
        <v>63</v>
      </c>
      <c r="L6" s="49">
        <v>63</v>
      </c>
      <c r="M6" s="49">
        <v>0</v>
      </c>
      <c r="N6" s="49">
        <v>63</v>
      </c>
      <c r="O6" s="49">
        <v>1</v>
      </c>
      <c r="P6" s="50">
        <v>0</v>
      </c>
      <c r="Q6" s="50">
        <v>0</v>
      </c>
      <c r="R6" s="49">
        <v>1</v>
      </c>
      <c r="S6" s="49">
        <v>0</v>
      </c>
      <c r="T6" s="49">
        <v>63</v>
      </c>
      <c r="U6" s="49">
        <v>63</v>
      </c>
      <c r="V6" s="49">
        <v>2</v>
      </c>
      <c r="W6" s="50">
        <v>1.937012</v>
      </c>
      <c r="X6" s="50">
        <v>0.015873015873015872</v>
      </c>
      <c r="Y6" s="49">
        <v>37</v>
      </c>
      <c r="Z6" s="50">
        <v>2.8505392912172574</v>
      </c>
      <c r="AA6" s="49">
        <v>31</v>
      </c>
      <c r="AB6" s="50">
        <v>2.3882896764252695</v>
      </c>
      <c r="AC6" s="49">
        <v>0</v>
      </c>
      <c r="AD6" s="50">
        <v>0</v>
      </c>
      <c r="AE6" s="49">
        <v>474</v>
      </c>
      <c r="AF6" s="50">
        <v>36.517719568567024</v>
      </c>
      <c r="AG6" s="49">
        <v>1298</v>
      </c>
      <c r="AH6" s="81"/>
      <c r="AI6" s="81"/>
      <c r="AJ6" s="81"/>
      <c r="AK6" s="107" t="s">
        <v>4475</v>
      </c>
      <c r="AL6" s="107" t="s">
        <v>4545</v>
      </c>
    </row>
    <row r="7" spans="1:38" ht="15">
      <c r="A7" s="66" t="s">
        <v>3504</v>
      </c>
      <c r="B7" s="67" t="s">
        <v>3518</v>
      </c>
      <c r="C7" s="67" t="s">
        <v>56</v>
      </c>
      <c r="D7" s="105"/>
      <c r="E7" s="14"/>
      <c r="F7" s="15" t="s">
        <v>4798</v>
      </c>
      <c r="G7" s="64"/>
      <c r="H7" s="64"/>
      <c r="I7" s="106">
        <v>7</v>
      </c>
      <c r="J7" s="79"/>
      <c r="K7" s="49">
        <v>24</v>
      </c>
      <c r="L7" s="49">
        <v>24</v>
      </c>
      <c r="M7" s="49">
        <v>0</v>
      </c>
      <c r="N7" s="49">
        <v>24</v>
      </c>
      <c r="O7" s="49">
        <v>1</v>
      </c>
      <c r="P7" s="50">
        <v>0</v>
      </c>
      <c r="Q7" s="50">
        <v>0</v>
      </c>
      <c r="R7" s="49">
        <v>1</v>
      </c>
      <c r="S7" s="49">
        <v>0</v>
      </c>
      <c r="T7" s="49">
        <v>24</v>
      </c>
      <c r="U7" s="49">
        <v>24</v>
      </c>
      <c r="V7" s="49">
        <v>2</v>
      </c>
      <c r="W7" s="50">
        <v>1.836806</v>
      </c>
      <c r="X7" s="50">
        <v>0.041666666666666664</v>
      </c>
      <c r="Y7" s="49">
        <v>23</v>
      </c>
      <c r="Z7" s="50">
        <v>3.2212885154061626</v>
      </c>
      <c r="AA7" s="49">
        <v>33</v>
      </c>
      <c r="AB7" s="50">
        <v>4.621848739495798</v>
      </c>
      <c r="AC7" s="49">
        <v>0</v>
      </c>
      <c r="AD7" s="50">
        <v>0</v>
      </c>
      <c r="AE7" s="49">
        <v>245</v>
      </c>
      <c r="AF7" s="50">
        <v>34.31372549019608</v>
      </c>
      <c r="AG7" s="49">
        <v>714</v>
      </c>
      <c r="AH7" s="81"/>
      <c r="AI7" s="81"/>
      <c r="AJ7" s="81"/>
      <c r="AK7" s="107" t="s">
        <v>4476</v>
      </c>
      <c r="AL7" s="107" t="s">
        <v>4546</v>
      </c>
    </row>
    <row r="8" spans="1:38" ht="15">
      <c r="A8" s="66" t="s">
        <v>3505</v>
      </c>
      <c r="B8" s="67" t="s">
        <v>3519</v>
      </c>
      <c r="C8" s="67" t="s">
        <v>56</v>
      </c>
      <c r="D8" s="105"/>
      <c r="E8" s="14"/>
      <c r="F8" s="15" t="s">
        <v>3505</v>
      </c>
      <c r="G8" s="64"/>
      <c r="H8" s="64"/>
      <c r="I8" s="106">
        <v>8</v>
      </c>
      <c r="J8" s="79"/>
      <c r="K8" s="49">
        <v>13</v>
      </c>
      <c r="L8" s="49">
        <v>13</v>
      </c>
      <c r="M8" s="49">
        <v>0</v>
      </c>
      <c r="N8" s="49">
        <v>13</v>
      </c>
      <c r="O8" s="49">
        <v>13</v>
      </c>
      <c r="P8" s="50" t="s">
        <v>3526</v>
      </c>
      <c r="Q8" s="50" t="s">
        <v>3526</v>
      </c>
      <c r="R8" s="49">
        <v>13</v>
      </c>
      <c r="S8" s="49">
        <v>13</v>
      </c>
      <c r="T8" s="49">
        <v>1</v>
      </c>
      <c r="U8" s="49">
        <v>1</v>
      </c>
      <c r="V8" s="49">
        <v>0</v>
      </c>
      <c r="W8" s="50">
        <v>0</v>
      </c>
      <c r="X8" s="50">
        <v>0</v>
      </c>
      <c r="Y8" s="49">
        <v>0</v>
      </c>
      <c r="Z8" s="50">
        <v>0</v>
      </c>
      <c r="AA8" s="49">
        <v>0</v>
      </c>
      <c r="AB8" s="50">
        <v>0</v>
      </c>
      <c r="AC8" s="49">
        <v>0</v>
      </c>
      <c r="AD8" s="50">
        <v>0</v>
      </c>
      <c r="AE8" s="49">
        <v>0</v>
      </c>
      <c r="AF8" s="50">
        <v>0</v>
      </c>
      <c r="AG8" s="49">
        <v>0</v>
      </c>
      <c r="AH8" s="81"/>
      <c r="AI8" s="81"/>
      <c r="AJ8" s="81"/>
      <c r="AK8" s="107" t="s">
        <v>4477</v>
      </c>
      <c r="AL8" s="107" t="s">
        <v>4477</v>
      </c>
    </row>
    <row r="9" spans="1:38" ht="15">
      <c r="A9" s="66" t="s">
        <v>3506</v>
      </c>
      <c r="B9" s="67" t="s">
        <v>3520</v>
      </c>
      <c r="C9" s="67" t="s">
        <v>56</v>
      </c>
      <c r="D9" s="105"/>
      <c r="E9" s="14"/>
      <c r="F9" s="15" t="s">
        <v>4799</v>
      </c>
      <c r="G9" s="64"/>
      <c r="H9" s="64"/>
      <c r="I9" s="106">
        <v>9</v>
      </c>
      <c r="J9" s="79"/>
      <c r="K9" s="49">
        <v>12</v>
      </c>
      <c r="L9" s="49">
        <v>12</v>
      </c>
      <c r="M9" s="49">
        <v>0</v>
      </c>
      <c r="N9" s="49">
        <v>12</v>
      </c>
      <c r="O9" s="49">
        <v>1</v>
      </c>
      <c r="P9" s="50">
        <v>0</v>
      </c>
      <c r="Q9" s="50">
        <v>0</v>
      </c>
      <c r="R9" s="49">
        <v>1</v>
      </c>
      <c r="S9" s="49">
        <v>0</v>
      </c>
      <c r="T9" s="49">
        <v>12</v>
      </c>
      <c r="U9" s="49">
        <v>12</v>
      </c>
      <c r="V9" s="49">
        <v>2</v>
      </c>
      <c r="W9" s="50">
        <v>1.680556</v>
      </c>
      <c r="X9" s="50">
        <v>0.08333333333333333</v>
      </c>
      <c r="Y9" s="49">
        <v>6</v>
      </c>
      <c r="Z9" s="50">
        <v>1.7094017094017093</v>
      </c>
      <c r="AA9" s="49">
        <v>7</v>
      </c>
      <c r="AB9" s="50">
        <v>1.9943019943019944</v>
      </c>
      <c r="AC9" s="49">
        <v>0</v>
      </c>
      <c r="AD9" s="50">
        <v>0</v>
      </c>
      <c r="AE9" s="49">
        <v>111</v>
      </c>
      <c r="AF9" s="50">
        <v>31.623931623931625</v>
      </c>
      <c r="AG9" s="49">
        <v>351</v>
      </c>
      <c r="AH9" s="81" t="s">
        <v>1859</v>
      </c>
      <c r="AI9" s="81" t="s">
        <v>1862</v>
      </c>
      <c r="AJ9" s="81"/>
      <c r="AK9" s="107" t="s">
        <v>4478</v>
      </c>
      <c r="AL9" s="107" t="s">
        <v>4547</v>
      </c>
    </row>
    <row r="10" spans="1:38" ht="14.25" customHeight="1">
      <c r="A10" s="66" t="s">
        <v>3507</v>
      </c>
      <c r="B10" s="67" t="s">
        <v>3521</v>
      </c>
      <c r="C10" s="67" t="s">
        <v>56</v>
      </c>
      <c r="D10" s="105"/>
      <c r="E10" s="14"/>
      <c r="F10" s="15" t="s">
        <v>4800</v>
      </c>
      <c r="G10" s="64"/>
      <c r="H10" s="64"/>
      <c r="I10" s="106">
        <v>10</v>
      </c>
      <c r="J10" s="79"/>
      <c r="K10" s="49">
        <v>9</v>
      </c>
      <c r="L10" s="49">
        <v>9</v>
      </c>
      <c r="M10" s="49">
        <v>0</v>
      </c>
      <c r="N10" s="49">
        <v>9</v>
      </c>
      <c r="O10" s="49">
        <v>1</v>
      </c>
      <c r="P10" s="50">
        <v>0</v>
      </c>
      <c r="Q10" s="50">
        <v>0</v>
      </c>
      <c r="R10" s="49">
        <v>1</v>
      </c>
      <c r="S10" s="49">
        <v>0</v>
      </c>
      <c r="T10" s="49">
        <v>9</v>
      </c>
      <c r="U10" s="49">
        <v>9</v>
      </c>
      <c r="V10" s="49">
        <v>2</v>
      </c>
      <c r="W10" s="50">
        <v>1.580247</v>
      </c>
      <c r="X10" s="50">
        <v>0.1111111111111111</v>
      </c>
      <c r="Y10" s="49">
        <v>2</v>
      </c>
      <c r="Z10" s="50">
        <v>1.2903225806451613</v>
      </c>
      <c r="AA10" s="49">
        <v>6</v>
      </c>
      <c r="AB10" s="50">
        <v>3.870967741935484</v>
      </c>
      <c r="AC10" s="49">
        <v>0</v>
      </c>
      <c r="AD10" s="50">
        <v>0</v>
      </c>
      <c r="AE10" s="49">
        <v>42</v>
      </c>
      <c r="AF10" s="50">
        <v>27.096774193548388</v>
      </c>
      <c r="AG10" s="49">
        <v>155</v>
      </c>
      <c r="AH10" s="81"/>
      <c r="AI10" s="81"/>
      <c r="AJ10" s="81"/>
      <c r="AK10" s="107" t="s">
        <v>4479</v>
      </c>
      <c r="AL10" s="107" t="s">
        <v>4477</v>
      </c>
    </row>
    <row r="11" spans="1:38" ht="15">
      <c r="A11" s="66" t="s">
        <v>3508</v>
      </c>
      <c r="B11" s="67" t="s">
        <v>3522</v>
      </c>
      <c r="C11" s="67" t="s">
        <v>56</v>
      </c>
      <c r="D11" s="105"/>
      <c r="E11" s="14"/>
      <c r="F11" s="15" t="s">
        <v>4801</v>
      </c>
      <c r="G11" s="64"/>
      <c r="H11" s="64"/>
      <c r="I11" s="106">
        <v>11</v>
      </c>
      <c r="J11" s="79"/>
      <c r="K11" s="49">
        <v>4</v>
      </c>
      <c r="L11" s="49">
        <v>4</v>
      </c>
      <c r="M11" s="49">
        <v>0</v>
      </c>
      <c r="N11" s="49">
        <v>4</v>
      </c>
      <c r="O11" s="49">
        <v>1</v>
      </c>
      <c r="P11" s="50">
        <v>0</v>
      </c>
      <c r="Q11" s="50">
        <v>0</v>
      </c>
      <c r="R11" s="49">
        <v>1</v>
      </c>
      <c r="S11" s="49">
        <v>0</v>
      </c>
      <c r="T11" s="49">
        <v>4</v>
      </c>
      <c r="U11" s="49">
        <v>4</v>
      </c>
      <c r="V11" s="49">
        <v>2</v>
      </c>
      <c r="W11" s="50">
        <v>1.125</v>
      </c>
      <c r="X11" s="50">
        <v>0.25</v>
      </c>
      <c r="Y11" s="49">
        <v>2</v>
      </c>
      <c r="Z11" s="50">
        <v>2.380952380952381</v>
      </c>
      <c r="AA11" s="49">
        <v>1</v>
      </c>
      <c r="AB11" s="50">
        <v>1.1904761904761905</v>
      </c>
      <c r="AC11" s="49">
        <v>0</v>
      </c>
      <c r="AD11" s="50">
        <v>0</v>
      </c>
      <c r="AE11" s="49">
        <v>22</v>
      </c>
      <c r="AF11" s="50">
        <v>26.19047619047619</v>
      </c>
      <c r="AG11" s="49">
        <v>84</v>
      </c>
      <c r="AH11" s="81"/>
      <c r="AI11" s="81"/>
      <c r="AJ11" s="81"/>
      <c r="AK11" s="107" t="s">
        <v>3848</v>
      </c>
      <c r="AL11" s="107" t="s">
        <v>4477</v>
      </c>
    </row>
    <row r="12" spans="1:38" ht="15">
      <c r="A12" s="66" t="s">
        <v>3509</v>
      </c>
      <c r="B12" s="67" t="s">
        <v>3523</v>
      </c>
      <c r="C12" s="67" t="s">
        <v>56</v>
      </c>
      <c r="D12" s="105"/>
      <c r="E12" s="14"/>
      <c r="F12" s="15" t="s">
        <v>4802</v>
      </c>
      <c r="G12" s="64"/>
      <c r="H12" s="64"/>
      <c r="I12" s="106">
        <v>12</v>
      </c>
      <c r="J12" s="79"/>
      <c r="K12" s="49">
        <v>4</v>
      </c>
      <c r="L12" s="49">
        <v>4</v>
      </c>
      <c r="M12" s="49">
        <v>0</v>
      </c>
      <c r="N12" s="49">
        <v>4</v>
      </c>
      <c r="O12" s="49">
        <v>1</v>
      </c>
      <c r="P12" s="50">
        <v>0</v>
      </c>
      <c r="Q12" s="50">
        <v>0</v>
      </c>
      <c r="R12" s="49">
        <v>1</v>
      </c>
      <c r="S12" s="49">
        <v>0</v>
      </c>
      <c r="T12" s="49">
        <v>4</v>
      </c>
      <c r="U12" s="49">
        <v>4</v>
      </c>
      <c r="V12" s="49">
        <v>2</v>
      </c>
      <c r="W12" s="50">
        <v>1.125</v>
      </c>
      <c r="X12" s="50">
        <v>0.25</v>
      </c>
      <c r="Y12" s="49">
        <v>4</v>
      </c>
      <c r="Z12" s="50">
        <v>14.285714285714286</v>
      </c>
      <c r="AA12" s="49">
        <v>0</v>
      </c>
      <c r="AB12" s="50">
        <v>0</v>
      </c>
      <c r="AC12" s="49">
        <v>0</v>
      </c>
      <c r="AD12" s="50">
        <v>0</v>
      </c>
      <c r="AE12" s="49">
        <v>10</v>
      </c>
      <c r="AF12" s="50">
        <v>35.714285714285715</v>
      </c>
      <c r="AG12" s="49">
        <v>28</v>
      </c>
      <c r="AH12" s="81"/>
      <c r="AI12" s="81"/>
      <c r="AJ12" s="81"/>
      <c r="AK12" s="107" t="s">
        <v>4480</v>
      </c>
      <c r="AL12" s="107" t="s">
        <v>4540</v>
      </c>
    </row>
    <row r="13" spans="1:38" ht="15">
      <c r="A13" s="66" t="s">
        <v>3510</v>
      </c>
      <c r="B13" s="67" t="s">
        <v>3524</v>
      </c>
      <c r="C13" s="67" t="s">
        <v>56</v>
      </c>
      <c r="D13" s="105"/>
      <c r="E13" s="14"/>
      <c r="F13" s="15" t="s">
        <v>4803</v>
      </c>
      <c r="G13" s="64"/>
      <c r="H13" s="64"/>
      <c r="I13" s="106">
        <v>13</v>
      </c>
      <c r="J13" s="79"/>
      <c r="K13" s="49">
        <v>4</v>
      </c>
      <c r="L13" s="49">
        <v>4</v>
      </c>
      <c r="M13" s="49">
        <v>0</v>
      </c>
      <c r="N13" s="49">
        <v>4</v>
      </c>
      <c r="O13" s="49">
        <v>1</v>
      </c>
      <c r="P13" s="50">
        <v>0</v>
      </c>
      <c r="Q13" s="50">
        <v>0</v>
      </c>
      <c r="R13" s="49">
        <v>1</v>
      </c>
      <c r="S13" s="49">
        <v>0</v>
      </c>
      <c r="T13" s="49">
        <v>4</v>
      </c>
      <c r="U13" s="49">
        <v>4</v>
      </c>
      <c r="V13" s="49">
        <v>2</v>
      </c>
      <c r="W13" s="50">
        <v>1.125</v>
      </c>
      <c r="X13" s="50">
        <v>0.25</v>
      </c>
      <c r="Y13" s="49">
        <v>3</v>
      </c>
      <c r="Z13" s="50">
        <v>20</v>
      </c>
      <c r="AA13" s="49">
        <v>1</v>
      </c>
      <c r="AB13" s="50">
        <v>6.666666666666667</v>
      </c>
      <c r="AC13" s="49">
        <v>0</v>
      </c>
      <c r="AD13" s="50">
        <v>0</v>
      </c>
      <c r="AE13" s="49">
        <v>5</v>
      </c>
      <c r="AF13" s="50">
        <v>33.333333333333336</v>
      </c>
      <c r="AG13" s="49">
        <v>15</v>
      </c>
      <c r="AH13" s="81"/>
      <c r="AI13" s="81"/>
      <c r="AJ13" s="81"/>
      <c r="AK13" s="107" t="s">
        <v>2951</v>
      </c>
      <c r="AL13" s="107" t="s">
        <v>4477</v>
      </c>
    </row>
    <row r="14" spans="1:38" ht="15">
      <c r="A14" s="66" t="s">
        <v>3511</v>
      </c>
      <c r="B14" s="67" t="s">
        <v>3525</v>
      </c>
      <c r="C14" s="67" t="s">
        <v>56</v>
      </c>
      <c r="D14" s="105"/>
      <c r="E14" s="14"/>
      <c r="F14" s="15" t="s">
        <v>3511</v>
      </c>
      <c r="G14" s="64"/>
      <c r="H14" s="64"/>
      <c r="I14" s="106">
        <v>14</v>
      </c>
      <c r="J14" s="79"/>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0</v>
      </c>
      <c r="AB14" s="50">
        <v>0</v>
      </c>
      <c r="AC14" s="49">
        <v>0</v>
      </c>
      <c r="AD14" s="50">
        <v>0</v>
      </c>
      <c r="AE14" s="49">
        <v>2</v>
      </c>
      <c r="AF14" s="50">
        <v>22.22222222222222</v>
      </c>
      <c r="AG14" s="49">
        <v>9</v>
      </c>
      <c r="AH14" s="81"/>
      <c r="AI14" s="81"/>
      <c r="AJ14" s="81"/>
      <c r="AK14" s="107" t="s">
        <v>4477</v>
      </c>
      <c r="AL14" s="107" t="s">
        <v>4477</v>
      </c>
    </row>
    <row r="15" spans="1:38" ht="15">
      <c r="A15" s="66" t="s">
        <v>3512</v>
      </c>
      <c r="B15" s="67" t="s">
        <v>3514</v>
      </c>
      <c r="C15" s="67" t="s">
        <v>59</v>
      </c>
      <c r="D15" s="105"/>
      <c r="E15" s="14"/>
      <c r="F15" s="15" t="s">
        <v>3512</v>
      </c>
      <c r="G15" s="64"/>
      <c r="H15" s="64"/>
      <c r="I15" s="106">
        <v>15</v>
      </c>
      <c r="J15" s="79"/>
      <c r="K15" s="49">
        <v>2</v>
      </c>
      <c r="L15" s="49">
        <v>2</v>
      </c>
      <c r="M15" s="49">
        <v>0</v>
      </c>
      <c r="N15" s="49">
        <v>2</v>
      </c>
      <c r="O15" s="49">
        <v>1</v>
      </c>
      <c r="P15" s="50">
        <v>0</v>
      </c>
      <c r="Q15" s="50">
        <v>0</v>
      </c>
      <c r="R15" s="49">
        <v>1</v>
      </c>
      <c r="S15" s="49">
        <v>0</v>
      </c>
      <c r="T15" s="49">
        <v>2</v>
      </c>
      <c r="U15" s="49">
        <v>2</v>
      </c>
      <c r="V15" s="49">
        <v>1</v>
      </c>
      <c r="W15" s="50">
        <v>0.5</v>
      </c>
      <c r="X15" s="50">
        <v>0.5</v>
      </c>
      <c r="Y15" s="49">
        <v>3</v>
      </c>
      <c r="Z15" s="50">
        <v>16.666666666666668</v>
      </c>
      <c r="AA15" s="49">
        <v>1</v>
      </c>
      <c r="AB15" s="50">
        <v>5.555555555555555</v>
      </c>
      <c r="AC15" s="49">
        <v>0</v>
      </c>
      <c r="AD15" s="50">
        <v>0</v>
      </c>
      <c r="AE15" s="49">
        <v>3</v>
      </c>
      <c r="AF15" s="50">
        <v>16.666666666666668</v>
      </c>
      <c r="AG15" s="49">
        <v>18</v>
      </c>
      <c r="AH15" s="81"/>
      <c r="AI15" s="81"/>
      <c r="AJ15" s="81"/>
      <c r="AK15" s="107" t="s">
        <v>4477</v>
      </c>
      <c r="AL15" s="107" t="s">
        <v>4477</v>
      </c>
    </row>
    <row r="16" spans="1:38" ht="15">
      <c r="A16" s="66" t="s">
        <v>3513</v>
      </c>
      <c r="B16" s="67" t="s">
        <v>3515</v>
      </c>
      <c r="C16" s="67" t="s">
        <v>59</v>
      </c>
      <c r="D16" s="105"/>
      <c r="E16" s="14"/>
      <c r="F16" s="15" t="s">
        <v>3513</v>
      </c>
      <c r="G16" s="64"/>
      <c r="H16" s="64"/>
      <c r="I16" s="106">
        <v>16</v>
      </c>
      <c r="J16" s="79"/>
      <c r="K16" s="49">
        <v>2</v>
      </c>
      <c r="L16" s="49">
        <v>2</v>
      </c>
      <c r="M16" s="49">
        <v>0</v>
      </c>
      <c r="N16" s="49">
        <v>2</v>
      </c>
      <c r="O16" s="49">
        <v>1</v>
      </c>
      <c r="P16" s="50">
        <v>0</v>
      </c>
      <c r="Q16" s="50">
        <v>0</v>
      </c>
      <c r="R16" s="49">
        <v>1</v>
      </c>
      <c r="S16" s="49">
        <v>0</v>
      </c>
      <c r="T16" s="49">
        <v>2</v>
      </c>
      <c r="U16" s="49">
        <v>2</v>
      </c>
      <c r="V16" s="49">
        <v>1</v>
      </c>
      <c r="W16" s="50">
        <v>0.5</v>
      </c>
      <c r="X16" s="50">
        <v>0.5</v>
      </c>
      <c r="Y16" s="49">
        <v>1</v>
      </c>
      <c r="Z16" s="50">
        <v>50</v>
      </c>
      <c r="AA16" s="49">
        <v>0</v>
      </c>
      <c r="AB16" s="50">
        <v>0</v>
      </c>
      <c r="AC16" s="49">
        <v>0</v>
      </c>
      <c r="AD16" s="50">
        <v>0</v>
      </c>
      <c r="AE16" s="49">
        <v>1</v>
      </c>
      <c r="AF16" s="50">
        <v>50</v>
      </c>
      <c r="AG16" s="49">
        <v>2</v>
      </c>
      <c r="AH16" s="81"/>
      <c r="AI16" s="81"/>
      <c r="AJ16" s="81"/>
      <c r="AK16" s="107" t="s">
        <v>4477</v>
      </c>
      <c r="AL16" s="107" t="s">
        <v>4477</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3500</v>
      </c>
      <c r="B2" s="107" t="s">
        <v>637</v>
      </c>
      <c r="C2" s="81">
        <f>VLOOKUP(GroupVertices[[#This Row],[Vertex]],Vertices[],MATCH("ID",Vertices[[#Headers],[Vertex]:[Top Word Pairs in Comment by Salience]],0),FALSE)</f>
        <v>419</v>
      </c>
    </row>
    <row r="3" spans="1:3" ht="15">
      <c r="A3" s="82" t="s">
        <v>3500</v>
      </c>
      <c r="B3" s="107" t="s">
        <v>636</v>
      </c>
      <c r="C3" s="81">
        <f>VLOOKUP(GroupVertices[[#This Row],[Vertex]],Vertices[],MATCH("ID",Vertices[[#Headers],[Vertex]:[Top Word Pairs in Comment by Salience]],0),FALSE)</f>
        <v>139</v>
      </c>
    </row>
    <row r="4" spans="1:3" ht="15">
      <c r="A4" s="82" t="s">
        <v>3500</v>
      </c>
      <c r="B4" s="107" t="s">
        <v>635</v>
      </c>
      <c r="C4" s="81">
        <f>VLOOKUP(GroupVertices[[#This Row],[Vertex]],Vertices[],MATCH("ID",Vertices[[#Headers],[Vertex]:[Top Word Pairs in Comment by Salience]],0),FALSE)</f>
        <v>418</v>
      </c>
    </row>
    <row r="5" spans="1:3" ht="15">
      <c r="A5" s="82" t="s">
        <v>3500</v>
      </c>
      <c r="B5" s="107" t="s">
        <v>634</v>
      </c>
      <c r="C5" s="81">
        <f>VLOOKUP(GroupVertices[[#This Row],[Vertex]],Vertices[],MATCH("ID",Vertices[[#Headers],[Vertex]:[Top Word Pairs in Comment by Salience]],0),FALSE)</f>
        <v>417</v>
      </c>
    </row>
    <row r="6" spans="1:3" ht="15">
      <c r="A6" s="82" t="s">
        <v>3500</v>
      </c>
      <c r="B6" s="107" t="s">
        <v>633</v>
      </c>
      <c r="C6" s="81">
        <f>VLOOKUP(GroupVertices[[#This Row],[Vertex]],Vertices[],MATCH("ID",Vertices[[#Headers],[Vertex]:[Top Word Pairs in Comment by Salience]],0),FALSE)</f>
        <v>416</v>
      </c>
    </row>
    <row r="7" spans="1:3" ht="15">
      <c r="A7" s="82" t="s">
        <v>3500</v>
      </c>
      <c r="B7" s="107" t="s">
        <v>632</v>
      </c>
      <c r="C7" s="81">
        <f>VLOOKUP(GroupVertices[[#This Row],[Vertex]],Vertices[],MATCH("ID",Vertices[[#Headers],[Vertex]:[Top Word Pairs in Comment by Salience]],0),FALSE)</f>
        <v>415</v>
      </c>
    </row>
    <row r="8" spans="1:3" ht="15">
      <c r="A8" s="82" t="s">
        <v>3500</v>
      </c>
      <c r="B8" s="107" t="s">
        <v>631</v>
      </c>
      <c r="C8" s="81">
        <f>VLOOKUP(GroupVertices[[#This Row],[Vertex]],Vertices[],MATCH("ID",Vertices[[#Headers],[Vertex]:[Top Word Pairs in Comment by Salience]],0),FALSE)</f>
        <v>414</v>
      </c>
    </row>
    <row r="9" spans="1:3" ht="15">
      <c r="A9" s="82" t="s">
        <v>3500</v>
      </c>
      <c r="B9" s="107" t="s">
        <v>630</v>
      </c>
      <c r="C9" s="81">
        <f>VLOOKUP(GroupVertices[[#This Row],[Vertex]],Vertices[],MATCH("ID",Vertices[[#Headers],[Vertex]:[Top Word Pairs in Comment by Salience]],0),FALSE)</f>
        <v>413</v>
      </c>
    </row>
    <row r="10" spans="1:3" ht="15">
      <c r="A10" s="82" t="s">
        <v>3500</v>
      </c>
      <c r="B10" s="107" t="s">
        <v>629</v>
      </c>
      <c r="C10" s="81">
        <f>VLOOKUP(GroupVertices[[#This Row],[Vertex]],Vertices[],MATCH("ID",Vertices[[#Headers],[Vertex]:[Top Word Pairs in Comment by Salience]],0),FALSE)</f>
        <v>412</v>
      </c>
    </row>
    <row r="11" spans="1:3" ht="15">
      <c r="A11" s="82" t="s">
        <v>3500</v>
      </c>
      <c r="B11" s="107" t="s">
        <v>628</v>
      </c>
      <c r="C11" s="81">
        <f>VLOOKUP(GroupVertices[[#This Row],[Vertex]],Vertices[],MATCH("ID",Vertices[[#Headers],[Vertex]:[Top Word Pairs in Comment by Salience]],0),FALSE)</f>
        <v>411</v>
      </c>
    </row>
    <row r="12" spans="1:3" ht="15">
      <c r="A12" s="82" t="s">
        <v>3500</v>
      </c>
      <c r="B12" s="107" t="s">
        <v>627</v>
      </c>
      <c r="C12" s="81">
        <f>VLOOKUP(GroupVertices[[#This Row],[Vertex]],Vertices[],MATCH("ID",Vertices[[#Headers],[Vertex]:[Top Word Pairs in Comment by Salience]],0),FALSE)</f>
        <v>410</v>
      </c>
    </row>
    <row r="13" spans="1:3" ht="15">
      <c r="A13" s="82" t="s">
        <v>3500</v>
      </c>
      <c r="B13" s="107" t="s">
        <v>626</v>
      </c>
      <c r="C13" s="81">
        <f>VLOOKUP(GroupVertices[[#This Row],[Vertex]],Vertices[],MATCH("ID",Vertices[[#Headers],[Vertex]:[Top Word Pairs in Comment by Salience]],0),FALSE)</f>
        <v>409</v>
      </c>
    </row>
    <row r="14" spans="1:3" ht="15">
      <c r="A14" s="82" t="s">
        <v>3500</v>
      </c>
      <c r="B14" s="107" t="s">
        <v>625</v>
      </c>
      <c r="C14" s="81">
        <f>VLOOKUP(GroupVertices[[#This Row],[Vertex]],Vertices[],MATCH("ID",Vertices[[#Headers],[Vertex]:[Top Word Pairs in Comment by Salience]],0),FALSE)</f>
        <v>408</v>
      </c>
    </row>
    <row r="15" spans="1:3" ht="15">
      <c r="A15" s="82" t="s">
        <v>3500</v>
      </c>
      <c r="B15" s="107" t="s">
        <v>624</v>
      </c>
      <c r="C15" s="81">
        <f>VLOOKUP(GroupVertices[[#This Row],[Vertex]],Vertices[],MATCH("ID",Vertices[[#Headers],[Vertex]:[Top Word Pairs in Comment by Salience]],0),FALSE)</f>
        <v>407</v>
      </c>
    </row>
    <row r="16" spans="1:3" ht="15">
      <c r="A16" s="82" t="s">
        <v>3500</v>
      </c>
      <c r="B16" s="107" t="s">
        <v>623</v>
      </c>
      <c r="C16" s="81">
        <f>VLOOKUP(GroupVertices[[#This Row],[Vertex]],Vertices[],MATCH("ID",Vertices[[#Headers],[Vertex]:[Top Word Pairs in Comment by Salience]],0),FALSE)</f>
        <v>406</v>
      </c>
    </row>
    <row r="17" spans="1:3" ht="15">
      <c r="A17" s="82" t="s">
        <v>3500</v>
      </c>
      <c r="B17" s="107" t="s">
        <v>622</v>
      </c>
      <c r="C17" s="81">
        <f>VLOOKUP(GroupVertices[[#This Row],[Vertex]],Vertices[],MATCH("ID",Vertices[[#Headers],[Vertex]:[Top Word Pairs in Comment by Salience]],0),FALSE)</f>
        <v>405</v>
      </c>
    </row>
    <row r="18" spans="1:3" ht="15">
      <c r="A18" s="82" t="s">
        <v>3500</v>
      </c>
      <c r="B18" s="107" t="s">
        <v>621</v>
      </c>
      <c r="C18" s="81">
        <f>VLOOKUP(GroupVertices[[#This Row],[Vertex]],Vertices[],MATCH("ID",Vertices[[#Headers],[Vertex]:[Top Word Pairs in Comment by Salience]],0),FALSE)</f>
        <v>404</v>
      </c>
    </row>
    <row r="19" spans="1:3" ht="15">
      <c r="A19" s="82" t="s">
        <v>3500</v>
      </c>
      <c r="B19" s="107" t="s">
        <v>620</v>
      </c>
      <c r="C19" s="81">
        <f>VLOOKUP(GroupVertices[[#This Row],[Vertex]],Vertices[],MATCH("ID",Vertices[[#Headers],[Vertex]:[Top Word Pairs in Comment by Salience]],0),FALSE)</f>
        <v>403</v>
      </c>
    </row>
    <row r="20" spans="1:3" ht="15">
      <c r="A20" s="82" t="s">
        <v>3500</v>
      </c>
      <c r="B20" s="107" t="s">
        <v>619</v>
      </c>
      <c r="C20" s="81">
        <f>VLOOKUP(GroupVertices[[#This Row],[Vertex]],Vertices[],MATCH("ID",Vertices[[#Headers],[Vertex]:[Top Word Pairs in Comment by Salience]],0),FALSE)</f>
        <v>402</v>
      </c>
    </row>
    <row r="21" spans="1:3" ht="15">
      <c r="A21" s="82" t="s">
        <v>3500</v>
      </c>
      <c r="B21" s="107" t="s">
        <v>618</v>
      </c>
      <c r="C21" s="81">
        <f>VLOOKUP(GroupVertices[[#This Row],[Vertex]],Vertices[],MATCH("ID",Vertices[[#Headers],[Vertex]:[Top Word Pairs in Comment by Salience]],0),FALSE)</f>
        <v>401</v>
      </c>
    </row>
    <row r="22" spans="1:3" ht="15">
      <c r="A22" s="82" t="s">
        <v>3500</v>
      </c>
      <c r="B22" s="107" t="s">
        <v>617</v>
      </c>
      <c r="C22" s="81">
        <f>VLOOKUP(GroupVertices[[#This Row],[Vertex]],Vertices[],MATCH("ID",Vertices[[#Headers],[Vertex]:[Top Word Pairs in Comment by Salience]],0),FALSE)</f>
        <v>400</v>
      </c>
    </row>
    <row r="23" spans="1:3" ht="15">
      <c r="A23" s="82" t="s">
        <v>3500</v>
      </c>
      <c r="B23" s="107" t="s">
        <v>616</v>
      </c>
      <c r="C23" s="81">
        <f>VLOOKUP(GroupVertices[[#This Row],[Vertex]],Vertices[],MATCH("ID",Vertices[[#Headers],[Vertex]:[Top Word Pairs in Comment by Salience]],0),FALSE)</f>
        <v>399</v>
      </c>
    </row>
    <row r="24" spans="1:3" ht="15">
      <c r="A24" s="82" t="s">
        <v>3500</v>
      </c>
      <c r="B24" s="107" t="s">
        <v>615</v>
      </c>
      <c r="C24" s="81">
        <f>VLOOKUP(GroupVertices[[#This Row],[Vertex]],Vertices[],MATCH("ID",Vertices[[#Headers],[Vertex]:[Top Word Pairs in Comment by Salience]],0),FALSE)</f>
        <v>398</v>
      </c>
    </row>
    <row r="25" spans="1:3" ht="15">
      <c r="A25" s="82" t="s">
        <v>3500</v>
      </c>
      <c r="B25" s="107" t="s">
        <v>614</v>
      </c>
      <c r="C25" s="81">
        <f>VLOOKUP(GroupVertices[[#This Row],[Vertex]],Vertices[],MATCH("ID",Vertices[[#Headers],[Vertex]:[Top Word Pairs in Comment by Salience]],0),FALSE)</f>
        <v>397</v>
      </c>
    </row>
    <row r="26" spans="1:3" ht="15">
      <c r="A26" s="82" t="s">
        <v>3500</v>
      </c>
      <c r="B26" s="107" t="s">
        <v>613</v>
      </c>
      <c r="C26" s="81">
        <f>VLOOKUP(GroupVertices[[#This Row],[Vertex]],Vertices[],MATCH("ID",Vertices[[#Headers],[Vertex]:[Top Word Pairs in Comment by Salience]],0),FALSE)</f>
        <v>396</v>
      </c>
    </row>
    <row r="27" spans="1:3" ht="15">
      <c r="A27" s="82" t="s">
        <v>3500</v>
      </c>
      <c r="B27" s="107" t="s">
        <v>612</v>
      </c>
      <c r="C27" s="81">
        <f>VLOOKUP(GroupVertices[[#This Row],[Vertex]],Vertices[],MATCH("ID",Vertices[[#Headers],[Vertex]:[Top Word Pairs in Comment by Salience]],0),FALSE)</f>
        <v>395</v>
      </c>
    </row>
    <row r="28" spans="1:3" ht="15">
      <c r="A28" s="82" t="s">
        <v>3500</v>
      </c>
      <c r="B28" s="107" t="s">
        <v>611</v>
      </c>
      <c r="C28" s="81">
        <f>VLOOKUP(GroupVertices[[#This Row],[Vertex]],Vertices[],MATCH("ID",Vertices[[#Headers],[Vertex]:[Top Word Pairs in Comment by Salience]],0),FALSE)</f>
        <v>394</v>
      </c>
    </row>
    <row r="29" spans="1:3" ht="15">
      <c r="A29" s="82" t="s">
        <v>3500</v>
      </c>
      <c r="B29" s="107" t="s">
        <v>610</v>
      </c>
      <c r="C29" s="81">
        <f>VLOOKUP(GroupVertices[[#This Row],[Vertex]],Vertices[],MATCH("ID",Vertices[[#Headers],[Vertex]:[Top Word Pairs in Comment by Salience]],0),FALSE)</f>
        <v>393</v>
      </c>
    </row>
    <row r="30" spans="1:3" ht="15">
      <c r="A30" s="82" t="s">
        <v>3500</v>
      </c>
      <c r="B30" s="107" t="s">
        <v>609</v>
      </c>
      <c r="C30" s="81">
        <f>VLOOKUP(GroupVertices[[#This Row],[Vertex]],Vertices[],MATCH("ID",Vertices[[#Headers],[Vertex]:[Top Word Pairs in Comment by Salience]],0),FALSE)</f>
        <v>392</v>
      </c>
    </row>
    <row r="31" spans="1:3" ht="15">
      <c r="A31" s="82" t="s">
        <v>3500</v>
      </c>
      <c r="B31" s="107" t="s">
        <v>608</v>
      </c>
      <c r="C31" s="81">
        <f>VLOOKUP(GroupVertices[[#This Row],[Vertex]],Vertices[],MATCH("ID",Vertices[[#Headers],[Vertex]:[Top Word Pairs in Comment by Salience]],0),FALSE)</f>
        <v>391</v>
      </c>
    </row>
    <row r="32" spans="1:3" ht="15">
      <c r="A32" s="82" t="s">
        <v>3500</v>
      </c>
      <c r="B32" s="107" t="s">
        <v>607</v>
      </c>
      <c r="C32" s="81">
        <f>VLOOKUP(GroupVertices[[#This Row],[Vertex]],Vertices[],MATCH("ID",Vertices[[#Headers],[Vertex]:[Top Word Pairs in Comment by Salience]],0),FALSE)</f>
        <v>390</v>
      </c>
    </row>
    <row r="33" spans="1:3" ht="15">
      <c r="A33" s="82" t="s">
        <v>3500</v>
      </c>
      <c r="B33" s="107" t="s">
        <v>606</v>
      </c>
      <c r="C33" s="81">
        <f>VLOOKUP(GroupVertices[[#This Row],[Vertex]],Vertices[],MATCH("ID",Vertices[[#Headers],[Vertex]:[Top Word Pairs in Comment by Salience]],0),FALSE)</f>
        <v>389</v>
      </c>
    </row>
    <row r="34" spans="1:3" ht="15">
      <c r="A34" s="82" t="s">
        <v>3500</v>
      </c>
      <c r="B34" s="107" t="s">
        <v>605</v>
      </c>
      <c r="C34" s="81">
        <f>VLOOKUP(GroupVertices[[#This Row],[Vertex]],Vertices[],MATCH("ID",Vertices[[#Headers],[Vertex]:[Top Word Pairs in Comment by Salience]],0),FALSE)</f>
        <v>388</v>
      </c>
    </row>
    <row r="35" spans="1:3" ht="15">
      <c r="A35" s="82" t="s">
        <v>3500</v>
      </c>
      <c r="B35" s="107" t="s">
        <v>604</v>
      </c>
      <c r="C35" s="81">
        <f>VLOOKUP(GroupVertices[[#This Row],[Vertex]],Vertices[],MATCH("ID",Vertices[[#Headers],[Vertex]:[Top Word Pairs in Comment by Salience]],0),FALSE)</f>
        <v>387</v>
      </c>
    </row>
    <row r="36" spans="1:3" ht="15">
      <c r="A36" s="82" t="s">
        <v>3500</v>
      </c>
      <c r="B36" s="107" t="s">
        <v>603</v>
      </c>
      <c r="C36" s="81">
        <f>VLOOKUP(GroupVertices[[#This Row],[Vertex]],Vertices[],MATCH("ID",Vertices[[#Headers],[Vertex]:[Top Word Pairs in Comment by Salience]],0),FALSE)</f>
        <v>386</v>
      </c>
    </row>
    <row r="37" spans="1:3" ht="15">
      <c r="A37" s="82" t="s">
        <v>3500</v>
      </c>
      <c r="B37" s="107" t="s">
        <v>602</v>
      </c>
      <c r="C37" s="81">
        <f>VLOOKUP(GroupVertices[[#This Row],[Vertex]],Vertices[],MATCH("ID",Vertices[[#Headers],[Vertex]:[Top Word Pairs in Comment by Salience]],0),FALSE)</f>
        <v>385</v>
      </c>
    </row>
    <row r="38" spans="1:3" ht="15">
      <c r="A38" s="82" t="s">
        <v>3500</v>
      </c>
      <c r="B38" s="107" t="s">
        <v>601</v>
      </c>
      <c r="C38" s="81">
        <f>VLOOKUP(GroupVertices[[#This Row],[Vertex]],Vertices[],MATCH("ID",Vertices[[#Headers],[Vertex]:[Top Word Pairs in Comment by Salience]],0),FALSE)</f>
        <v>384</v>
      </c>
    </row>
    <row r="39" spans="1:3" ht="15">
      <c r="A39" s="82" t="s">
        <v>3500</v>
      </c>
      <c r="B39" s="107" t="s">
        <v>600</v>
      </c>
      <c r="C39" s="81">
        <f>VLOOKUP(GroupVertices[[#This Row],[Vertex]],Vertices[],MATCH("ID",Vertices[[#Headers],[Vertex]:[Top Word Pairs in Comment by Salience]],0),FALSE)</f>
        <v>383</v>
      </c>
    </row>
    <row r="40" spans="1:3" ht="15">
      <c r="A40" s="82" t="s">
        <v>3500</v>
      </c>
      <c r="B40" s="107" t="s">
        <v>599</v>
      </c>
      <c r="C40" s="81">
        <f>VLOOKUP(GroupVertices[[#This Row],[Vertex]],Vertices[],MATCH("ID",Vertices[[#Headers],[Vertex]:[Top Word Pairs in Comment by Salience]],0),FALSE)</f>
        <v>382</v>
      </c>
    </row>
    <row r="41" spans="1:3" ht="15">
      <c r="A41" s="82" t="s">
        <v>3500</v>
      </c>
      <c r="B41" s="107" t="s">
        <v>598</v>
      </c>
      <c r="C41" s="81">
        <f>VLOOKUP(GroupVertices[[#This Row],[Vertex]],Vertices[],MATCH("ID",Vertices[[#Headers],[Vertex]:[Top Word Pairs in Comment by Salience]],0),FALSE)</f>
        <v>381</v>
      </c>
    </row>
    <row r="42" spans="1:3" ht="15">
      <c r="A42" s="82" t="s">
        <v>3500</v>
      </c>
      <c r="B42" s="107" t="s">
        <v>597</v>
      </c>
      <c r="C42" s="81">
        <f>VLOOKUP(GroupVertices[[#This Row],[Vertex]],Vertices[],MATCH("ID",Vertices[[#Headers],[Vertex]:[Top Word Pairs in Comment by Salience]],0),FALSE)</f>
        <v>380</v>
      </c>
    </row>
    <row r="43" spans="1:3" ht="15">
      <c r="A43" s="82" t="s">
        <v>3500</v>
      </c>
      <c r="B43" s="107" t="s">
        <v>596</v>
      </c>
      <c r="C43" s="81">
        <f>VLOOKUP(GroupVertices[[#This Row],[Vertex]],Vertices[],MATCH("ID",Vertices[[#Headers],[Vertex]:[Top Word Pairs in Comment by Salience]],0),FALSE)</f>
        <v>379</v>
      </c>
    </row>
    <row r="44" spans="1:3" ht="15">
      <c r="A44" s="82" t="s">
        <v>3500</v>
      </c>
      <c r="B44" s="107" t="s">
        <v>595</v>
      </c>
      <c r="C44" s="81">
        <f>VLOOKUP(GroupVertices[[#This Row],[Vertex]],Vertices[],MATCH("ID",Vertices[[#Headers],[Vertex]:[Top Word Pairs in Comment by Salience]],0),FALSE)</f>
        <v>378</v>
      </c>
    </row>
    <row r="45" spans="1:3" ht="15">
      <c r="A45" s="82" t="s">
        <v>3500</v>
      </c>
      <c r="B45" s="107" t="s">
        <v>594</v>
      </c>
      <c r="C45" s="81">
        <f>VLOOKUP(GroupVertices[[#This Row],[Vertex]],Vertices[],MATCH("ID",Vertices[[#Headers],[Vertex]:[Top Word Pairs in Comment by Salience]],0),FALSE)</f>
        <v>377</v>
      </c>
    </row>
    <row r="46" spans="1:3" ht="15">
      <c r="A46" s="82" t="s">
        <v>3500</v>
      </c>
      <c r="B46" s="107" t="s">
        <v>593</v>
      </c>
      <c r="C46" s="81">
        <f>VLOOKUP(GroupVertices[[#This Row],[Vertex]],Vertices[],MATCH("ID",Vertices[[#Headers],[Vertex]:[Top Word Pairs in Comment by Salience]],0),FALSE)</f>
        <v>376</v>
      </c>
    </row>
    <row r="47" spans="1:3" ht="15">
      <c r="A47" s="82" t="s">
        <v>3500</v>
      </c>
      <c r="B47" s="107" t="s">
        <v>592</v>
      </c>
      <c r="C47" s="81">
        <f>VLOOKUP(GroupVertices[[#This Row],[Vertex]],Vertices[],MATCH("ID",Vertices[[#Headers],[Vertex]:[Top Word Pairs in Comment by Salience]],0),FALSE)</f>
        <v>375</v>
      </c>
    </row>
    <row r="48" spans="1:3" ht="15">
      <c r="A48" s="82" t="s">
        <v>3500</v>
      </c>
      <c r="B48" s="107" t="s">
        <v>591</v>
      </c>
      <c r="C48" s="81">
        <f>VLOOKUP(GroupVertices[[#This Row],[Vertex]],Vertices[],MATCH("ID",Vertices[[#Headers],[Vertex]:[Top Word Pairs in Comment by Salience]],0),FALSE)</f>
        <v>374</v>
      </c>
    </row>
    <row r="49" spans="1:3" ht="15">
      <c r="A49" s="82" t="s">
        <v>3500</v>
      </c>
      <c r="B49" s="107" t="s">
        <v>590</v>
      </c>
      <c r="C49" s="81">
        <f>VLOOKUP(GroupVertices[[#This Row],[Vertex]],Vertices[],MATCH("ID",Vertices[[#Headers],[Vertex]:[Top Word Pairs in Comment by Salience]],0),FALSE)</f>
        <v>373</v>
      </c>
    </row>
    <row r="50" spans="1:3" ht="15">
      <c r="A50" s="82" t="s">
        <v>3500</v>
      </c>
      <c r="B50" s="107" t="s">
        <v>589</v>
      </c>
      <c r="C50" s="81">
        <f>VLOOKUP(GroupVertices[[#This Row],[Vertex]],Vertices[],MATCH("ID",Vertices[[#Headers],[Vertex]:[Top Word Pairs in Comment by Salience]],0),FALSE)</f>
        <v>372</v>
      </c>
    </row>
    <row r="51" spans="1:3" ht="15">
      <c r="A51" s="82" t="s">
        <v>3500</v>
      </c>
      <c r="B51" s="107" t="s">
        <v>588</v>
      </c>
      <c r="C51" s="81">
        <f>VLOOKUP(GroupVertices[[#This Row],[Vertex]],Vertices[],MATCH("ID",Vertices[[#Headers],[Vertex]:[Top Word Pairs in Comment by Salience]],0),FALSE)</f>
        <v>371</v>
      </c>
    </row>
    <row r="52" spans="1:3" ht="15">
      <c r="A52" s="82" t="s">
        <v>3500</v>
      </c>
      <c r="B52" s="107" t="s">
        <v>587</v>
      </c>
      <c r="C52" s="81">
        <f>VLOOKUP(GroupVertices[[#This Row],[Vertex]],Vertices[],MATCH("ID",Vertices[[#Headers],[Vertex]:[Top Word Pairs in Comment by Salience]],0),FALSE)</f>
        <v>370</v>
      </c>
    </row>
    <row r="53" spans="1:3" ht="15">
      <c r="A53" s="82" t="s">
        <v>3500</v>
      </c>
      <c r="B53" s="107" t="s">
        <v>586</v>
      </c>
      <c r="C53" s="81">
        <f>VLOOKUP(GroupVertices[[#This Row],[Vertex]],Vertices[],MATCH("ID",Vertices[[#Headers],[Vertex]:[Top Word Pairs in Comment by Salience]],0),FALSE)</f>
        <v>369</v>
      </c>
    </row>
    <row r="54" spans="1:3" ht="15">
      <c r="A54" s="82" t="s">
        <v>3500</v>
      </c>
      <c r="B54" s="107" t="s">
        <v>585</v>
      </c>
      <c r="C54" s="81">
        <f>VLOOKUP(GroupVertices[[#This Row],[Vertex]],Vertices[],MATCH("ID",Vertices[[#Headers],[Vertex]:[Top Word Pairs in Comment by Salience]],0),FALSE)</f>
        <v>368</v>
      </c>
    </row>
    <row r="55" spans="1:3" ht="15">
      <c r="A55" s="82" t="s">
        <v>3500</v>
      </c>
      <c r="B55" s="107" t="s">
        <v>584</v>
      </c>
      <c r="C55" s="81">
        <f>VLOOKUP(GroupVertices[[#This Row],[Vertex]],Vertices[],MATCH("ID",Vertices[[#Headers],[Vertex]:[Top Word Pairs in Comment by Salience]],0),FALSE)</f>
        <v>367</v>
      </c>
    </row>
    <row r="56" spans="1:3" ht="15">
      <c r="A56" s="82" t="s">
        <v>3500</v>
      </c>
      <c r="B56" s="107" t="s">
        <v>583</v>
      </c>
      <c r="C56" s="81">
        <f>VLOOKUP(GroupVertices[[#This Row],[Vertex]],Vertices[],MATCH("ID",Vertices[[#Headers],[Vertex]:[Top Word Pairs in Comment by Salience]],0),FALSE)</f>
        <v>366</v>
      </c>
    </row>
    <row r="57" spans="1:3" ht="15">
      <c r="A57" s="82" t="s">
        <v>3500</v>
      </c>
      <c r="B57" s="107" t="s">
        <v>582</v>
      </c>
      <c r="C57" s="81">
        <f>VLOOKUP(GroupVertices[[#This Row],[Vertex]],Vertices[],MATCH("ID",Vertices[[#Headers],[Vertex]:[Top Word Pairs in Comment by Salience]],0),FALSE)</f>
        <v>365</v>
      </c>
    </row>
    <row r="58" spans="1:3" ht="15">
      <c r="A58" s="82" t="s">
        <v>3500</v>
      </c>
      <c r="B58" s="107" t="s">
        <v>581</v>
      </c>
      <c r="C58" s="81">
        <f>VLOOKUP(GroupVertices[[#This Row],[Vertex]],Vertices[],MATCH("ID",Vertices[[#Headers],[Vertex]:[Top Word Pairs in Comment by Salience]],0),FALSE)</f>
        <v>364</v>
      </c>
    </row>
    <row r="59" spans="1:3" ht="15">
      <c r="A59" s="82" t="s">
        <v>3500</v>
      </c>
      <c r="B59" s="107" t="s">
        <v>580</v>
      </c>
      <c r="C59" s="81">
        <f>VLOOKUP(GroupVertices[[#This Row],[Vertex]],Vertices[],MATCH("ID",Vertices[[#Headers],[Vertex]:[Top Word Pairs in Comment by Salience]],0),FALSE)</f>
        <v>363</v>
      </c>
    </row>
    <row r="60" spans="1:3" ht="15">
      <c r="A60" s="82" t="s">
        <v>3500</v>
      </c>
      <c r="B60" s="107" t="s">
        <v>579</v>
      </c>
      <c r="C60" s="81">
        <f>VLOOKUP(GroupVertices[[#This Row],[Vertex]],Vertices[],MATCH("ID",Vertices[[#Headers],[Vertex]:[Top Word Pairs in Comment by Salience]],0),FALSE)</f>
        <v>362</v>
      </c>
    </row>
    <row r="61" spans="1:3" ht="15">
      <c r="A61" s="82" t="s">
        <v>3500</v>
      </c>
      <c r="B61" s="107" t="s">
        <v>578</v>
      </c>
      <c r="C61" s="81">
        <f>VLOOKUP(GroupVertices[[#This Row],[Vertex]],Vertices[],MATCH("ID",Vertices[[#Headers],[Vertex]:[Top Word Pairs in Comment by Salience]],0),FALSE)</f>
        <v>361</v>
      </c>
    </row>
    <row r="62" spans="1:3" ht="15">
      <c r="A62" s="82" t="s">
        <v>3500</v>
      </c>
      <c r="B62" s="107" t="s">
        <v>577</v>
      </c>
      <c r="C62" s="81">
        <f>VLOOKUP(GroupVertices[[#This Row],[Vertex]],Vertices[],MATCH("ID",Vertices[[#Headers],[Vertex]:[Top Word Pairs in Comment by Salience]],0),FALSE)</f>
        <v>360</v>
      </c>
    </row>
    <row r="63" spans="1:3" ht="15">
      <c r="A63" s="82" t="s">
        <v>3500</v>
      </c>
      <c r="B63" s="107" t="s">
        <v>576</v>
      </c>
      <c r="C63" s="81">
        <f>VLOOKUP(GroupVertices[[#This Row],[Vertex]],Vertices[],MATCH("ID",Vertices[[#Headers],[Vertex]:[Top Word Pairs in Comment by Salience]],0),FALSE)</f>
        <v>359</v>
      </c>
    </row>
    <row r="64" spans="1:3" ht="15">
      <c r="A64" s="82" t="s">
        <v>3500</v>
      </c>
      <c r="B64" s="107" t="s">
        <v>575</v>
      </c>
      <c r="C64" s="81">
        <f>VLOOKUP(GroupVertices[[#This Row],[Vertex]],Vertices[],MATCH("ID",Vertices[[#Headers],[Vertex]:[Top Word Pairs in Comment by Salience]],0),FALSE)</f>
        <v>358</v>
      </c>
    </row>
    <row r="65" spans="1:3" ht="15">
      <c r="A65" s="82" t="s">
        <v>3500</v>
      </c>
      <c r="B65" s="107" t="s">
        <v>574</v>
      </c>
      <c r="C65" s="81">
        <f>VLOOKUP(GroupVertices[[#This Row],[Vertex]],Vertices[],MATCH("ID",Vertices[[#Headers],[Vertex]:[Top Word Pairs in Comment by Salience]],0),FALSE)</f>
        <v>357</v>
      </c>
    </row>
    <row r="66" spans="1:3" ht="15">
      <c r="A66" s="82" t="s">
        <v>3500</v>
      </c>
      <c r="B66" s="107" t="s">
        <v>573</v>
      </c>
      <c r="C66" s="81">
        <f>VLOOKUP(GroupVertices[[#This Row],[Vertex]],Vertices[],MATCH("ID",Vertices[[#Headers],[Vertex]:[Top Word Pairs in Comment by Salience]],0),FALSE)</f>
        <v>356</v>
      </c>
    </row>
    <row r="67" spans="1:3" ht="15">
      <c r="A67" s="82" t="s">
        <v>3500</v>
      </c>
      <c r="B67" s="107" t="s">
        <v>572</v>
      </c>
      <c r="C67" s="81">
        <f>VLOOKUP(GroupVertices[[#This Row],[Vertex]],Vertices[],MATCH("ID",Vertices[[#Headers],[Vertex]:[Top Word Pairs in Comment by Salience]],0),FALSE)</f>
        <v>355</v>
      </c>
    </row>
    <row r="68" spans="1:3" ht="15">
      <c r="A68" s="82" t="s">
        <v>3500</v>
      </c>
      <c r="B68" s="107" t="s">
        <v>571</v>
      </c>
      <c r="C68" s="81">
        <f>VLOOKUP(GroupVertices[[#This Row],[Vertex]],Vertices[],MATCH("ID",Vertices[[#Headers],[Vertex]:[Top Word Pairs in Comment by Salience]],0),FALSE)</f>
        <v>354</v>
      </c>
    </row>
    <row r="69" spans="1:3" ht="15">
      <c r="A69" s="82" t="s">
        <v>3500</v>
      </c>
      <c r="B69" s="107" t="s">
        <v>570</v>
      </c>
      <c r="C69" s="81">
        <f>VLOOKUP(GroupVertices[[#This Row],[Vertex]],Vertices[],MATCH("ID",Vertices[[#Headers],[Vertex]:[Top Word Pairs in Comment by Salience]],0),FALSE)</f>
        <v>353</v>
      </c>
    </row>
    <row r="70" spans="1:3" ht="15">
      <c r="A70" s="82" t="s">
        <v>3500</v>
      </c>
      <c r="B70" s="107" t="s">
        <v>569</v>
      </c>
      <c r="C70" s="81">
        <f>VLOOKUP(GroupVertices[[#This Row],[Vertex]],Vertices[],MATCH("ID",Vertices[[#Headers],[Vertex]:[Top Word Pairs in Comment by Salience]],0),FALSE)</f>
        <v>352</v>
      </c>
    </row>
    <row r="71" spans="1:3" ht="15">
      <c r="A71" s="82" t="s">
        <v>3500</v>
      </c>
      <c r="B71" s="107" t="s">
        <v>568</v>
      </c>
      <c r="C71" s="81">
        <f>VLOOKUP(GroupVertices[[#This Row],[Vertex]],Vertices[],MATCH("ID",Vertices[[#Headers],[Vertex]:[Top Word Pairs in Comment by Salience]],0),FALSE)</f>
        <v>351</v>
      </c>
    </row>
    <row r="72" spans="1:3" ht="15">
      <c r="A72" s="82" t="s">
        <v>3500</v>
      </c>
      <c r="B72" s="107" t="s">
        <v>567</v>
      </c>
      <c r="C72" s="81">
        <f>VLOOKUP(GroupVertices[[#This Row],[Vertex]],Vertices[],MATCH("ID",Vertices[[#Headers],[Vertex]:[Top Word Pairs in Comment by Salience]],0),FALSE)</f>
        <v>350</v>
      </c>
    </row>
    <row r="73" spans="1:3" ht="15">
      <c r="A73" s="82" t="s">
        <v>3500</v>
      </c>
      <c r="B73" s="107" t="s">
        <v>566</v>
      </c>
      <c r="C73" s="81">
        <f>VLOOKUP(GroupVertices[[#This Row],[Vertex]],Vertices[],MATCH("ID",Vertices[[#Headers],[Vertex]:[Top Word Pairs in Comment by Salience]],0),FALSE)</f>
        <v>349</v>
      </c>
    </row>
    <row r="74" spans="1:3" ht="15">
      <c r="A74" s="82" t="s">
        <v>3500</v>
      </c>
      <c r="B74" s="107" t="s">
        <v>565</v>
      </c>
      <c r="C74" s="81">
        <f>VLOOKUP(GroupVertices[[#This Row],[Vertex]],Vertices[],MATCH("ID",Vertices[[#Headers],[Vertex]:[Top Word Pairs in Comment by Salience]],0),FALSE)</f>
        <v>348</v>
      </c>
    </row>
    <row r="75" spans="1:3" ht="15">
      <c r="A75" s="82" t="s">
        <v>3500</v>
      </c>
      <c r="B75" s="107" t="s">
        <v>564</v>
      </c>
      <c r="C75" s="81">
        <f>VLOOKUP(GroupVertices[[#This Row],[Vertex]],Vertices[],MATCH("ID",Vertices[[#Headers],[Vertex]:[Top Word Pairs in Comment by Salience]],0),FALSE)</f>
        <v>347</v>
      </c>
    </row>
    <row r="76" spans="1:3" ht="15">
      <c r="A76" s="82" t="s">
        <v>3500</v>
      </c>
      <c r="B76" s="107" t="s">
        <v>563</v>
      </c>
      <c r="C76" s="81">
        <f>VLOOKUP(GroupVertices[[#This Row],[Vertex]],Vertices[],MATCH("ID",Vertices[[#Headers],[Vertex]:[Top Word Pairs in Comment by Salience]],0),FALSE)</f>
        <v>346</v>
      </c>
    </row>
    <row r="77" spans="1:3" ht="15">
      <c r="A77" s="82" t="s">
        <v>3500</v>
      </c>
      <c r="B77" s="107" t="s">
        <v>562</v>
      </c>
      <c r="C77" s="81">
        <f>VLOOKUP(GroupVertices[[#This Row],[Vertex]],Vertices[],MATCH("ID",Vertices[[#Headers],[Vertex]:[Top Word Pairs in Comment by Salience]],0),FALSE)</f>
        <v>345</v>
      </c>
    </row>
    <row r="78" spans="1:3" ht="15">
      <c r="A78" s="82" t="s">
        <v>3500</v>
      </c>
      <c r="B78" s="107" t="s">
        <v>561</v>
      </c>
      <c r="C78" s="81">
        <f>VLOOKUP(GroupVertices[[#This Row],[Vertex]],Vertices[],MATCH("ID",Vertices[[#Headers],[Vertex]:[Top Word Pairs in Comment by Salience]],0),FALSE)</f>
        <v>344</v>
      </c>
    </row>
    <row r="79" spans="1:3" ht="15">
      <c r="A79" s="82" t="s">
        <v>3500</v>
      </c>
      <c r="B79" s="107" t="s">
        <v>560</v>
      </c>
      <c r="C79" s="81">
        <f>VLOOKUP(GroupVertices[[#This Row],[Vertex]],Vertices[],MATCH("ID",Vertices[[#Headers],[Vertex]:[Top Word Pairs in Comment by Salience]],0),FALSE)</f>
        <v>343</v>
      </c>
    </row>
    <row r="80" spans="1:3" ht="15">
      <c r="A80" s="82" t="s">
        <v>3500</v>
      </c>
      <c r="B80" s="107" t="s">
        <v>559</v>
      </c>
      <c r="C80" s="81">
        <f>VLOOKUP(GroupVertices[[#This Row],[Vertex]],Vertices[],MATCH("ID",Vertices[[#Headers],[Vertex]:[Top Word Pairs in Comment by Salience]],0),FALSE)</f>
        <v>342</v>
      </c>
    </row>
    <row r="81" spans="1:3" ht="15">
      <c r="A81" s="82" t="s">
        <v>3500</v>
      </c>
      <c r="B81" s="107" t="s">
        <v>558</v>
      </c>
      <c r="C81" s="81">
        <f>VLOOKUP(GroupVertices[[#This Row],[Vertex]],Vertices[],MATCH("ID",Vertices[[#Headers],[Vertex]:[Top Word Pairs in Comment by Salience]],0),FALSE)</f>
        <v>341</v>
      </c>
    </row>
    <row r="82" spans="1:3" ht="15">
      <c r="A82" s="82" t="s">
        <v>3500</v>
      </c>
      <c r="B82" s="107" t="s">
        <v>557</v>
      </c>
      <c r="C82" s="81">
        <f>VLOOKUP(GroupVertices[[#This Row],[Vertex]],Vertices[],MATCH("ID",Vertices[[#Headers],[Vertex]:[Top Word Pairs in Comment by Salience]],0),FALSE)</f>
        <v>340</v>
      </c>
    </row>
    <row r="83" spans="1:3" ht="15">
      <c r="A83" s="82" t="s">
        <v>3500</v>
      </c>
      <c r="B83" s="107" t="s">
        <v>556</v>
      </c>
      <c r="C83" s="81">
        <f>VLOOKUP(GroupVertices[[#This Row],[Vertex]],Vertices[],MATCH("ID",Vertices[[#Headers],[Vertex]:[Top Word Pairs in Comment by Salience]],0),FALSE)</f>
        <v>339</v>
      </c>
    </row>
    <row r="84" spans="1:3" ht="15">
      <c r="A84" s="82" t="s">
        <v>3500</v>
      </c>
      <c r="B84" s="107" t="s">
        <v>555</v>
      </c>
      <c r="C84" s="81">
        <f>VLOOKUP(GroupVertices[[#This Row],[Vertex]],Vertices[],MATCH("ID",Vertices[[#Headers],[Vertex]:[Top Word Pairs in Comment by Salience]],0),FALSE)</f>
        <v>338</v>
      </c>
    </row>
    <row r="85" spans="1:3" ht="15">
      <c r="A85" s="82" t="s">
        <v>3500</v>
      </c>
      <c r="B85" s="107" t="s">
        <v>554</v>
      </c>
      <c r="C85" s="81">
        <f>VLOOKUP(GroupVertices[[#This Row],[Vertex]],Vertices[],MATCH("ID",Vertices[[#Headers],[Vertex]:[Top Word Pairs in Comment by Salience]],0),FALSE)</f>
        <v>337</v>
      </c>
    </row>
    <row r="86" spans="1:3" ht="15">
      <c r="A86" s="82" t="s">
        <v>3500</v>
      </c>
      <c r="B86" s="107" t="s">
        <v>553</v>
      </c>
      <c r="C86" s="81">
        <f>VLOOKUP(GroupVertices[[#This Row],[Vertex]],Vertices[],MATCH("ID",Vertices[[#Headers],[Vertex]:[Top Word Pairs in Comment by Salience]],0),FALSE)</f>
        <v>336</v>
      </c>
    </row>
    <row r="87" spans="1:3" ht="15">
      <c r="A87" s="82" t="s">
        <v>3500</v>
      </c>
      <c r="B87" s="107" t="s">
        <v>552</v>
      </c>
      <c r="C87" s="81">
        <f>VLOOKUP(GroupVertices[[#This Row],[Vertex]],Vertices[],MATCH("ID",Vertices[[#Headers],[Vertex]:[Top Word Pairs in Comment by Salience]],0),FALSE)</f>
        <v>335</v>
      </c>
    </row>
    <row r="88" spans="1:3" ht="15">
      <c r="A88" s="82" t="s">
        <v>3500</v>
      </c>
      <c r="B88" s="107" t="s">
        <v>551</v>
      </c>
      <c r="C88" s="81">
        <f>VLOOKUP(GroupVertices[[#This Row],[Vertex]],Vertices[],MATCH("ID",Vertices[[#Headers],[Vertex]:[Top Word Pairs in Comment by Salience]],0),FALSE)</f>
        <v>334</v>
      </c>
    </row>
    <row r="89" spans="1:3" ht="15">
      <c r="A89" s="82" t="s">
        <v>3500</v>
      </c>
      <c r="B89" s="107" t="s">
        <v>550</v>
      </c>
      <c r="C89" s="81">
        <f>VLOOKUP(GroupVertices[[#This Row],[Vertex]],Vertices[],MATCH("ID",Vertices[[#Headers],[Vertex]:[Top Word Pairs in Comment by Salience]],0),FALSE)</f>
        <v>333</v>
      </c>
    </row>
    <row r="90" spans="1:3" ht="15">
      <c r="A90" s="82" t="s">
        <v>3500</v>
      </c>
      <c r="B90" s="107" t="s">
        <v>549</v>
      </c>
      <c r="C90" s="81">
        <f>VLOOKUP(GroupVertices[[#This Row],[Vertex]],Vertices[],MATCH("ID",Vertices[[#Headers],[Vertex]:[Top Word Pairs in Comment by Salience]],0),FALSE)</f>
        <v>332</v>
      </c>
    </row>
    <row r="91" spans="1:3" ht="15">
      <c r="A91" s="82" t="s">
        <v>3500</v>
      </c>
      <c r="B91" s="107" t="s">
        <v>548</v>
      </c>
      <c r="C91" s="81">
        <f>VLOOKUP(GroupVertices[[#This Row],[Vertex]],Vertices[],MATCH("ID",Vertices[[#Headers],[Vertex]:[Top Word Pairs in Comment by Salience]],0),FALSE)</f>
        <v>331</v>
      </c>
    </row>
    <row r="92" spans="1:3" ht="15">
      <c r="A92" s="82" t="s">
        <v>3500</v>
      </c>
      <c r="B92" s="107" t="s">
        <v>547</v>
      </c>
      <c r="C92" s="81">
        <f>VLOOKUP(GroupVertices[[#This Row],[Vertex]],Vertices[],MATCH("ID",Vertices[[#Headers],[Vertex]:[Top Word Pairs in Comment by Salience]],0),FALSE)</f>
        <v>330</v>
      </c>
    </row>
    <row r="93" spans="1:3" ht="15">
      <c r="A93" s="82" t="s">
        <v>3500</v>
      </c>
      <c r="B93" s="107" t="s">
        <v>546</v>
      </c>
      <c r="C93" s="81">
        <f>VLOOKUP(GroupVertices[[#This Row],[Vertex]],Vertices[],MATCH("ID",Vertices[[#Headers],[Vertex]:[Top Word Pairs in Comment by Salience]],0),FALSE)</f>
        <v>329</v>
      </c>
    </row>
    <row r="94" spans="1:3" ht="15">
      <c r="A94" s="82" t="s">
        <v>3500</v>
      </c>
      <c r="B94" s="107" t="s">
        <v>545</v>
      </c>
      <c r="C94" s="81">
        <f>VLOOKUP(GroupVertices[[#This Row],[Vertex]],Vertices[],MATCH("ID",Vertices[[#Headers],[Vertex]:[Top Word Pairs in Comment by Salience]],0),FALSE)</f>
        <v>328</v>
      </c>
    </row>
    <row r="95" spans="1:3" ht="15">
      <c r="A95" s="82" t="s">
        <v>3500</v>
      </c>
      <c r="B95" s="107" t="s">
        <v>544</v>
      </c>
      <c r="C95" s="81">
        <f>VLOOKUP(GroupVertices[[#This Row],[Vertex]],Vertices[],MATCH("ID",Vertices[[#Headers],[Vertex]:[Top Word Pairs in Comment by Salience]],0),FALSE)</f>
        <v>327</v>
      </c>
    </row>
    <row r="96" spans="1:3" ht="15">
      <c r="A96" s="82" t="s">
        <v>3500</v>
      </c>
      <c r="B96" s="107" t="s">
        <v>543</v>
      </c>
      <c r="C96" s="81">
        <f>VLOOKUP(GroupVertices[[#This Row],[Vertex]],Vertices[],MATCH("ID",Vertices[[#Headers],[Vertex]:[Top Word Pairs in Comment by Salience]],0),FALSE)</f>
        <v>326</v>
      </c>
    </row>
    <row r="97" spans="1:3" ht="15">
      <c r="A97" s="82" t="s">
        <v>3500</v>
      </c>
      <c r="B97" s="107" t="s">
        <v>542</v>
      </c>
      <c r="C97" s="81">
        <f>VLOOKUP(GroupVertices[[#This Row],[Vertex]],Vertices[],MATCH("ID",Vertices[[#Headers],[Vertex]:[Top Word Pairs in Comment by Salience]],0),FALSE)</f>
        <v>325</v>
      </c>
    </row>
    <row r="98" spans="1:3" ht="15">
      <c r="A98" s="82" t="s">
        <v>3500</v>
      </c>
      <c r="B98" s="107" t="s">
        <v>541</v>
      </c>
      <c r="C98" s="81">
        <f>VLOOKUP(GroupVertices[[#This Row],[Vertex]],Vertices[],MATCH("ID",Vertices[[#Headers],[Vertex]:[Top Word Pairs in Comment by Salience]],0),FALSE)</f>
        <v>324</v>
      </c>
    </row>
    <row r="99" spans="1:3" ht="15">
      <c r="A99" s="82" t="s">
        <v>3500</v>
      </c>
      <c r="B99" s="107" t="s">
        <v>540</v>
      </c>
      <c r="C99" s="81">
        <f>VLOOKUP(GroupVertices[[#This Row],[Vertex]],Vertices[],MATCH("ID",Vertices[[#Headers],[Vertex]:[Top Word Pairs in Comment by Salience]],0),FALSE)</f>
        <v>323</v>
      </c>
    </row>
    <row r="100" spans="1:3" ht="15">
      <c r="A100" s="82" t="s">
        <v>3500</v>
      </c>
      <c r="B100" s="107" t="s">
        <v>454</v>
      </c>
      <c r="C100" s="81">
        <f>VLOOKUP(GroupVertices[[#This Row],[Vertex]],Vertices[],MATCH("ID",Vertices[[#Headers],[Vertex]:[Top Word Pairs in Comment by Salience]],0),FALSE)</f>
        <v>236</v>
      </c>
    </row>
    <row r="101" spans="1:3" ht="15">
      <c r="A101" s="82" t="s">
        <v>3500</v>
      </c>
      <c r="B101" s="107" t="s">
        <v>453</v>
      </c>
      <c r="C101" s="81">
        <f>VLOOKUP(GroupVertices[[#This Row],[Vertex]],Vertices[],MATCH("ID",Vertices[[#Headers],[Vertex]:[Top Word Pairs in Comment by Salience]],0),FALSE)</f>
        <v>235</v>
      </c>
    </row>
    <row r="102" spans="1:3" ht="15">
      <c r="A102" s="82" t="s">
        <v>3500</v>
      </c>
      <c r="B102" s="107" t="s">
        <v>452</v>
      </c>
      <c r="C102" s="81">
        <f>VLOOKUP(GroupVertices[[#This Row],[Vertex]],Vertices[],MATCH("ID",Vertices[[#Headers],[Vertex]:[Top Word Pairs in Comment by Salience]],0),FALSE)</f>
        <v>234</v>
      </c>
    </row>
    <row r="103" spans="1:3" ht="15">
      <c r="A103" s="82" t="s">
        <v>3500</v>
      </c>
      <c r="B103" s="107" t="s">
        <v>451</v>
      </c>
      <c r="C103" s="81">
        <f>VLOOKUP(GroupVertices[[#This Row],[Vertex]],Vertices[],MATCH("ID",Vertices[[#Headers],[Vertex]:[Top Word Pairs in Comment by Salience]],0),FALSE)</f>
        <v>233</v>
      </c>
    </row>
    <row r="104" spans="1:3" ht="15">
      <c r="A104" s="82" t="s">
        <v>3500</v>
      </c>
      <c r="B104" s="107" t="s">
        <v>450</v>
      </c>
      <c r="C104" s="81">
        <f>VLOOKUP(GroupVertices[[#This Row],[Vertex]],Vertices[],MATCH("ID",Vertices[[#Headers],[Vertex]:[Top Word Pairs in Comment by Salience]],0),FALSE)</f>
        <v>232</v>
      </c>
    </row>
    <row r="105" spans="1:3" ht="15">
      <c r="A105" s="82" t="s">
        <v>3500</v>
      </c>
      <c r="B105" s="107" t="s">
        <v>449</v>
      </c>
      <c r="C105" s="81">
        <f>VLOOKUP(GroupVertices[[#This Row],[Vertex]],Vertices[],MATCH("ID",Vertices[[#Headers],[Vertex]:[Top Word Pairs in Comment by Salience]],0),FALSE)</f>
        <v>231</v>
      </c>
    </row>
    <row r="106" spans="1:3" ht="15">
      <c r="A106" s="82" t="s">
        <v>3500</v>
      </c>
      <c r="B106" s="107" t="s">
        <v>448</v>
      </c>
      <c r="C106" s="81">
        <f>VLOOKUP(GroupVertices[[#This Row],[Vertex]],Vertices[],MATCH("ID",Vertices[[#Headers],[Vertex]:[Top Word Pairs in Comment by Salience]],0),FALSE)</f>
        <v>230</v>
      </c>
    </row>
    <row r="107" spans="1:3" ht="15">
      <c r="A107" s="82" t="s">
        <v>3500</v>
      </c>
      <c r="B107" s="107" t="s">
        <v>447</v>
      </c>
      <c r="C107" s="81">
        <f>VLOOKUP(GroupVertices[[#This Row],[Vertex]],Vertices[],MATCH("ID",Vertices[[#Headers],[Vertex]:[Top Word Pairs in Comment by Salience]],0),FALSE)</f>
        <v>229</v>
      </c>
    </row>
    <row r="108" spans="1:3" ht="15">
      <c r="A108" s="82" t="s">
        <v>3500</v>
      </c>
      <c r="B108" s="107" t="s">
        <v>446</v>
      </c>
      <c r="C108" s="81">
        <f>VLOOKUP(GroupVertices[[#This Row],[Vertex]],Vertices[],MATCH("ID",Vertices[[#Headers],[Vertex]:[Top Word Pairs in Comment by Salience]],0),FALSE)</f>
        <v>228</v>
      </c>
    </row>
    <row r="109" spans="1:3" ht="15">
      <c r="A109" s="82" t="s">
        <v>3500</v>
      </c>
      <c r="B109" s="107" t="s">
        <v>445</v>
      </c>
      <c r="C109" s="81">
        <f>VLOOKUP(GroupVertices[[#This Row],[Vertex]],Vertices[],MATCH("ID",Vertices[[#Headers],[Vertex]:[Top Word Pairs in Comment by Salience]],0),FALSE)</f>
        <v>227</v>
      </c>
    </row>
    <row r="110" spans="1:3" ht="15">
      <c r="A110" s="82" t="s">
        <v>3500</v>
      </c>
      <c r="B110" s="107" t="s">
        <v>444</v>
      </c>
      <c r="C110" s="81">
        <f>VLOOKUP(GroupVertices[[#This Row],[Vertex]],Vertices[],MATCH("ID",Vertices[[#Headers],[Vertex]:[Top Word Pairs in Comment by Salience]],0),FALSE)</f>
        <v>226</v>
      </c>
    </row>
    <row r="111" spans="1:3" ht="15">
      <c r="A111" s="82" t="s">
        <v>3500</v>
      </c>
      <c r="B111" s="107" t="s">
        <v>443</v>
      </c>
      <c r="C111" s="81">
        <f>VLOOKUP(GroupVertices[[#This Row],[Vertex]],Vertices[],MATCH("ID",Vertices[[#Headers],[Vertex]:[Top Word Pairs in Comment by Salience]],0),FALSE)</f>
        <v>225</v>
      </c>
    </row>
    <row r="112" spans="1:3" ht="15">
      <c r="A112" s="82" t="s">
        <v>3500</v>
      </c>
      <c r="B112" s="107" t="s">
        <v>442</v>
      </c>
      <c r="C112" s="81">
        <f>VLOOKUP(GroupVertices[[#This Row],[Vertex]],Vertices[],MATCH("ID",Vertices[[#Headers],[Vertex]:[Top Word Pairs in Comment by Salience]],0),FALSE)</f>
        <v>224</v>
      </c>
    </row>
    <row r="113" spans="1:3" ht="15">
      <c r="A113" s="82" t="s">
        <v>3500</v>
      </c>
      <c r="B113" s="107" t="s">
        <v>441</v>
      </c>
      <c r="C113" s="81">
        <f>VLOOKUP(GroupVertices[[#This Row],[Vertex]],Vertices[],MATCH("ID",Vertices[[#Headers],[Vertex]:[Top Word Pairs in Comment by Salience]],0),FALSE)</f>
        <v>223</v>
      </c>
    </row>
    <row r="114" spans="1:3" ht="15">
      <c r="A114" s="82" t="s">
        <v>3500</v>
      </c>
      <c r="B114" s="107" t="s">
        <v>440</v>
      </c>
      <c r="C114" s="81">
        <f>VLOOKUP(GroupVertices[[#This Row],[Vertex]],Vertices[],MATCH("ID",Vertices[[#Headers],[Vertex]:[Top Word Pairs in Comment by Salience]],0),FALSE)</f>
        <v>222</v>
      </c>
    </row>
    <row r="115" spans="1:3" ht="15">
      <c r="A115" s="82" t="s">
        <v>3500</v>
      </c>
      <c r="B115" s="107" t="s">
        <v>439</v>
      </c>
      <c r="C115" s="81">
        <f>VLOOKUP(GroupVertices[[#This Row],[Vertex]],Vertices[],MATCH("ID",Vertices[[#Headers],[Vertex]:[Top Word Pairs in Comment by Salience]],0),FALSE)</f>
        <v>221</v>
      </c>
    </row>
    <row r="116" spans="1:3" ht="15">
      <c r="A116" s="82" t="s">
        <v>3500</v>
      </c>
      <c r="B116" s="107" t="s">
        <v>438</v>
      </c>
      <c r="C116" s="81">
        <f>VLOOKUP(GroupVertices[[#This Row],[Vertex]],Vertices[],MATCH("ID",Vertices[[#Headers],[Vertex]:[Top Word Pairs in Comment by Salience]],0),FALSE)</f>
        <v>220</v>
      </c>
    </row>
    <row r="117" spans="1:3" ht="15">
      <c r="A117" s="82" t="s">
        <v>3500</v>
      </c>
      <c r="B117" s="107" t="s">
        <v>437</v>
      </c>
      <c r="C117" s="81">
        <f>VLOOKUP(GroupVertices[[#This Row],[Vertex]],Vertices[],MATCH("ID",Vertices[[#Headers],[Vertex]:[Top Word Pairs in Comment by Salience]],0),FALSE)</f>
        <v>219</v>
      </c>
    </row>
    <row r="118" spans="1:3" ht="15">
      <c r="A118" s="82" t="s">
        <v>3500</v>
      </c>
      <c r="B118" s="107" t="s">
        <v>436</v>
      </c>
      <c r="C118" s="81">
        <f>VLOOKUP(GroupVertices[[#This Row],[Vertex]],Vertices[],MATCH("ID",Vertices[[#Headers],[Vertex]:[Top Word Pairs in Comment by Salience]],0),FALSE)</f>
        <v>218</v>
      </c>
    </row>
    <row r="119" spans="1:3" ht="15">
      <c r="A119" s="82" t="s">
        <v>3500</v>
      </c>
      <c r="B119" s="107" t="s">
        <v>435</v>
      </c>
      <c r="C119" s="81">
        <f>VLOOKUP(GroupVertices[[#This Row],[Vertex]],Vertices[],MATCH("ID",Vertices[[#Headers],[Vertex]:[Top Word Pairs in Comment by Salience]],0),FALSE)</f>
        <v>217</v>
      </c>
    </row>
    <row r="120" spans="1:3" ht="15">
      <c r="A120" s="82" t="s">
        <v>3500</v>
      </c>
      <c r="B120" s="107" t="s">
        <v>434</v>
      </c>
      <c r="C120" s="81">
        <f>VLOOKUP(GroupVertices[[#This Row],[Vertex]],Vertices[],MATCH("ID",Vertices[[#Headers],[Vertex]:[Top Word Pairs in Comment by Salience]],0),FALSE)</f>
        <v>216</v>
      </c>
    </row>
    <row r="121" spans="1:3" ht="15">
      <c r="A121" s="82" t="s">
        <v>3500</v>
      </c>
      <c r="B121" s="107" t="s">
        <v>433</v>
      </c>
      <c r="C121" s="81">
        <f>VLOOKUP(GroupVertices[[#This Row],[Vertex]],Vertices[],MATCH("ID",Vertices[[#Headers],[Vertex]:[Top Word Pairs in Comment by Salience]],0),FALSE)</f>
        <v>215</v>
      </c>
    </row>
    <row r="122" spans="1:3" ht="15">
      <c r="A122" s="82" t="s">
        <v>3500</v>
      </c>
      <c r="B122" s="107" t="s">
        <v>432</v>
      </c>
      <c r="C122" s="81">
        <f>VLOOKUP(GroupVertices[[#This Row],[Vertex]],Vertices[],MATCH("ID",Vertices[[#Headers],[Vertex]:[Top Word Pairs in Comment by Salience]],0),FALSE)</f>
        <v>214</v>
      </c>
    </row>
    <row r="123" spans="1:3" ht="15">
      <c r="A123" s="82" t="s">
        <v>3500</v>
      </c>
      <c r="B123" s="107" t="s">
        <v>431</v>
      </c>
      <c r="C123" s="81">
        <f>VLOOKUP(GroupVertices[[#This Row],[Vertex]],Vertices[],MATCH("ID",Vertices[[#Headers],[Vertex]:[Top Word Pairs in Comment by Salience]],0),FALSE)</f>
        <v>213</v>
      </c>
    </row>
    <row r="124" spans="1:3" ht="15">
      <c r="A124" s="82" t="s">
        <v>3500</v>
      </c>
      <c r="B124" s="107" t="s">
        <v>430</v>
      </c>
      <c r="C124" s="81">
        <f>VLOOKUP(GroupVertices[[#This Row],[Vertex]],Vertices[],MATCH("ID",Vertices[[#Headers],[Vertex]:[Top Word Pairs in Comment by Salience]],0),FALSE)</f>
        <v>212</v>
      </c>
    </row>
    <row r="125" spans="1:3" ht="15">
      <c r="A125" s="82" t="s">
        <v>3500</v>
      </c>
      <c r="B125" s="107" t="s">
        <v>429</v>
      </c>
      <c r="C125" s="81">
        <f>VLOOKUP(GroupVertices[[#This Row],[Vertex]],Vertices[],MATCH("ID",Vertices[[#Headers],[Vertex]:[Top Word Pairs in Comment by Salience]],0),FALSE)</f>
        <v>211</v>
      </c>
    </row>
    <row r="126" spans="1:3" ht="15">
      <c r="A126" s="82" t="s">
        <v>3500</v>
      </c>
      <c r="B126" s="107" t="s">
        <v>428</v>
      </c>
      <c r="C126" s="81">
        <f>VLOOKUP(GroupVertices[[#This Row],[Vertex]],Vertices[],MATCH("ID",Vertices[[#Headers],[Vertex]:[Top Word Pairs in Comment by Salience]],0),FALSE)</f>
        <v>210</v>
      </c>
    </row>
    <row r="127" spans="1:3" ht="15">
      <c r="A127" s="82" t="s">
        <v>3500</v>
      </c>
      <c r="B127" s="107" t="s">
        <v>427</v>
      </c>
      <c r="C127" s="81">
        <f>VLOOKUP(GroupVertices[[#This Row],[Vertex]],Vertices[],MATCH("ID",Vertices[[#Headers],[Vertex]:[Top Word Pairs in Comment by Salience]],0),FALSE)</f>
        <v>209</v>
      </c>
    </row>
    <row r="128" spans="1:3" ht="15">
      <c r="A128" s="82" t="s">
        <v>3500</v>
      </c>
      <c r="B128" s="107" t="s">
        <v>426</v>
      </c>
      <c r="C128" s="81">
        <f>VLOOKUP(GroupVertices[[#This Row],[Vertex]],Vertices[],MATCH("ID",Vertices[[#Headers],[Vertex]:[Top Word Pairs in Comment by Salience]],0),FALSE)</f>
        <v>208</v>
      </c>
    </row>
    <row r="129" spans="1:3" ht="15">
      <c r="A129" s="82" t="s">
        <v>3500</v>
      </c>
      <c r="B129" s="107" t="s">
        <v>425</v>
      </c>
      <c r="C129" s="81">
        <f>VLOOKUP(GroupVertices[[#This Row],[Vertex]],Vertices[],MATCH("ID",Vertices[[#Headers],[Vertex]:[Top Word Pairs in Comment by Salience]],0),FALSE)</f>
        <v>207</v>
      </c>
    </row>
    <row r="130" spans="1:3" ht="15">
      <c r="A130" s="82" t="s">
        <v>3500</v>
      </c>
      <c r="B130" s="107" t="s">
        <v>424</v>
      </c>
      <c r="C130" s="81">
        <f>VLOOKUP(GroupVertices[[#This Row],[Vertex]],Vertices[],MATCH("ID",Vertices[[#Headers],[Vertex]:[Top Word Pairs in Comment by Salience]],0),FALSE)</f>
        <v>206</v>
      </c>
    </row>
    <row r="131" spans="1:3" ht="15">
      <c r="A131" s="82" t="s">
        <v>3500</v>
      </c>
      <c r="B131" s="107" t="s">
        <v>423</v>
      </c>
      <c r="C131" s="81">
        <f>VLOOKUP(GroupVertices[[#This Row],[Vertex]],Vertices[],MATCH("ID",Vertices[[#Headers],[Vertex]:[Top Word Pairs in Comment by Salience]],0),FALSE)</f>
        <v>205</v>
      </c>
    </row>
    <row r="132" spans="1:3" ht="15">
      <c r="A132" s="82" t="s">
        <v>3500</v>
      </c>
      <c r="B132" s="107" t="s">
        <v>422</v>
      </c>
      <c r="C132" s="81">
        <f>VLOOKUP(GroupVertices[[#This Row],[Vertex]],Vertices[],MATCH("ID",Vertices[[#Headers],[Vertex]:[Top Word Pairs in Comment by Salience]],0),FALSE)</f>
        <v>204</v>
      </c>
    </row>
    <row r="133" spans="1:3" ht="15">
      <c r="A133" s="82" t="s">
        <v>3500</v>
      </c>
      <c r="B133" s="107" t="s">
        <v>421</v>
      </c>
      <c r="C133" s="81">
        <f>VLOOKUP(GroupVertices[[#This Row],[Vertex]],Vertices[],MATCH("ID",Vertices[[#Headers],[Vertex]:[Top Word Pairs in Comment by Salience]],0),FALSE)</f>
        <v>203</v>
      </c>
    </row>
    <row r="134" spans="1:3" ht="15">
      <c r="A134" s="82" t="s">
        <v>3500</v>
      </c>
      <c r="B134" s="107" t="s">
        <v>420</v>
      </c>
      <c r="C134" s="81">
        <f>VLOOKUP(GroupVertices[[#This Row],[Vertex]],Vertices[],MATCH("ID",Vertices[[#Headers],[Vertex]:[Top Word Pairs in Comment by Salience]],0),FALSE)</f>
        <v>202</v>
      </c>
    </row>
    <row r="135" spans="1:3" ht="15">
      <c r="A135" s="82" t="s">
        <v>3500</v>
      </c>
      <c r="B135" s="107" t="s">
        <v>419</v>
      </c>
      <c r="C135" s="81">
        <f>VLOOKUP(GroupVertices[[#This Row],[Vertex]],Vertices[],MATCH("ID",Vertices[[#Headers],[Vertex]:[Top Word Pairs in Comment by Salience]],0),FALSE)</f>
        <v>201</v>
      </c>
    </row>
    <row r="136" spans="1:3" ht="15">
      <c r="A136" s="82" t="s">
        <v>3500</v>
      </c>
      <c r="B136" s="107" t="s">
        <v>418</v>
      </c>
      <c r="C136" s="81">
        <f>VLOOKUP(GroupVertices[[#This Row],[Vertex]],Vertices[],MATCH("ID",Vertices[[#Headers],[Vertex]:[Top Word Pairs in Comment by Salience]],0),FALSE)</f>
        <v>200</v>
      </c>
    </row>
    <row r="137" spans="1:3" ht="15">
      <c r="A137" s="82" t="s">
        <v>3500</v>
      </c>
      <c r="B137" s="107" t="s">
        <v>417</v>
      </c>
      <c r="C137" s="81">
        <f>VLOOKUP(GroupVertices[[#This Row],[Vertex]],Vertices[],MATCH("ID",Vertices[[#Headers],[Vertex]:[Top Word Pairs in Comment by Salience]],0),FALSE)</f>
        <v>199</v>
      </c>
    </row>
    <row r="138" spans="1:3" ht="15">
      <c r="A138" s="82" t="s">
        <v>3500</v>
      </c>
      <c r="B138" s="107" t="s">
        <v>416</v>
      </c>
      <c r="C138" s="81">
        <f>VLOOKUP(GroupVertices[[#This Row],[Vertex]],Vertices[],MATCH("ID",Vertices[[#Headers],[Vertex]:[Top Word Pairs in Comment by Salience]],0),FALSE)</f>
        <v>198</v>
      </c>
    </row>
    <row r="139" spans="1:3" ht="15">
      <c r="A139" s="82" t="s">
        <v>3500</v>
      </c>
      <c r="B139" s="107" t="s">
        <v>415</v>
      </c>
      <c r="C139" s="81">
        <f>VLOOKUP(GroupVertices[[#This Row],[Vertex]],Vertices[],MATCH("ID",Vertices[[#Headers],[Vertex]:[Top Word Pairs in Comment by Salience]],0),FALSE)</f>
        <v>197</v>
      </c>
    </row>
    <row r="140" spans="1:3" ht="15">
      <c r="A140" s="82" t="s">
        <v>3500</v>
      </c>
      <c r="B140" s="107" t="s">
        <v>414</v>
      </c>
      <c r="C140" s="81">
        <f>VLOOKUP(GroupVertices[[#This Row],[Vertex]],Vertices[],MATCH("ID",Vertices[[#Headers],[Vertex]:[Top Word Pairs in Comment by Salience]],0),FALSE)</f>
        <v>196</v>
      </c>
    </row>
    <row r="141" spans="1:3" ht="15">
      <c r="A141" s="82" t="s">
        <v>3500</v>
      </c>
      <c r="B141" s="107" t="s">
        <v>413</v>
      </c>
      <c r="C141" s="81">
        <f>VLOOKUP(GroupVertices[[#This Row],[Vertex]],Vertices[],MATCH("ID",Vertices[[#Headers],[Vertex]:[Top Word Pairs in Comment by Salience]],0),FALSE)</f>
        <v>195</v>
      </c>
    </row>
    <row r="142" spans="1:3" ht="15">
      <c r="A142" s="82" t="s">
        <v>3500</v>
      </c>
      <c r="B142" s="107" t="s">
        <v>412</v>
      </c>
      <c r="C142" s="81">
        <f>VLOOKUP(GroupVertices[[#This Row],[Vertex]],Vertices[],MATCH("ID",Vertices[[#Headers],[Vertex]:[Top Word Pairs in Comment by Salience]],0),FALSE)</f>
        <v>194</v>
      </c>
    </row>
    <row r="143" spans="1:3" ht="15">
      <c r="A143" s="82" t="s">
        <v>3500</v>
      </c>
      <c r="B143" s="107" t="s">
        <v>411</v>
      </c>
      <c r="C143" s="81">
        <f>VLOOKUP(GroupVertices[[#This Row],[Vertex]],Vertices[],MATCH("ID",Vertices[[#Headers],[Vertex]:[Top Word Pairs in Comment by Salience]],0),FALSE)</f>
        <v>193</v>
      </c>
    </row>
    <row r="144" spans="1:3" ht="15">
      <c r="A144" s="82" t="s">
        <v>3500</v>
      </c>
      <c r="B144" s="107" t="s">
        <v>410</v>
      </c>
      <c r="C144" s="81">
        <f>VLOOKUP(GroupVertices[[#This Row],[Vertex]],Vertices[],MATCH("ID",Vertices[[#Headers],[Vertex]:[Top Word Pairs in Comment by Salience]],0),FALSE)</f>
        <v>192</v>
      </c>
    </row>
    <row r="145" spans="1:3" ht="15">
      <c r="A145" s="82" t="s">
        <v>3500</v>
      </c>
      <c r="B145" s="107" t="s">
        <v>409</v>
      </c>
      <c r="C145" s="81">
        <f>VLOOKUP(GroupVertices[[#This Row],[Vertex]],Vertices[],MATCH("ID",Vertices[[#Headers],[Vertex]:[Top Word Pairs in Comment by Salience]],0),FALSE)</f>
        <v>191</v>
      </c>
    </row>
    <row r="146" spans="1:3" ht="15">
      <c r="A146" s="82" t="s">
        <v>3500</v>
      </c>
      <c r="B146" s="107" t="s">
        <v>408</v>
      </c>
      <c r="C146" s="81">
        <f>VLOOKUP(GroupVertices[[#This Row],[Vertex]],Vertices[],MATCH("ID",Vertices[[#Headers],[Vertex]:[Top Word Pairs in Comment by Salience]],0),FALSE)</f>
        <v>190</v>
      </c>
    </row>
    <row r="147" spans="1:3" ht="15">
      <c r="A147" s="82" t="s">
        <v>3500</v>
      </c>
      <c r="B147" s="107" t="s">
        <v>407</v>
      </c>
      <c r="C147" s="81">
        <f>VLOOKUP(GroupVertices[[#This Row],[Vertex]],Vertices[],MATCH("ID",Vertices[[#Headers],[Vertex]:[Top Word Pairs in Comment by Salience]],0),FALSE)</f>
        <v>189</v>
      </c>
    </row>
    <row r="148" spans="1:3" ht="15">
      <c r="A148" s="82" t="s">
        <v>3500</v>
      </c>
      <c r="B148" s="107" t="s">
        <v>406</v>
      </c>
      <c r="C148" s="81">
        <f>VLOOKUP(GroupVertices[[#This Row],[Vertex]],Vertices[],MATCH("ID",Vertices[[#Headers],[Vertex]:[Top Word Pairs in Comment by Salience]],0),FALSE)</f>
        <v>188</v>
      </c>
    </row>
    <row r="149" spans="1:3" ht="15">
      <c r="A149" s="82" t="s">
        <v>3500</v>
      </c>
      <c r="B149" s="107" t="s">
        <v>405</v>
      </c>
      <c r="C149" s="81">
        <f>VLOOKUP(GroupVertices[[#This Row],[Vertex]],Vertices[],MATCH("ID",Vertices[[#Headers],[Vertex]:[Top Word Pairs in Comment by Salience]],0),FALSE)</f>
        <v>187</v>
      </c>
    </row>
    <row r="150" spans="1:3" ht="15">
      <c r="A150" s="82" t="s">
        <v>3500</v>
      </c>
      <c r="B150" s="107" t="s">
        <v>404</v>
      </c>
      <c r="C150" s="81">
        <f>VLOOKUP(GroupVertices[[#This Row],[Vertex]],Vertices[],MATCH("ID",Vertices[[#Headers],[Vertex]:[Top Word Pairs in Comment by Salience]],0),FALSE)</f>
        <v>186</v>
      </c>
    </row>
    <row r="151" spans="1:3" ht="15">
      <c r="A151" s="82" t="s">
        <v>3500</v>
      </c>
      <c r="B151" s="107" t="s">
        <v>403</v>
      </c>
      <c r="C151" s="81">
        <f>VLOOKUP(GroupVertices[[#This Row],[Vertex]],Vertices[],MATCH("ID",Vertices[[#Headers],[Vertex]:[Top Word Pairs in Comment by Salience]],0),FALSE)</f>
        <v>185</v>
      </c>
    </row>
    <row r="152" spans="1:3" ht="15">
      <c r="A152" s="82" t="s">
        <v>3500</v>
      </c>
      <c r="B152" s="107" t="s">
        <v>402</v>
      </c>
      <c r="C152" s="81">
        <f>VLOOKUP(GroupVertices[[#This Row],[Vertex]],Vertices[],MATCH("ID",Vertices[[#Headers],[Vertex]:[Top Word Pairs in Comment by Salience]],0),FALSE)</f>
        <v>184</v>
      </c>
    </row>
    <row r="153" spans="1:3" ht="15">
      <c r="A153" s="82" t="s">
        <v>3500</v>
      </c>
      <c r="B153" s="107" t="s">
        <v>401</v>
      </c>
      <c r="C153" s="81">
        <f>VLOOKUP(GroupVertices[[#This Row],[Vertex]],Vertices[],MATCH("ID",Vertices[[#Headers],[Vertex]:[Top Word Pairs in Comment by Salience]],0),FALSE)</f>
        <v>183</v>
      </c>
    </row>
    <row r="154" spans="1:3" ht="15">
      <c r="A154" s="82" t="s">
        <v>3500</v>
      </c>
      <c r="B154" s="107" t="s">
        <v>400</v>
      </c>
      <c r="C154" s="81">
        <f>VLOOKUP(GroupVertices[[#This Row],[Vertex]],Vertices[],MATCH("ID",Vertices[[#Headers],[Vertex]:[Top Word Pairs in Comment by Salience]],0),FALSE)</f>
        <v>182</v>
      </c>
    </row>
    <row r="155" spans="1:3" ht="15">
      <c r="A155" s="82" t="s">
        <v>3500</v>
      </c>
      <c r="B155" s="107" t="s">
        <v>399</v>
      </c>
      <c r="C155" s="81">
        <f>VLOOKUP(GroupVertices[[#This Row],[Vertex]],Vertices[],MATCH("ID",Vertices[[#Headers],[Vertex]:[Top Word Pairs in Comment by Salience]],0),FALSE)</f>
        <v>181</v>
      </c>
    </row>
    <row r="156" spans="1:3" ht="15">
      <c r="A156" s="82" t="s">
        <v>3500</v>
      </c>
      <c r="B156" s="107" t="s">
        <v>398</v>
      </c>
      <c r="C156" s="81">
        <f>VLOOKUP(GroupVertices[[#This Row],[Vertex]],Vertices[],MATCH("ID",Vertices[[#Headers],[Vertex]:[Top Word Pairs in Comment by Salience]],0),FALSE)</f>
        <v>180</v>
      </c>
    </row>
    <row r="157" spans="1:3" ht="15">
      <c r="A157" s="82" t="s">
        <v>3500</v>
      </c>
      <c r="B157" s="107" t="s">
        <v>397</v>
      </c>
      <c r="C157" s="81">
        <f>VLOOKUP(GroupVertices[[#This Row],[Vertex]],Vertices[],MATCH("ID",Vertices[[#Headers],[Vertex]:[Top Word Pairs in Comment by Salience]],0),FALSE)</f>
        <v>179</v>
      </c>
    </row>
    <row r="158" spans="1:3" ht="15">
      <c r="A158" s="82" t="s">
        <v>3500</v>
      </c>
      <c r="B158" s="107" t="s">
        <v>396</v>
      </c>
      <c r="C158" s="81">
        <f>VLOOKUP(GroupVertices[[#This Row],[Vertex]],Vertices[],MATCH("ID",Vertices[[#Headers],[Vertex]:[Top Word Pairs in Comment by Salience]],0),FALSE)</f>
        <v>178</v>
      </c>
    </row>
    <row r="159" spans="1:3" ht="15">
      <c r="A159" s="82" t="s">
        <v>3500</v>
      </c>
      <c r="B159" s="107" t="s">
        <v>395</v>
      </c>
      <c r="C159" s="81">
        <f>VLOOKUP(GroupVertices[[#This Row],[Vertex]],Vertices[],MATCH("ID",Vertices[[#Headers],[Vertex]:[Top Word Pairs in Comment by Salience]],0),FALSE)</f>
        <v>177</v>
      </c>
    </row>
    <row r="160" spans="1:3" ht="15">
      <c r="A160" s="82" t="s">
        <v>3500</v>
      </c>
      <c r="B160" s="107" t="s">
        <v>394</v>
      </c>
      <c r="C160" s="81">
        <f>VLOOKUP(GroupVertices[[#This Row],[Vertex]],Vertices[],MATCH("ID",Vertices[[#Headers],[Vertex]:[Top Word Pairs in Comment by Salience]],0),FALSE)</f>
        <v>176</v>
      </c>
    </row>
    <row r="161" spans="1:3" ht="15">
      <c r="A161" s="82" t="s">
        <v>3500</v>
      </c>
      <c r="B161" s="107" t="s">
        <v>393</v>
      </c>
      <c r="C161" s="81">
        <f>VLOOKUP(GroupVertices[[#This Row],[Vertex]],Vertices[],MATCH("ID",Vertices[[#Headers],[Vertex]:[Top Word Pairs in Comment by Salience]],0),FALSE)</f>
        <v>175</v>
      </c>
    </row>
    <row r="162" spans="1:3" ht="15">
      <c r="A162" s="82" t="s">
        <v>3500</v>
      </c>
      <c r="B162" s="107" t="s">
        <v>392</v>
      </c>
      <c r="C162" s="81">
        <f>VLOOKUP(GroupVertices[[#This Row],[Vertex]],Vertices[],MATCH("ID",Vertices[[#Headers],[Vertex]:[Top Word Pairs in Comment by Salience]],0),FALSE)</f>
        <v>174</v>
      </c>
    </row>
    <row r="163" spans="1:3" ht="15">
      <c r="A163" s="82" t="s">
        <v>3500</v>
      </c>
      <c r="B163" s="107" t="s">
        <v>391</v>
      </c>
      <c r="C163" s="81">
        <f>VLOOKUP(GroupVertices[[#This Row],[Vertex]],Vertices[],MATCH("ID",Vertices[[#Headers],[Vertex]:[Top Word Pairs in Comment by Salience]],0),FALSE)</f>
        <v>173</v>
      </c>
    </row>
    <row r="164" spans="1:3" ht="15">
      <c r="A164" s="82" t="s">
        <v>3500</v>
      </c>
      <c r="B164" s="107" t="s">
        <v>390</v>
      </c>
      <c r="C164" s="81">
        <f>VLOOKUP(GroupVertices[[#This Row],[Vertex]],Vertices[],MATCH("ID",Vertices[[#Headers],[Vertex]:[Top Word Pairs in Comment by Salience]],0),FALSE)</f>
        <v>172</v>
      </c>
    </row>
    <row r="165" spans="1:3" ht="15">
      <c r="A165" s="82" t="s">
        <v>3500</v>
      </c>
      <c r="B165" s="107" t="s">
        <v>389</v>
      </c>
      <c r="C165" s="81">
        <f>VLOOKUP(GroupVertices[[#This Row],[Vertex]],Vertices[],MATCH("ID",Vertices[[#Headers],[Vertex]:[Top Word Pairs in Comment by Salience]],0),FALSE)</f>
        <v>171</v>
      </c>
    </row>
    <row r="166" spans="1:3" ht="15">
      <c r="A166" s="82" t="s">
        <v>3500</v>
      </c>
      <c r="B166" s="107" t="s">
        <v>388</v>
      </c>
      <c r="C166" s="81">
        <f>VLOOKUP(GroupVertices[[#This Row],[Vertex]],Vertices[],MATCH("ID",Vertices[[#Headers],[Vertex]:[Top Word Pairs in Comment by Salience]],0),FALSE)</f>
        <v>170</v>
      </c>
    </row>
    <row r="167" spans="1:3" ht="15">
      <c r="A167" s="82" t="s">
        <v>3500</v>
      </c>
      <c r="B167" s="107" t="s">
        <v>387</v>
      </c>
      <c r="C167" s="81">
        <f>VLOOKUP(GroupVertices[[#This Row],[Vertex]],Vertices[],MATCH("ID",Vertices[[#Headers],[Vertex]:[Top Word Pairs in Comment by Salience]],0),FALSE)</f>
        <v>169</v>
      </c>
    </row>
    <row r="168" spans="1:3" ht="15">
      <c r="A168" s="82" t="s">
        <v>3500</v>
      </c>
      <c r="B168" s="107" t="s">
        <v>386</v>
      </c>
      <c r="C168" s="81">
        <f>VLOOKUP(GroupVertices[[#This Row],[Vertex]],Vertices[],MATCH("ID",Vertices[[#Headers],[Vertex]:[Top Word Pairs in Comment by Salience]],0),FALSE)</f>
        <v>168</v>
      </c>
    </row>
    <row r="169" spans="1:3" ht="15">
      <c r="A169" s="82" t="s">
        <v>3500</v>
      </c>
      <c r="B169" s="107" t="s">
        <v>385</v>
      </c>
      <c r="C169" s="81">
        <f>VLOOKUP(GroupVertices[[#This Row],[Vertex]],Vertices[],MATCH("ID",Vertices[[#Headers],[Vertex]:[Top Word Pairs in Comment by Salience]],0),FALSE)</f>
        <v>167</v>
      </c>
    </row>
    <row r="170" spans="1:3" ht="15">
      <c r="A170" s="82" t="s">
        <v>3500</v>
      </c>
      <c r="B170" s="107" t="s">
        <v>384</v>
      </c>
      <c r="C170" s="81">
        <f>VLOOKUP(GroupVertices[[#This Row],[Vertex]],Vertices[],MATCH("ID",Vertices[[#Headers],[Vertex]:[Top Word Pairs in Comment by Salience]],0),FALSE)</f>
        <v>166</v>
      </c>
    </row>
    <row r="171" spans="1:3" ht="15">
      <c r="A171" s="82" t="s">
        <v>3500</v>
      </c>
      <c r="B171" s="107" t="s">
        <v>383</v>
      </c>
      <c r="C171" s="81">
        <f>VLOOKUP(GroupVertices[[#This Row],[Vertex]],Vertices[],MATCH("ID",Vertices[[#Headers],[Vertex]:[Top Word Pairs in Comment by Salience]],0),FALSE)</f>
        <v>165</v>
      </c>
    </row>
    <row r="172" spans="1:3" ht="15">
      <c r="A172" s="82" t="s">
        <v>3500</v>
      </c>
      <c r="B172" s="107" t="s">
        <v>382</v>
      </c>
      <c r="C172" s="81">
        <f>VLOOKUP(GroupVertices[[#This Row],[Vertex]],Vertices[],MATCH("ID",Vertices[[#Headers],[Vertex]:[Top Word Pairs in Comment by Salience]],0),FALSE)</f>
        <v>164</v>
      </c>
    </row>
    <row r="173" spans="1:3" ht="15">
      <c r="A173" s="82" t="s">
        <v>3500</v>
      </c>
      <c r="B173" s="107" t="s">
        <v>381</v>
      </c>
      <c r="C173" s="81">
        <f>VLOOKUP(GroupVertices[[#This Row],[Vertex]],Vertices[],MATCH("ID",Vertices[[#Headers],[Vertex]:[Top Word Pairs in Comment by Salience]],0),FALSE)</f>
        <v>163</v>
      </c>
    </row>
    <row r="174" spans="1:3" ht="15">
      <c r="A174" s="82" t="s">
        <v>3500</v>
      </c>
      <c r="B174" s="107" t="s">
        <v>380</v>
      </c>
      <c r="C174" s="81">
        <f>VLOOKUP(GroupVertices[[#This Row],[Vertex]],Vertices[],MATCH("ID",Vertices[[#Headers],[Vertex]:[Top Word Pairs in Comment by Salience]],0),FALSE)</f>
        <v>162</v>
      </c>
    </row>
    <row r="175" spans="1:3" ht="15">
      <c r="A175" s="82" t="s">
        <v>3500</v>
      </c>
      <c r="B175" s="107" t="s">
        <v>379</v>
      </c>
      <c r="C175" s="81">
        <f>VLOOKUP(GroupVertices[[#This Row],[Vertex]],Vertices[],MATCH("ID",Vertices[[#Headers],[Vertex]:[Top Word Pairs in Comment by Salience]],0),FALSE)</f>
        <v>161</v>
      </c>
    </row>
    <row r="176" spans="1:3" ht="15">
      <c r="A176" s="82" t="s">
        <v>3500</v>
      </c>
      <c r="B176" s="107" t="s">
        <v>378</v>
      </c>
      <c r="C176" s="81">
        <f>VLOOKUP(GroupVertices[[#This Row],[Vertex]],Vertices[],MATCH("ID",Vertices[[#Headers],[Vertex]:[Top Word Pairs in Comment by Salience]],0),FALSE)</f>
        <v>160</v>
      </c>
    </row>
    <row r="177" spans="1:3" ht="15">
      <c r="A177" s="82" t="s">
        <v>3500</v>
      </c>
      <c r="B177" s="107" t="s">
        <v>377</v>
      </c>
      <c r="C177" s="81">
        <f>VLOOKUP(GroupVertices[[#This Row],[Vertex]],Vertices[],MATCH("ID",Vertices[[#Headers],[Vertex]:[Top Word Pairs in Comment by Salience]],0),FALSE)</f>
        <v>159</v>
      </c>
    </row>
    <row r="178" spans="1:3" ht="15">
      <c r="A178" s="82" t="s">
        <v>3500</v>
      </c>
      <c r="B178" s="107" t="s">
        <v>376</v>
      </c>
      <c r="C178" s="81">
        <f>VLOOKUP(GroupVertices[[#This Row],[Vertex]],Vertices[],MATCH("ID",Vertices[[#Headers],[Vertex]:[Top Word Pairs in Comment by Salience]],0),FALSE)</f>
        <v>158</v>
      </c>
    </row>
    <row r="179" spans="1:3" ht="15">
      <c r="A179" s="82" t="s">
        <v>3500</v>
      </c>
      <c r="B179" s="107" t="s">
        <v>375</v>
      </c>
      <c r="C179" s="81">
        <f>VLOOKUP(GroupVertices[[#This Row],[Vertex]],Vertices[],MATCH("ID",Vertices[[#Headers],[Vertex]:[Top Word Pairs in Comment by Salience]],0),FALSE)</f>
        <v>157</v>
      </c>
    </row>
    <row r="180" spans="1:3" ht="15">
      <c r="A180" s="82" t="s">
        <v>3500</v>
      </c>
      <c r="B180" s="107" t="s">
        <v>374</v>
      </c>
      <c r="C180" s="81">
        <f>VLOOKUP(GroupVertices[[#This Row],[Vertex]],Vertices[],MATCH("ID",Vertices[[#Headers],[Vertex]:[Top Word Pairs in Comment by Salience]],0),FALSE)</f>
        <v>156</v>
      </c>
    </row>
    <row r="181" spans="1:3" ht="15">
      <c r="A181" s="82" t="s">
        <v>3500</v>
      </c>
      <c r="B181" s="107" t="s">
        <v>373</v>
      </c>
      <c r="C181" s="81">
        <f>VLOOKUP(GroupVertices[[#This Row],[Vertex]],Vertices[],MATCH("ID",Vertices[[#Headers],[Vertex]:[Top Word Pairs in Comment by Salience]],0),FALSE)</f>
        <v>155</v>
      </c>
    </row>
    <row r="182" spans="1:3" ht="15">
      <c r="A182" s="82" t="s">
        <v>3500</v>
      </c>
      <c r="B182" s="107" t="s">
        <v>372</v>
      </c>
      <c r="C182" s="81">
        <f>VLOOKUP(GroupVertices[[#This Row],[Vertex]],Vertices[],MATCH("ID",Vertices[[#Headers],[Vertex]:[Top Word Pairs in Comment by Salience]],0),FALSE)</f>
        <v>154</v>
      </c>
    </row>
    <row r="183" spans="1:3" ht="15">
      <c r="A183" s="82" t="s">
        <v>3500</v>
      </c>
      <c r="B183" s="107" t="s">
        <v>371</v>
      </c>
      <c r="C183" s="81">
        <f>VLOOKUP(GroupVertices[[#This Row],[Vertex]],Vertices[],MATCH("ID",Vertices[[#Headers],[Vertex]:[Top Word Pairs in Comment by Salience]],0),FALSE)</f>
        <v>153</v>
      </c>
    </row>
    <row r="184" spans="1:3" ht="15">
      <c r="A184" s="82" t="s">
        <v>3500</v>
      </c>
      <c r="B184" s="107" t="s">
        <v>370</v>
      </c>
      <c r="C184" s="81">
        <f>VLOOKUP(GroupVertices[[#This Row],[Vertex]],Vertices[],MATCH("ID",Vertices[[#Headers],[Vertex]:[Top Word Pairs in Comment by Salience]],0),FALSE)</f>
        <v>152</v>
      </c>
    </row>
    <row r="185" spans="1:3" ht="15">
      <c r="A185" s="82" t="s">
        <v>3500</v>
      </c>
      <c r="B185" s="107" t="s">
        <v>369</v>
      </c>
      <c r="C185" s="81">
        <f>VLOOKUP(GroupVertices[[#This Row],[Vertex]],Vertices[],MATCH("ID",Vertices[[#Headers],[Vertex]:[Top Word Pairs in Comment by Salience]],0),FALSE)</f>
        <v>151</v>
      </c>
    </row>
    <row r="186" spans="1:3" ht="15">
      <c r="A186" s="82" t="s">
        <v>3500</v>
      </c>
      <c r="B186" s="107" t="s">
        <v>368</v>
      </c>
      <c r="C186" s="81">
        <f>VLOOKUP(GroupVertices[[#This Row],[Vertex]],Vertices[],MATCH("ID",Vertices[[#Headers],[Vertex]:[Top Word Pairs in Comment by Salience]],0),FALSE)</f>
        <v>150</v>
      </c>
    </row>
    <row r="187" spans="1:3" ht="15">
      <c r="A187" s="82" t="s">
        <v>3500</v>
      </c>
      <c r="B187" s="107" t="s">
        <v>367</v>
      </c>
      <c r="C187" s="81">
        <f>VLOOKUP(GroupVertices[[#This Row],[Vertex]],Vertices[],MATCH("ID",Vertices[[#Headers],[Vertex]:[Top Word Pairs in Comment by Salience]],0),FALSE)</f>
        <v>149</v>
      </c>
    </row>
    <row r="188" spans="1:3" ht="15">
      <c r="A188" s="82" t="s">
        <v>3500</v>
      </c>
      <c r="B188" s="107" t="s">
        <v>366</v>
      </c>
      <c r="C188" s="81">
        <f>VLOOKUP(GroupVertices[[#This Row],[Vertex]],Vertices[],MATCH("ID",Vertices[[#Headers],[Vertex]:[Top Word Pairs in Comment by Salience]],0),FALSE)</f>
        <v>148</v>
      </c>
    </row>
    <row r="189" spans="1:3" ht="15">
      <c r="A189" s="82" t="s">
        <v>3500</v>
      </c>
      <c r="B189" s="107" t="s">
        <v>365</v>
      </c>
      <c r="C189" s="81">
        <f>VLOOKUP(GroupVertices[[#This Row],[Vertex]],Vertices[],MATCH("ID",Vertices[[#Headers],[Vertex]:[Top Word Pairs in Comment by Salience]],0),FALSE)</f>
        <v>147</v>
      </c>
    </row>
    <row r="190" spans="1:3" ht="15">
      <c r="A190" s="82" t="s">
        <v>3500</v>
      </c>
      <c r="B190" s="107" t="s">
        <v>364</v>
      </c>
      <c r="C190" s="81">
        <f>VLOOKUP(GroupVertices[[#This Row],[Vertex]],Vertices[],MATCH("ID",Vertices[[#Headers],[Vertex]:[Top Word Pairs in Comment by Salience]],0),FALSE)</f>
        <v>146</v>
      </c>
    </row>
    <row r="191" spans="1:3" ht="15">
      <c r="A191" s="82" t="s">
        <v>3500</v>
      </c>
      <c r="B191" s="107" t="s">
        <v>363</v>
      </c>
      <c r="C191" s="81">
        <f>VLOOKUP(GroupVertices[[#This Row],[Vertex]],Vertices[],MATCH("ID",Vertices[[#Headers],[Vertex]:[Top Word Pairs in Comment by Salience]],0),FALSE)</f>
        <v>145</v>
      </c>
    </row>
    <row r="192" spans="1:3" ht="15">
      <c r="A192" s="82" t="s">
        <v>3500</v>
      </c>
      <c r="B192" s="107" t="s">
        <v>362</v>
      </c>
      <c r="C192" s="81">
        <f>VLOOKUP(GroupVertices[[#This Row],[Vertex]],Vertices[],MATCH("ID",Vertices[[#Headers],[Vertex]:[Top Word Pairs in Comment by Salience]],0),FALSE)</f>
        <v>144</v>
      </c>
    </row>
    <row r="193" spans="1:3" ht="15">
      <c r="A193" s="82" t="s">
        <v>3500</v>
      </c>
      <c r="B193" s="107" t="s">
        <v>361</v>
      </c>
      <c r="C193" s="81">
        <f>VLOOKUP(GroupVertices[[#This Row],[Vertex]],Vertices[],MATCH("ID",Vertices[[#Headers],[Vertex]:[Top Word Pairs in Comment by Salience]],0),FALSE)</f>
        <v>143</v>
      </c>
    </row>
    <row r="194" spans="1:3" ht="15">
      <c r="A194" s="82" t="s">
        <v>3500</v>
      </c>
      <c r="B194" s="107" t="s">
        <v>360</v>
      </c>
      <c r="C194" s="81">
        <f>VLOOKUP(GroupVertices[[#This Row],[Vertex]],Vertices[],MATCH("ID",Vertices[[#Headers],[Vertex]:[Top Word Pairs in Comment by Salience]],0),FALSE)</f>
        <v>142</v>
      </c>
    </row>
    <row r="195" spans="1:3" ht="15">
      <c r="A195" s="82" t="s">
        <v>3500</v>
      </c>
      <c r="B195" s="107" t="s">
        <v>359</v>
      </c>
      <c r="C195" s="81">
        <f>VLOOKUP(GroupVertices[[#This Row],[Vertex]],Vertices[],MATCH("ID",Vertices[[#Headers],[Vertex]:[Top Word Pairs in Comment by Salience]],0),FALSE)</f>
        <v>141</v>
      </c>
    </row>
    <row r="196" spans="1:3" ht="15">
      <c r="A196" s="82" t="s">
        <v>3500</v>
      </c>
      <c r="B196" s="107" t="s">
        <v>358</v>
      </c>
      <c r="C196" s="81">
        <f>VLOOKUP(GroupVertices[[#This Row],[Vertex]],Vertices[],MATCH("ID",Vertices[[#Headers],[Vertex]:[Top Word Pairs in Comment by Salience]],0),FALSE)</f>
        <v>140</v>
      </c>
    </row>
    <row r="197" spans="1:3" ht="15">
      <c r="A197" s="82" t="s">
        <v>3500</v>
      </c>
      <c r="B197" s="107" t="s">
        <v>357</v>
      </c>
      <c r="C197" s="81">
        <f>VLOOKUP(GroupVertices[[#This Row],[Vertex]],Vertices[],MATCH("ID",Vertices[[#Headers],[Vertex]:[Top Word Pairs in Comment by Salience]],0),FALSE)</f>
        <v>138</v>
      </c>
    </row>
    <row r="198" spans="1:3" ht="15">
      <c r="A198" s="82" t="s">
        <v>3501</v>
      </c>
      <c r="B198" s="107" t="s">
        <v>759</v>
      </c>
      <c r="C198" s="81">
        <f>VLOOKUP(GroupVertices[[#This Row],[Vertex]],Vertices[],MATCH("ID",Vertices[[#Headers],[Vertex]:[Top Word Pairs in Comment by Salience]],0),FALSE)</f>
        <v>540</v>
      </c>
    </row>
    <row r="199" spans="1:3" ht="15">
      <c r="A199" s="82" t="s">
        <v>3501</v>
      </c>
      <c r="B199" s="107" t="s">
        <v>758</v>
      </c>
      <c r="C199" s="81">
        <f>VLOOKUP(GroupVertices[[#This Row],[Vertex]],Vertices[],MATCH("ID",Vertices[[#Headers],[Vertex]:[Top Word Pairs in Comment by Salience]],0),FALSE)</f>
        <v>247</v>
      </c>
    </row>
    <row r="200" spans="1:3" ht="15">
      <c r="A200" s="82" t="s">
        <v>3501</v>
      </c>
      <c r="B200" s="107" t="s">
        <v>757</v>
      </c>
      <c r="C200" s="81">
        <f>VLOOKUP(GroupVertices[[#This Row],[Vertex]],Vertices[],MATCH("ID",Vertices[[#Headers],[Vertex]:[Top Word Pairs in Comment by Salience]],0),FALSE)</f>
        <v>539</v>
      </c>
    </row>
    <row r="201" spans="1:3" ht="15">
      <c r="A201" s="82" t="s">
        <v>3501</v>
      </c>
      <c r="B201" s="107" t="s">
        <v>756</v>
      </c>
      <c r="C201" s="81">
        <f>VLOOKUP(GroupVertices[[#This Row],[Vertex]],Vertices[],MATCH("ID",Vertices[[#Headers],[Vertex]:[Top Word Pairs in Comment by Salience]],0),FALSE)</f>
        <v>538</v>
      </c>
    </row>
    <row r="202" spans="1:3" ht="15">
      <c r="A202" s="82" t="s">
        <v>3501</v>
      </c>
      <c r="B202" s="107" t="s">
        <v>755</v>
      </c>
      <c r="C202" s="81">
        <f>VLOOKUP(GroupVertices[[#This Row],[Vertex]],Vertices[],MATCH("ID",Vertices[[#Headers],[Vertex]:[Top Word Pairs in Comment by Salience]],0),FALSE)</f>
        <v>537</v>
      </c>
    </row>
    <row r="203" spans="1:3" ht="15">
      <c r="A203" s="82" t="s">
        <v>3501</v>
      </c>
      <c r="B203" s="107" t="s">
        <v>754</v>
      </c>
      <c r="C203" s="81">
        <f>VLOOKUP(GroupVertices[[#This Row],[Vertex]],Vertices[],MATCH("ID",Vertices[[#Headers],[Vertex]:[Top Word Pairs in Comment by Salience]],0),FALSE)</f>
        <v>536</v>
      </c>
    </row>
    <row r="204" spans="1:3" ht="15">
      <c r="A204" s="82" t="s">
        <v>3501</v>
      </c>
      <c r="B204" s="107" t="s">
        <v>753</v>
      </c>
      <c r="C204" s="81">
        <f>VLOOKUP(GroupVertices[[#This Row],[Vertex]],Vertices[],MATCH("ID",Vertices[[#Headers],[Vertex]:[Top Word Pairs in Comment by Salience]],0),FALSE)</f>
        <v>535</v>
      </c>
    </row>
    <row r="205" spans="1:3" ht="15">
      <c r="A205" s="82" t="s">
        <v>3501</v>
      </c>
      <c r="B205" s="107" t="s">
        <v>752</v>
      </c>
      <c r="C205" s="81">
        <f>VLOOKUP(GroupVertices[[#This Row],[Vertex]],Vertices[],MATCH("ID",Vertices[[#Headers],[Vertex]:[Top Word Pairs in Comment by Salience]],0),FALSE)</f>
        <v>534</v>
      </c>
    </row>
    <row r="206" spans="1:3" ht="15">
      <c r="A206" s="82" t="s">
        <v>3501</v>
      </c>
      <c r="B206" s="107" t="s">
        <v>751</v>
      </c>
      <c r="C206" s="81">
        <f>VLOOKUP(GroupVertices[[#This Row],[Vertex]],Vertices[],MATCH("ID",Vertices[[#Headers],[Vertex]:[Top Word Pairs in Comment by Salience]],0),FALSE)</f>
        <v>533</v>
      </c>
    </row>
    <row r="207" spans="1:3" ht="15">
      <c r="A207" s="82" t="s">
        <v>3501</v>
      </c>
      <c r="B207" s="107" t="s">
        <v>750</v>
      </c>
      <c r="C207" s="81">
        <f>VLOOKUP(GroupVertices[[#This Row],[Vertex]],Vertices[],MATCH("ID",Vertices[[#Headers],[Vertex]:[Top Word Pairs in Comment by Salience]],0),FALSE)</f>
        <v>532</v>
      </c>
    </row>
    <row r="208" spans="1:3" ht="15">
      <c r="A208" s="82" t="s">
        <v>3501</v>
      </c>
      <c r="B208" s="107" t="s">
        <v>749</v>
      </c>
      <c r="C208" s="81">
        <f>VLOOKUP(GroupVertices[[#This Row],[Vertex]],Vertices[],MATCH("ID",Vertices[[#Headers],[Vertex]:[Top Word Pairs in Comment by Salience]],0),FALSE)</f>
        <v>531</v>
      </c>
    </row>
    <row r="209" spans="1:3" ht="15">
      <c r="A209" s="82" t="s">
        <v>3501</v>
      </c>
      <c r="B209" s="107" t="s">
        <v>748</v>
      </c>
      <c r="C209" s="81">
        <f>VLOOKUP(GroupVertices[[#This Row],[Vertex]],Vertices[],MATCH("ID",Vertices[[#Headers],[Vertex]:[Top Word Pairs in Comment by Salience]],0),FALSE)</f>
        <v>530</v>
      </c>
    </row>
    <row r="210" spans="1:3" ht="15">
      <c r="A210" s="82" t="s">
        <v>3501</v>
      </c>
      <c r="B210" s="107" t="s">
        <v>747</v>
      </c>
      <c r="C210" s="81">
        <f>VLOOKUP(GroupVertices[[#This Row],[Vertex]],Vertices[],MATCH("ID",Vertices[[#Headers],[Vertex]:[Top Word Pairs in Comment by Salience]],0),FALSE)</f>
        <v>529</v>
      </c>
    </row>
    <row r="211" spans="1:3" ht="15">
      <c r="A211" s="82" t="s">
        <v>3501</v>
      </c>
      <c r="B211" s="107" t="s">
        <v>746</v>
      </c>
      <c r="C211" s="81">
        <f>VLOOKUP(GroupVertices[[#This Row],[Vertex]],Vertices[],MATCH("ID",Vertices[[#Headers],[Vertex]:[Top Word Pairs in Comment by Salience]],0),FALSE)</f>
        <v>528</v>
      </c>
    </row>
    <row r="212" spans="1:3" ht="15">
      <c r="A212" s="82" t="s">
        <v>3501</v>
      </c>
      <c r="B212" s="107" t="s">
        <v>745</v>
      </c>
      <c r="C212" s="81">
        <f>VLOOKUP(GroupVertices[[#This Row],[Vertex]],Vertices[],MATCH("ID",Vertices[[#Headers],[Vertex]:[Top Word Pairs in Comment by Salience]],0),FALSE)</f>
        <v>527</v>
      </c>
    </row>
    <row r="213" spans="1:3" ht="15">
      <c r="A213" s="82" t="s">
        <v>3501</v>
      </c>
      <c r="B213" s="107" t="s">
        <v>744</v>
      </c>
      <c r="C213" s="81">
        <f>VLOOKUP(GroupVertices[[#This Row],[Vertex]],Vertices[],MATCH("ID",Vertices[[#Headers],[Vertex]:[Top Word Pairs in Comment by Salience]],0),FALSE)</f>
        <v>526</v>
      </c>
    </row>
    <row r="214" spans="1:3" ht="15">
      <c r="A214" s="82" t="s">
        <v>3501</v>
      </c>
      <c r="B214" s="107" t="s">
        <v>743</v>
      </c>
      <c r="C214" s="81">
        <f>VLOOKUP(GroupVertices[[#This Row],[Vertex]],Vertices[],MATCH("ID",Vertices[[#Headers],[Vertex]:[Top Word Pairs in Comment by Salience]],0),FALSE)</f>
        <v>525</v>
      </c>
    </row>
    <row r="215" spans="1:3" ht="15">
      <c r="A215" s="82" t="s">
        <v>3501</v>
      </c>
      <c r="B215" s="107" t="s">
        <v>742</v>
      </c>
      <c r="C215" s="81">
        <f>VLOOKUP(GroupVertices[[#This Row],[Vertex]],Vertices[],MATCH("ID",Vertices[[#Headers],[Vertex]:[Top Word Pairs in Comment by Salience]],0),FALSE)</f>
        <v>524</v>
      </c>
    </row>
    <row r="216" spans="1:3" ht="15">
      <c r="A216" s="82" t="s">
        <v>3501</v>
      </c>
      <c r="B216" s="107" t="s">
        <v>741</v>
      </c>
      <c r="C216" s="81">
        <f>VLOOKUP(GroupVertices[[#This Row],[Vertex]],Vertices[],MATCH("ID",Vertices[[#Headers],[Vertex]:[Top Word Pairs in Comment by Salience]],0),FALSE)</f>
        <v>523</v>
      </c>
    </row>
    <row r="217" spans="1:3" ht="15">
      <c r="A217" s="82" t="s">
        <v>3501</v>
      </c>
      <c r="B217" s="107" t="s">
        <v>740</v>
      </c>
      <c r="C217" s="81">
        <f>VLOOKUP(GroupVertices[[#This Row],[Vertex]],Vertices[],MATCH("ID",Vertices[[#Headers],[Vertex]:[Top Word Pairs in Comment by Salience]],0),FALSE)</f>
        <v>522</v>
      </c>
    </row>
    <row r="218" spans="1:3" ht="15">
      <c r="A218" s="82" t="s">
        <v>3501</v>
      </c>
      <c r="B218" s="107" t="s">
        <v>739</v>
      </c>
      <c r="C218" s="81">
        <f>VLOOKUP(GroupVertices[[#This Row],[Vertex]],Vertices[],MATCH("ID",Vertices[[#Headers],[Vertex]:[Top Word Pairs in Comment by Salience]],0),FALSE)</f>
        <v>521</v>
      </c>
    </row>
    <row r="219" spans="1:3" ht="15">
      <c r="A219" s="82" t="s">
        <v>3501</v>
      </c>
      <c r="B219" s="107" t="s">
        <v>738</v>
      </c>
      <c r="C219" s="81">
        <f>VLOOKUP(GroupVertices[[#This Row],[Vertex]],Vertices[],MATCH("ID",Vertices[[#Headers],[Vertex]:[Top Word Pairs in Comment by Salience]],0),FALSE)</f>
        <v>520</v>
      </c>
    </row>
    <row r="220" spans="1:3" ht="15">
      <c r="A220" s="82" t="s">
        <v>3501</v>
      </c>
      <c r="B220" s="107" t="s">
        <v>737</v>
      </c>
      <c r="C220" s="81">
        <f>VLOOKUP(GroupVertices[[#This Row],[Vertex]],Vertices[],MATCH("ID",Vertices[[#Headers],[Vertex]:[Top Word Pairs in Comment by Salience]],0),FALSE)</f>
        <v>519</v>
      </c>
    </row>
    <row r="221" spans="1:3" ht="15">
      <c r="A221" s="82" t="s">
        <v>3501</v>
      </c>
      <c r="B221" s="107" t="s">
        <v>736</v>
      </c>
      <c r="C221" s="81">
        <f>VLOOKUP(GroupVertices[[#This Row],[Vertex]],Vertices[],MATCH("ID",Vertices[[#Headers],[Vertex]:[Top Word Pairs in Comment by Salience]],0),FALSE)</f>
        <v>518</v>
      </c>
    </row>
    <row r="222" spans="1:3" ht="15">
      <c r="A222" s="82" t="s">
        <v>3501</v>
      </c>
      <c r="B222" s="107" t="s">
        <v>735</v>
      </c>
      <c r="C222" s="81">
        <f>VLOOKUP(GroupVertices[[#This Row],[Vertex]],Vertices[],MATCH("ID",Vertices[[#Headers],[Vertex]:[Top Word Pairs in Comment by Salience]],0),FALSE)</f>
        <v>517</v>
      </c>
    </row>
    <row r="223" spans="1:3" ht="15">
      <c r="A223" s="82" t="s">
        <v>3501</v>
      </c>
      <c r="B223" s="107" t="s">
        <v>734</v>
      </c>
      <c r="C223" s="81">
        <f>VLOOKUP(GroupVertices[[#This Row],[Vertex]],Vertices[],MATCH("ID",Vertices[[#Headers],[Vertex]:[Top Word Pairs in Comment by Salience]],0),FALSE)</f>
        <v>516</v>
      </c>
    </row>
    <row r="224" spans="1:3" ht="15">
      <c r="A224" s="82" t="s">
        <v>3501</v>
      </c>
      <c r="B224" s="107" t="s">
        <v>733</v>
      </c>
      <c r="C224" s="81">
        <f>VLOOKUP(GroupVertices[[#This Row],[Vertex]],Vertices[],MATCH("ID",Vertices[[#Headers],[Vertex]:[Top Word Pairs in Comment by Salience]],0),FALSE)</f>
        <v>515</v>
      </c>
    </row>
    <row r="225" spans="1:3" ht="15">
      <c r="A225" s="82" t="s">
        <v>3501</v>
      </c>
      <c r="B225" s="107" t="s">
        <v>732</v>
      </c>
      <c r="C225" s="81">
        <f>VLOOKUP(GroupVertices[[#This Row],[Vertex]],Vertices[],MATCH("ID",Vertices[[#Headers],[Vertex]:[Top Word Pairs in Comment by Salience]],0),FALSE)</f>
        <v>514</v>
      </c>
    </row>
    <row r="226" spans="1:3" ht="15">
      <c r="A226" s="82" t="s">
        <v>3501</v>
      </c>
      <c r="B226" s="107" t="s">
        <v>731</v>
      </c>
      <c r="C226" s="81">
        <f>VLOOKUP(GroupVertices[[#This Row],[Vertex]],Vertices[],MATCH("ID",Vertices[[#Headers],[Vertex]:[Top Word Pairs in Comment by Salience]],0),FALSE)</f>
        <v>513</v>
      </c>
    </row>
    <row r="227" spans="1:3" ht="15">
      <c r="A227" s="82" t="s">
        <v>3501</v>
      </c>
      <c r="B227" s="107" t="s">
        <v>730</v>
      </c>
      <c r="C227" s="81">
        <f>VLOOKUP(GroupVertices[[#This Row],[Vertex]],Vertices[],MATCH("ID",Vertices[[#Headers],[Vertex]:[Top Word Pairs in Comment by Salience]],0),FALSE)</f>
        <v>512</v>
      </c>
    </row>
    <row r="228" spans="1:3" ht="15">
      <c r="A228" s="82" t="s">
        <v>3501</v>
      </c>
      <c r="B228" s="107" t="s">
        <v>729</v>
      </c>
      <c r="C228" s="81">
        <f>VLOOKUP(GroupVertices[[#This Row],[Vertex]],Vertices[],MATCH("ID",Vertices[[#Headers],[Vertex]:[Top Word Pairs in Comment by Salience]],0),FALSE)</f>
        <v>511</v>
      </c>
    </row>
    <row r="229" spans="1:3" ht="15">
      <c r="A229" s="82" t="s">
        <v>3501</v>
      </c>
      <c r="B229" s="107" t="s">
        <v>728</v>
      </c>
      <c r="C229" s="81">
        <f>VLOOKUP(GroupVertices[[#This Row],[Vertex]],Vertices[],MATCH("ID",Vertices[[#Headers],[Vertex]:[Top Word Pairs in Comment by Salience]],0),FALSE)</f>
        <v>510</v>
      </c>
    </row>
    <row r="230" spans="1:3" ht="15">
      <c r="A230" s="82" t="s">
        <v>3501</v>
      </c>
      <c r="B230" s="107" t="s">
        <v>727</v>
      </c>
      <c r="C230" s="81">
        <f>VLOOKUP(GroupVertices[[#This Row],[Vertex]],Vertices[],MATCH("ID",Vertices[[#Headers],[Vertex]:[Top Word Pairs in Comment by Salience]],0),FALSE)</f>
        <v>509</v>
      </c>
    </row>
    <row r="231" spans="1:3" ht="15">
      <c r="A231" s="82" t="s">
        <v>3501</v>
      </c>
      <c r="B231" s="107" t="s">
        <v>726</v>
      </c>
      <c r="C231" s="81">
        <f>VLOOKUP(GroupVertices[[#This Row],[Vertex]],Vertices[],MATCH("ID",Vertices[[#Headers],[Vertex]:[Top Word Pairs in Comment by Salience]],0),FALSE)</f>
        <v>508</v>
      </c>
    </row>
    <row r="232" spans="1:3" ht="15">
      <c r="A232" s="82" t="s">
        <v>3501</v>
      </c>
      <c r="B232" s="107" t="s">
        <v>725</v>
      </c>
      <c r="C232" s="81">
        <f>VLOOKUP(GroupVertices[[#This Row],[Vertex]],Vertices[],MATCH("ID",Vertices[[#Headers],[Vertex]:[Top Word Pairs in Comment by Salience]],0),FALSE)</f>
        <v>507</v>
      </c>
    </row>
    <row r="233" spans="1:3" ht="15">
      <c r="A233" s="82" t="s">
        <v>3501</v>
      </c>
      <c r="B233" s="107" t="s">
        <v>724</v>
      </c>
      <c r="C233" s="81">
        <f>VLOOKUP(GroupVertices[[#This Row],[Vertex]],Vertices[],MATCH("ID",Vertices[[#Headers],[Vertex]:[Top Word Pairs in Comment by Salience]],0),FALSE)</f>
        <v>506</v>
      </c>
    </row>
    <row r="234" spans="1:3" ht="15">
      <c r="A234" s="82" t="s">
        <v>3501</v>
      </c>
      <c r="B234" s="107" t="s">
        <v>723</v>
      </c>
      <c r="C234" s="81">
        <f>VLOOKUP(GroupVertices[[#This Row],[Vertex]],Vertices[],MATCH("ID",Vertices[[#Headers],[Vertex]:[Top Word Pairs in Comment by Salience]],0),FALSE)</f>
        <v>505</v>
      </c>
    </row>
    <row r="235" spans="1:3" ht="15">
      <c r="A235" s="82" t="s">
        <v>3501</v>
      </c>
      <c r="B235" s="107" t="s">
        <v>722</v>
      </c>
      <c r="C235" s="81">
        <f>VLOOKUP(GroupVertices[[#This Row],[Vertex]],Vertices[],MATCH("ID",Vertices[[#Headers],[Vertex]:[Top Word Pairs in Comment by Salience]],0),FALSE)</f>
        <v>504</v>
      </c>
    </row>
    <row r="236" spans="1:3" ht="15">
      <c r="A236" s="82" t="s">
        <v>3501</v>
      </c>
      <c r="B236" s="107" t="s">
        <v>721</v>
      </c>
      <c r="C236" s="81">
        <f>VLOOKUP(GroupVertices[[#This Row],[Vertex]],Vertices[],MATCH("ID",Vertices[[#Headers],[Vertex]:[Top Word Pairs in Comment by Salience]],0),FALSE)</f>
        <v>503</v>
      </c>
    </row>
    <row r="237" spans="1:3" ht="15">
      <c r="A237" s="82" t="s">
        <v>3501</v>
      </c>
      <c r="B237" s="107" t="s">
        <v>720</v>
      </c>
      <c r="C237" s="81">
        <f>VLOOKUP(GroupVertices[[#This Row],[Vertex]],Vertices[],MATCH("ID",Vertices[[#Headers],[Vertex]:[Top Word Pairs in Comment by Salience]],0),FALSE)</f>
        <v>502</v>
      </c>
    </row>
    <row r="238" spans="1:3" ht="15">
      <c r="A238" s="82" t="s">
        <v>3501</v>
      </c>
      <c r="B238" s="107" t="s">
        <v>719</v>
      </c>
      <c r="C238" s="81">
        <f>VLOOKUP(GroupVertices[[#This Row],[Vertex]],Vertices[],MATCH("ID",Vertices[[#Headers],[Vertex]:[Top Word Pairs in Comment by Salience]],0),FALSE)</f>
        <v>501</v>
      </c>
    </row>
    <row r="239" spans="1:3" ht="15">
      <c r="A239" s="82" t="s">
        <v>3501</v>
      </c>
      <c r="B239" s="107" t="s">
        <v>718</v>
      </c>
      <c r="C239" s="81">
        <f>VLOOKUP(GroupVertices[[#This Row],[Vertex]],Vertices[],MATCH("ID",Vertices[[#Headers],[Vertex]:[Top Word Pairs in Comment by Salience]],0),FALSE)</f>
        <v>500</v>
      </c>
    </row>
    <row r="240" spans="1:3" ht="15">
      <c r="A240" s="82" t="s">
        <v>3501</v>
      </c>
      <c r="B240" s="107" t="s">
        <v>717</v>
      </c>
      <c r="C240" s="81">
        <f>VLOOKUP(GroupVertices[[#This Row],[Vertex]],Vertices[],MATCH("ID",Vertices[[#Headers],[Vertex]:[Top Word Pairs in Comment by Salience]],0),FALSE)</f>
        <v>499</v>
      </c>
    </row>
    <row r="241" spans="1:3" ht="15">
      <c r="A241" s="82" t="s">
        <v>3501</v>
      </c>
      <c r="B241" s="107" t="s">
        <v>716</v>
      </c>
      <c r="C241" s="81">
        <f>VLOOKUP(GroupVertices[[#This Row],[Vertex]],Vertices[],MATCH("ID",Vertices[[#Headers],[Vertex]:[Top Word Pairs in Comment by Salience]],0),FALSE)</f>
        <v>498</v>
      </c>
    </row>
    <row r="242" spans="1:3" ht="15">
      <c r="A242" s="82" t="s">
        <v>3501</v>
      </c>
      <c r="B242" s="107" t="s">
        <v>715</v>
      </c>
      <c r="C242" s="81">
        <f>VLOOKUP(GroupVertices[[#This Row],[Vertex]],Vertices[],MATCH("ID",Vertices[[#Headers],[Vertex]:[Top Word Pairs in Comment by Salience]],0),FALSE)</f>
        <v>497</v>
      </c>
    </row>
    <row r="243" spans="1:3" ht="15">
      <c r="A243" s="82" t="s">
        <v>3501</v>
      </c>
      <c r="B243" s="107" t="s">
        <v>714</v>
      </c>
      <c r="C243" s="81">
        <f>VLOOKUP(GroupVertices[[#This Row],[Vertex]],Vertices[],MATCH("ID",Vertices[[#Headers],[Vertex]:[Top Word Pairs in Comment by Salience]],0),FALSE)</f>
        <v>496</v>
      </c>
    </row>
    <row r="244" spans="1:3" ht="15">
      <c r="A244" s="82" t="s">
        <v>3501</v>
      </c>
      <c r="B244" s="107" t="s">
        <v>713</v>
      </c>
      <c r="C244" s="81">
        <f>VLOOKUP(GroupVertices[[#This Row],[Vertex]],Vertices[],MATCH("ID",Vertices[[#Headers],[Vertex]:[Top Word Pairs in Comment by Salience]],0),FALSE)</f>
        <v>495</v>
      </c>
    </row>
    <row r="245" spans="1:3" ht="15">
      <c r="A245" s="82" t="s">
        <v>3501</v>
      </c>
      <c r="B245" s="107" t="s">
        <v>712</v>
      </c>
      <c r="C245" s="81">
        <f>VLOOKUP(GroupVertices[[#This Row],[Vertex]],Vertices[],MATCH("ID",Vertices[[#Headers],[Vertex]:[Top Word Pairs in Comment by Salience]],0),FALSE)</f>
        <v>494</v>
      </c>
    </row>
    <row r="246" spans="1:3" ht="15">
      <c r="A246" s="82" t="s">
        <v>3501</v>
      </c>
      <c r="B246" s="107" t="s">
        <v>711</v>
      </c>
      <c r="C246" s="81">
        <f>VLOOKUP(GroupVertices[[#This Row],[Vertex]],Vertices[],MATCH("ID",Vertices[[#Headers],[Vertex]:[Top Word Pairs in Comment by Salience]],0),FALSE)</f>
        <v>493</v>
      </c>
    </row>
    <row r="247" spans="1:3" ht="15">
      <c r="A247" s="82" t="s">
        <v>3501</v>
      </c>
      <c r="B247" s="107" t="s">
        <v>710</v>
      </c>
      <c r="C247" s="81">
        <f>VLOOKUP(GroupVertices[[#This Row],[Vertex]],Vertices[],MATCH("ID",Vertices[[#Headers],[Vertex]:[Top Word Pairs in Comment by Salience]],0),FALSE)</f>
        <v>492</v>
      </c>
    </row>
    <row r="248" spans="1:3" ht="15">
      <c r="A248" s="82" t="s">
        <v>3501</v>
      </c>
      <c r="B248" s="107" t="s">
        <v>709</v>
      </c>
      <c r="C248" s="81">
        <f>VLOOKUP(GroupVertices[[#This Row],[Vertex]],Vertices[],MATCH("ID",Vertices[[#Headers],[Vertex]:[Top Word Pairs in Comment by Salience]],0),FALSE)</f>
        <v>491</v>
      </c>
    </row>
    <row r="249" spans="1:3" ht="15">
      <c r="A249" s="82" t="s">
        <v>3501</v>
      </c>
      <c r="B249" s="107" t="s">
        <v>708</v>
      </c>
      <c r="C249" s="81">
        <f>VLOOKUP(GroupVertices[[#This Row],[Vertex]],Vertices[],MATCH("ID",Vertices[[#Headers],[Vertex]:[Top Word Pairs in Comment by Salience]],0),FALSE)</f>
        <v>490</v>
      </c>
    </row>
    <row r="250" spans="1:3" ht="15">
      <c r="A250" s="82" t="s">
        <v>3501</v>
      </c>
      <c r="B250" s="107" t="s">
        <v>707</v>
      </c>
      <c r="C250" s="81">
        <f>VLOOKUP(GroupVertices[[#This Row],[Vertex]],Vertices[],MATCH("ID",Vertices[[#Headers],[Vertex]:[Top Word Pairs in Comment by Salience]],0),FALSE)</f>
        <v>489</v>
      </c>
    </row>
    <row r="251" spans="1:3" ht="15">
      <c r="A251" s="82" t="s">
        <v>3501</v>
      </c>
      <c r="B251" s="107" t="s">
        <v>706</v>
      </c>
      <c r="C251" s="81">
        <f>VLOOKUP(GroupVertices[[#This Row],[Vertex]],Vertices[],MATCH("ID",Vertices[[#Headers],[Vertex]:[Top Word Pairs in Comment by Salience]],0),FALSE)</f>
        <v>488</v>
      </c>
    </row>
    <row r="252" spans="1:3" ht="15">
      <c r="A252" s="82" t="s">
        <v>3501</v>
      </c>
      <c r="B252" s="107" t="s">
        <v>705</v>
      </c>
      <c r="C252" s="81">
        <f>VLOOKUP(GroupVertices[[#This Row],[Vertex]],Vertices[],MATCH("ID",Vertices[[#Headers],[Vertex]:[Top Word Pairs in Comment by Salience]],0),FALSE)</f>
        <v>487</v>
      </c>
    </row>
    <row r="253" spans="1:3" ht="15">
      <c r="A253" s="82" t="s">
        <v>3501</v>
      </c>
      <c r="B253" s="107" t="s">
        <v>704</v>
      </c>
      <c r="C253" s="81">
        <f>VLOOKUP(GroupVertices[[#This Row],[Vertex]],Vertices[],MATCH("ID",Vertices[[#Headers],[Vertex]:[Top Word Pairs in Comment by Salience]],0),FALSE)</f>
        <v>486</v>
      </c>
    </row>
    <row r="254" spans="1:3" ht="15">
      <c r="A254" s="82" t="s">
        <v>3501</v>
      </c>
      <c r="B254" s="107" t="s">
        <v>703</v>
      </c>
      <c r="C254" s="81">
        <f>VLOOKUP(GroupVertices[[#This Row],[Vertex]],Vertices[],MATCH("ID",Vertices[[#Headers],[Vertex]:[Top Word Pairs in Comment by Salience]],0),FALSE)</f>
        <v>485</v>
      </c>
    </row>
    <row r="255" spans="1:3" ht="15">
      <c r="A255" s="82" t="s">
        <v>3501</v>
      </c>
      <c r="B255" s="107" t="s">
        <v>702</v>
      </c>
      <c r="C255" s="81">
        <f>VLOOKUP(GroupVertices[[#This Row],[Vertex]],Vertices[],MATCH("ID",Vertices[[#Headers],[Vertex]:[Top Word Pairs in Comment by Salience]],0),FALSE)</f>
        <v>484</v>
      </c>
    </row>
    <row r="256" spans="1:3" ht="15">
      <c r="A256" s="82" t="s">
        <v>3501</v>
      </c>
      <c r="B256" s="107" t="s">
        <v>701</v>
      </c>
      <c r="C256" s="81">
        <f>VLOOKUP(GroupVertices[[#This Row],[Vertex]],Vertices[],MATCH("ID",Vertices[[#Headers],[Vertex]:[Top Word Pairs in Comment by Salience]],0),FALSE)</f>
        <v>483</v>
      </c>
    </row>
    <row r="257" spans="1:3" ht="15">
      <c r="A257" s="82" t="s">
        <v>3501</v>
      </c>
      <c r="B257" s="107" t="s">
        <v>700</v>
      </c>
      <c r="C257" s="81">
        <f>VLOOKUP(GroupVertices[[#This Row],[Vertex]],Vertices[],MATCH("ID",Vertices[[#Headers],[Vertex]:[Top Word Pairs in Comment by Salience]],0),FALSE)</f>
        <v>482</v>
      </c>
    </row>
    <row r="258" spans="1:3" ht="15">
      <c r="A258" s="82" t="s">
        <v>3501</v>
      </c>
      <c r="B258" s="107" t="s">
        <v>699</v>
      </c>
      <c r="C258" s="81">
        <f>VLOOKUP(GroupVertices[[#This Row],[Vertex]],Vertices[],MATCH("ID",Vertices[[#Headers],[Vertex]:[Top Word Pairs in Comment by Salience]],0),FALSE)</f>
        <v>481</v>
      </c>
    </row>
    <row r="259" spans="1:3" ht="15">
      <c r="A259" s="82" t="s">
        <v>3501</v>
      </c>
      <c r="B259" s="107" t="s">
        <v>698</v>
      </c>
      <c r="C259" s="81">
        <f>VLOOKUP(GroupVertices[[#This Row],[Vertex]],Vertices[],MATCH("ID",Vertices[[#Headers],[Vertex]:[Top Word Pairs in Comment by Salience]],0),FALSE)</f>
        <v>480</v>
      </c>
    </row>
    <row r="260" spans="1:3" ht="15">
      <c r="A260" s="82" t="s">
        <v>3501</v>
      </c>
      <c r="B260" s="107" t="s">
        <v>697</v>
      </c>
      <c r="C260" s="81">
        <f>VLOOKUP(GroupVertices[[#This Row],[Vertex]],Vertices[],MATCH("ID",Vertices[[#Headers],[Vertex]:[Top Word Pairs in Comment by Salience]],0),FALSE)</f>
        <v>479</v>
      </c>
    </row>
    <row r="261" spans="1:3" ht="15">
      <c r="A261" s="82" t="s">
        <v>3501</v>
      </c>
      <c r="B261" s="107" t="s">
        <v>696</v>
      </c>
      <c r="C261" s="81">
        <f>VLOOKUP(GroupVertices[[#This Row],[Vertex]],Vertices[],MATCH("ID",Vertices[[#Headers],[Vertex]:[Top Word Pairs in Comment by Salience]],0),FALSE)</f>
        <v>478</v>
      </c>
    </row>
    <row r="262" spans="1:3" ht="15">
      <c r="A262" s="82" t="s">
        <v>3501</v>
      </c>
      <c r="B262" s="107" t="s">
        <v>695</v>
      </c>
      <c r="C262" s="81">
        <f>VLOOKUP(GroupVertices[[#This Row],[Vertex]],Vertices[],MATCH("ID",Vertices[[#Headers],[Vertex]:[Top Word Pairs in Comment by Salience]],0),FALSE)</f>
        <v>477</v>
      </c>
    </row>
    <row r="263" spans="1:3" ht="15">
      <c r="A263" s="82" t="s">
        <v>3501</v>
      </c>
      <c r="B263" s="107" t="s">
        <v>694</v>
      </c>
      <c r="C263" s="81">
        <f>VLOOKUP(GroupVertices[[#This Row],[Vertex]],Vertices[],MATCH("ID",Vertices[[#Headers],[Vertex]:[Top Word Pairs in Comment by Salience]],0),FALSE)</f>
        <v>476</v>
      </c>
    </row>
    <row r="264" spans="1:3" ht="15">
      <c r="A264" s="82" t="s">
        <v>3501</v>
      </c>
      <c r="B264" s="107" t="s">
        <v>693</v>
      </c>
      <c r="C264" s="81">
        <f>VLOOKUP(GroupVertices[[#This Row],[Vertex]],Vertices[],MATCH("ID",Vertices[[#Headers],[Vertex]:[Top Word Pairs in Comment by Salience]],0),FALSE)</f>
        <v>475</v>
      </c>
    </row>
    <row r="265" spans="1:3" ht="15">
      <c r="A265" s="82" t="s">
        <v>3501</v>
      </c>
      <c r="B265" s="107" t="s">
        <v>692</v>
      </c>
      <c r="C265" s="81">
        <f>VLOOKUP(GroupVertices[[#This Row],[Vertex]],Vertices[],MATCH("ID",Vertices[[#Headers],[Vertex]:[Top Word Pairs in Comment by Salience]],0),FALSE)</f>
        <v>474</v>
      </c>
    </row>
    <row r="266" spans="1:3" ht="15">
      <c r="A266" s="82" t="s">
        <v>3501</v>
      </c>
      <c r="B266" s="107" t="s">
        <v>691</v>
      </c>
      <c r="C266" s="81">
        <f>VLOOKUP(GroupVertices[[#This Row],[Vertex]],Vertices[],MATCH("ID",Vertices[[#Headers],[Vertex]:[Top Word Pairs in Comment by Salience]],0),FALSE)</f>
        <v>473</v>
      </c>
    </row>
    <row r="267" spans="1:3" ht="15">
      <c r="A267" s="82" t="s">
        <v>3501</v>
      </c>
      <c r="B267" s="107" t="s">
        <v>690</v>
      </c>
      <c r="C267" s="81">
        <f>VLOOKUP(GroupVertices[[#This Row],[Vertex]],Vertices[],MATCH("ID",Vertices[[#Headers],[Vertex]:[Top Word Pairs in Comment by Salience]],0),FALSE)</f>
        <v>472</v>
      </c>
    </row>
    <row r="268" spans="1:3" ht="15">
      <c r="A268" s="82" t="s">
        <v>3501</v>
      </c>
      <c r="B268" s="107" t="s">
        <v>689</v>
      </c>
      <c r="C268" s="81">
        <f>VLOOKUP(GroupVertices[[#This Row],[Vertex]],Vertices[],MATCH("ID",Vertices[[#Headers],[Vertex]:[Top Word Pairs in Comment by Salience]],0),FALSE)</f>
        <v>471</v>
      </c>
    </row>
    <row r="269" spans="1:3" ht="15">
      <c r="A269" s="82" t="s">
        <v>3501</v>
      </c>
      <c r="B269" s="107" t="s">
        <v>688</v>
      </c>
      <c r="C269" s="81">
        <f>VLOOKUP(GroupVertices[[#This Row],[Vertex]],Vertices[],MATCH("ID",Vertices[[#Headers],[Vertex]:[Top Word Pairs in Comment by Salience]],0),FALSE)</f>
        <v>470</v>
      </c>
    </row>
    <row r="270" spans="1:3" ht="15">
      <c r="A270" s="82" t="s">
        <v>3501</v>
      </c>
      <c r="B270" s="107" t="s">
        <v>687</v>
      </c>
      <c r="C270" s="81">
        <f>VLOOKUP(GroupVertices[[#This Row],[Vertex]],Vertices[],MATCH("ID",Vertices[[#Headers],[Vertex]:[Top Word Pairs in Comment by Salience]],0),FALSE)</f>
        <v>469</v>
      </c>
    </row>
    <row r="271" spans="1:3" ht="15">
      <c r="A271" s="82" t="s">
        <v>3501</v>
      </c>
      <c r="B271" s="107" t="s">
        <v>686</v>
      </c>
      <c r="C271" s="81">
        <f>VLOOKUP(GroupVertices[[#This Row],[Vertex]],Vertices[],MATCH("ID",Vertices[[#Headers],[Vertex]:[Top Word Pairs in Comment by Salience]],0),FALSE)</f>
        <v>468</v>
      </c>
    </row>
    <row r="272" spans="1:3" ht="15">
      <c r="A272" s="82" t="s">
        <v>3501</v>
      </c>
      <c r="B272" s="107" t="s">
        <v>539</v>
      </c>
      <c r="C272" s="81">
        <f>VLOOKUP(GroupVertices[[#This Row],[Vertex]],Vertices[],MATCH("ID",Vertices[[#Headers],[Vertex]:[Top Word Pairs in Comment by Salience]],0),FALSE)</f>
        <v>322</v>
      </c>
    </row>
    <row r="273" spans="1:3" ht="15">
      <c r="A273" s="82" t="s">
        <v>3501</v>
      </c>
      <c r="B273" s="107" t="s">
        <v>538</v>
      </c>
      <c r="C273" s="81">
        <f>VLOOKUP(GroupVertices[[#This Row],[Vertex]],Vertices[],MATCH("ID",Vertices[[#Headers],[Vertex]:[Top Word Pairs in Comment by Salience]],0),FALSE)</f>
        <v>321</v>
      </c>
    </row>
    <row r="274" spans="1:3" ht="15">
      <c r="A274" s="82" t="s">
        <v>3501</v>
      </c>
      <c r="B274" s="107" t="s">
        <v>537</v>
      </c>
      <c r="C274" s="81">
        <f>VLOOKUP(GroupVertices[[#This Row],[Vertex]],Vertices[],MATCH("ID",Vertices[[#Headers],[Vertex]:[Top Word Pairs in Comment by Salience]],0),FALSE)</f>
        <v>320</v>
      </c>
    </row>
    <row r="275" spans="1:3" ht="15">
      <c r="A275" s="82" t="s">
        <v>3501</v>
      </c>
      <c r="B275" s="107" t="s">
        <v>536</v>
      </c>
      <c r="C275" s="81">
        <f>VLOOKUP(GroupVertices[[#This Row],[Vertex]],Vertices[],MATCH("ID",Vertices[[#Headers],[Vertex]:[Top Word Pairs in Comment by Salience]],0),FALSE)</f>
        <v>319</v>
      </c>
    </row>
    <row r="276" spans="1:3" ht="15">
      <c r="A276" s="82" t="s">
        <v>3501</v>
      </c>
      <c r="B276" s="107" t="s">
        <v>535</v>
      </c>
      <c r="C276" s="81">
        <f>VLOOKUP(GroupVertices[[#This Row],[Vertex]],Vertices[],MATCH("ID",Vertices[[#Headers],[Vertex]:[Top Word Pairs in Comment by Salience]],0),FALSE)</f>
        <v>318</v>
      </c>
    </row>
    <row r="277" spans="1:3" ht="15">
      <c r="A277" s="82" t="s">
        <v>3501</v>
      </c>
      <c r="B277" s="107" t="s">
        <v>534</v>
      </c>
      <c r="C277" s="81">
        <f>VLOOKUP(GroupVertices[[#This Row],[Vertex]],Vertices[],MATCH("ID",Vertices[[#Headers],[Vertex]:[Top Word Pairs in Comment by Salience]],0),FALSE)</f>
        <v>317</v>
      </c>
    </row>
    <row r="278" spans="1:3" ht="15">
      <c r="A278" s="82" t="s">
        <v>3501</v>
      </c>
      <c r="B278" s="107" t="s">
        <v>533</v>
      </c>
      <c r="C278" s="81">
        <f>VLOOKUP(GroupVertices[[#This Row],[Vertex]],Vertices[],MATCH("ID",Vertices[[#Headers],[Vertex]:[Top Word Pairs in Comment by Salience]],0),FALSE)</f>
        <v>316</v>
      </c>
    </row>
    <row r="279" spans="1:3" ht="15">
      <c r="A279" s="82" t="s">
        <v>3501</v>
      </c>
      <c r="B279" s="107" t="s">
        <v>532</v>
      </c>
      <c r="C279" s="81">
        <f>VLOOKUP(GroupVertices[[#This Row],[Vertex]],Vertices[],MATCH("ID",Vertices[[#Headers],[Vertex]:[Top Word Pairs in Comment by Salience]],0),FALSE)</f>
        <v>315</v>
      </c>
    </row>
    <row r="280" spans="1:3" ht="15">
      <c r="A280" s="82" t="s">
        <v>3501</v>
      </c>
      <c r="B280" s="107" t="s">
        <v>531</v>
      </c>
      <c r="C280" s="81">
        <f>VLOOKUP(GroupVertices[[#This Row],[Vertex]],Vertices[],MATCH("ID",Vertices[[#Headers],[Vertex]:[Top Word Pairs in Comment by Salience]],0),FALSE)</f>
        <v>314</v>
      </c>
    </row>
    <row r="281" spans="1:3" ht="15">
      <c r="A281" s="82" t="s">
        <v>3501</v>
      </c>
      <c r="B281" s="107" t="s">
        <v>530</v>
      </c>
      <c r="C281" s="81">
        <f>VLOOKUP(GroupVertices[[#This Row],[Vertex]],Vertices[],MATCH("ID",Vertices[[#Headers],[Vertex]:[Top Word Pairs in Comment by Salience]],0),FALSE)</f>
        <v>313</v>
      </c>
    </row>
    <row r="282" spans="1:3" ht="15">
      <c r="A282" s="82" t="s">
        <v>3501</v>
      </c>
      <c r="B282" s="107" t="s">
        <v>529</v>
      </c>
      <c r="C282" s="81">
        <f>VLOOKUP(GroupVertices[[#This Row],[Vertex]],Vertices[],MATCH("ID",Vertices[[#Headers],[Vertex]:[Top Word Pairs in Comment by Salience]],0),FALSE)</f>
        <v>312</v>
      </c>
    </row>
    <row r="283" spans="1:3" ht="15">
      <c r="A283" s="82" t="s">
        <v>3501</v>
      </c>
      <c r="B283" s="107" t="s">
        <v>528</v>
      </c>
      <c r="C283" s="81">
        <f>VLOOKUP(GroupVertices[[#This Row],[Vertex]],Vertices[],MATCH("ID",Vertices[[#Headers],[Vertex]:[Top Word Pairs in Comment by Salience]],0),FALSE)</f>
        <v>311</v>
      </c>
    </row>
    <row r="284" spans="1:3" ht="15">
      <c r="A284" s="82" t="s">
        <v>3501</v>
      </c>
      <c r="B284" s="107" t="s">
        <v>527</v>
      </c>
      <c r="C284" s="81">
        <f>VLOOKUP(GroupVertices[[#This Row],[Vertex]],Vertices[],MATCH("ID",Vertices[[#Headers],[Vertex]:[Top Word Pairs in Comment by Salience]],0),FALSE)</f>
        <v>310</v>
      </c>
    </row>
    <row r="285" spans="1:3" ht="15">
      <c r="A285" s="82" t="s">
        <v>3501</v>
      </c>
      <c r="B285" s="107" t="s">
        <v>526</v>
      </c>
      <c r="C285" s="81">
        <f>VLOOKUP(GroupVertices[[#This Row],[Vertex]],Vertices[],MATCH("ID",Vertices[[#Headers],[Vertex]:[Top Word Pairs in Comment by Salience]],0),FALSE)</f>
        <v>309</v>
      </c>
    </row>
    <row r="286" spans="1:3" ht="15">
      <c r="A286" s="82" t="s">
        <v>3501</v>
      </c>
      <c r="B286" s="107" t="s">
        <v>525</v>
      </c>
      <c r="C286" s="81">
        <f>VLOOKUP(GroupVertices[[#This Row],[Vertex]],Vertices[],MATCH("ID",Vertices[[#Headers],[Vertex]:[Top Word Pairs in Comment by Salience]],0),FALSE)</f>
        <v>308</v>
      </c>
    </row>
    <row r="287" spans="1:3" ht="15">
      <c r="A287" s="82" t="s">
        <v>3501</v>
      </c>
      <c r="B287" s="107" t="s">
        <v>524</v>
      </c>
      <c r="C287" s="81">
        <f>VLOOKUP(GroupVertices[[#This Row],[Vertex]],Vertices[],MATCH("ID",Vertices[[#Headers],[Vertex]:[Top Word Pairs in Comment by Salience]],0),FALSE)</f>
        <v>307</v>
      </c>
    </row>
    <row r="288" spans="1:3" ht="15">
      <c r="A288" s="82" t="s">
        <v>3501</v>
      </c>
      <c r="B288" s="107" t="s">
        <v>523</v>
      </c>
      <c r="C288" s="81">
        <f>VLOOKUP(GroupVertices[[#This Row],[Vertex]],Vertices[],MATCH("ID",Vertices[[#Headers],[Vertex]:[Top Word Pairs in Comment by Salience]],0),FALSE)</f>
        <v>306</v>
      </c>
    </row>
    <row r="289" spans="1:3" ht="15">
      <c r="A289" s="82" t="s">
        <v>3501</v>
      </c>
      <c r="B289" s="107" t="s">
        <v>522</v>
      </c>
      <c r="C289" s="81">
        <f>VLOOKUP(GroupVertices[[#This Row],[Vertex]],Vertices[],MATCH("ID",Vertices[[#Headers],[Vertex]:[Top Word Pairs in Comment by Salience]],0),FALSE)</f>
        <v>305</v>
      </c>
    </row>
    <row r="290" spans="1:3" ht="15">
      <c r="A290" s="82" t="s">
        <v>3501</v>
      </c>
      <c r="B290" s="107" t="s">
        <v>521</v>
      </c>
      <c r="C290" s="81">
        <f>VLOOKUP(GroupVertices[[#This Row],[Vertex]],Vertices[],MATCH("ID",Vertices[[#Headers],[Vertex]:[Top Word Pairs in Comment by Salience]],0),FALSE)</f>
        <v>304</v>
      </c>
    </row>
    <row r="291" spans="1:3" ht="15">
      <c r="A291" s="82" t="s">
        <v>3501</v>
      </c>
      <c r="B291" s="107" t="s">
        <v>520</v>
      </c>
      <c r="C291" s="81">
        <f>VLOOKUP(GroupVertices[[#This Row],[Vertex]],Vertices[],MATCH("ID",Vertices[[#Headers],[Vertex]:[Top Word Pairs in Comment by Salience]],0),FALSE)</f>
        <v>303</v>
      </c>
    </row>
    <row r="292" spans="1:3" ht="15">
      <c r="A292" s="82" t="s">
        <v>3501</v>
      </c>
      <c r="B292" s="107" t="s">
        <v>519</v>
      </c>
      <c r="C292" s="81">
        <f>VLOOKUP(GroupVertices[[#This Row],[Vertex]],Vertices[],MATCH("ID",Vertices[[#Headers],[Vertex]:[Top Word Pairs in Comment by Salience]],0),FALSE)</f>
        <v>302</v>
      </c>
    </row>
    <row r="293" spans="1:3" ht="15">
      <c r="A293" s="82" t="s">
        <v>3501</v>
      </c>
      <c r="B293" s="107" t="s">
        <v>518</v>
      </c>
      <c r="C293" s="81">
        <f>VLOOKUP(GroupVertices[[#This Row],[Vertex]],Vertices[],MATCH("ID",Vertices[[#Headers],[Vertex]:[Top Word Pairs in Comment by Salience]],0),FALSE)</f>
        <v>301</v>
      </c>
    </row>
    <row r="294" spans="1:3" ht="15">
      <c r="A294" s="82" t="s">
        <v>3501</v>
      </c>
      <c r="B294" s="107" t="s">
        <v>517</v>
      </c>
      <c r="C294" s="81">
        <f>VLOOKUP(GroupVertices[[#This Row],[Vertex]],Vertices[],MATCH("ID",Vertices[[#Headers],[Vertex]:[Top Word Pairs in Comment by Salience]],0),FALSE)</f>
        <v>300</v>
      </c>
    </row>
    <row r="295" spans="1:3" ht="15">
      <c r="A295" s="82" t="s">
        <v>3501</v>
      </c>
      <c r="B295" s="107" t="s">
        <v>516</v>
      </c>
      <c r="C295" s="81">
        <f>VLOOKUP(GroupVertices[[#This Row],[Vertex]],Vertices[],MATCH("ID",Vertices[[#Headers],[Vertex]:[Top Word Pairs in Comment by Salience]],0),FALSE)</f>
        <v>299</v>
      </c>
    </row>
    <row r="296" spans="1:3" ht="15">
      <c r="A296" s="82" t="s">
        <v>3501</v>
      </c>
      <c r="B296" s="107" t="s">
        <v>515</v>
      </c>
      <c r="C296" s="81">
        <f>VLOOKUP(GroupVertices[[#This Row],[Vertex]],Vertices[],MATCH("ID",Vertices[[#Headers],[Vertex]:[Top Word Pairs in Comment by Salience]],0),FALSE)</f>
        <v>298</v>
      </c>
    </row>
    <row r="297" spans="1:3" ht="15">
      <c r="A297" s="82" t="s">
        <v>3501</v>
      </c>
      <c r="B297" s="107" t="s">
        <v>514</v>
      </c>
      <c r="C297" s="81">
        <f>VLOOKUP(GroupVertices[[#This Row],[Vertex]],Vertices[],MATCH("ID",Vertices[[#Headers],[Vertex]:[Top Word Pairs in Comment by Salience]],0),FALSE)</f>
        <v>297</v>
      </c>
    </row>
    <row r="298" spans="1:3" ht="15">
      <c r="A298" s="82" t="s">
        <v>3501</v>
      </c>
      <c r="B298" s="107" t="s">
        <v>513</v>
      </c>
      <c r="C298" s="81">
        <f>VLOOKUP(GroupVertices[[#This Row],[Vertex]],Vertices[],MATCH("ID",Vertices[[#Headers],[Vertex]:[Top Word Pairs in Comment by Salience]],0),FALSE)</f>
        <v>296</v>
      </c>
    </row>
    <row r="299" spans="1:3" ht="15">
      <c r="A299" s="82" t="s">
        <v>3501</v>
      </c>
      <c r="B299" s="107" t="s">
        <v>512</v>
      </c>
      <c r="C299" s="81">
        <f>VLOOKUP(GroupVertices[[#This Row],[Vertex]],Vertices[],MATCH("ID",Vertices[[#Headers],[Vertex]:[Top Word Pairs in Comment by Salience]],0),FALSE)</f>
        <v>295</v>
      </c>
    </row>
    <row r="300" spans="1:3" ht="15">
      <c r="A300" s="82" t="s">
        <v>3501</v>
      </c>
      <c r="B300" s="107" t="s">
        <v>511</v>
      </c>
      <c r="C300" s="81">
        <f>VLOOKUP(GroupVertices[[#This Row],[Vertex]],Vertices[],MATCH("ID",Vertices[[#Headers],[Vertex]:[Top Word Pairs in Comment by Salience]],0),FALSE)</f>
        <v>294</v>
      </c>
    </row>
    <row r="301" spans="1:3" ht="15">
      <c r="A301" s="82" t="s">
        <v>3501</v>
      </c>
      <c r="B301" s="107" t="s">
        <v>510</v>
      </c>
      <c r="C301" s="81">
        <f>VLOOKUP(GroupVertices[[#This Row],[Vertex]],Vertices[],MATCH("ID",Vertices[[#Headers],[Vertex]:[Top Word Pairs in Comment by Salience]],0),FALSE)</f>
        <v>293</v>
      </c>
    </row>
    <row r="302" spans="1:3" ht="15">
      <c r="A302" s="82" t="s">
        <v>3501</v>
      </c>
      <c r="B302" s="107" t="s">
        <v>509</v>
      </c>
      <c r="C302" s="81">
        <f>VLOOKUP(GroupVertices[[#This Row],[Vertex]],Vertices[],MATCH("ID",Vertices[[#Headers],[Vertex]:[Top Word Pairs in Comment by Salience]],0),FALSE)</f>
        <v>292</v>
      </c>
    </row>
    <row r="303" spans="1:3" ht="15">
      <c r="A303" s="82" t="s">
        <v>3501</v>
      </c>
      <c r="B303" s="107" t="s">
        <v>508</v>
      </c>
      <c r="C303" s="81">
        <f>VLOOKUP(GroupVertices[[#This Row],[Vertex]],Vertices[],MATCH("ID",Vertices[[#Headers],[Vertex]:[Top Word Pairs in Comment by Salience]],0),FALSE)</f>
        <v>291</v>
      </c>
    </row>
    <row r="304" spans="1:3" ht="15">
      <c r="A304" s="82" t="s">
        <v>3501</v>
      </c>
      <c r="B304" s="107" t="s">
        <v>507</v>
      </c>
      <c r="C304" s="81">
        <f>VLOOKUP(GroupVertices[[#This Row],[Vertex]],Vertices[],MATCH("ID",Vertices[[#Headers],[Vertex]:[Top Word Pairs in Comment by Salience]],0),FALSE)</f>
        <v>290</v>
      </c>
    </row>
    <row r="305" spans="1:3" ht="15">
      <c r="A305" s="82" t="s">
        <v>3501</v>
      </c>
      <c r="B305" s="107" t="s">
        <v>506</v>
      </c>
      <c r="C305" s="81">
        <f>VLOOKUP(GroupVertices[[#This Row],[Vertex]],Vertices[],MATCH("ID",Vertices[[#Headers],[Vertex]:[Top Word Pairs in Comment by Salience]],0),FALSE)</f>
        <v>289</v>
      </c>
    </row>
    <row r="306" spans="1:3" ht="15">
      <c r="A306" s="82" t="s">
        <v>3501</v>
      </c>
      <c r="B306" s="107" t="s">
        <v>505</v>
      </c>
      <c r="C306" s="81">
        <f>VLOOKUP(GroupVertices[[#This Row],[Vertex]],Vertices[],MATCH("ID",Vertices[[#Headers],[Vertex]:[Top Word Pairs in Comment by Salience]],0),FALSE)</f>
        <v>288</v>
      </c>
    </row>
    <row r="307" spans="1:3" ht="15">
      <c r="A307" s="82" t="s">
        <v>3501</v>
      </c>
      <c r="B307" s="107" t="s">
        <v>504</v>
      </c>
      <c r="C307" s="81">
        <f>VLOOKUP(GroupVertices[[#This Row],[Vertex]],Vertices[],MATCH("ID",Vertices[[#Headers],[Vertex]:[Top Word Pairs in Comment by Salience]],0),FALSE)</f>
        <v>287</v>
      </c>
    </row>
    <row r="308" spans="1:3" ht="15">
      <c r="A308" s="82" t="s">
        <v>3501</v>
      </c>
      <c r="B308" s="107" t="s">
        <v>503</v>
      </c>
      <c r="C308" s="81">
        <f>VLOOKUP(GroupVertices[[#This Row],[Vertex]],Vertices[],MATCH("ID",Vertices[[#Headers],[Vertex]:[Top Word Pairs in Comment by Salience]],0),FALSE)</f>
        <v>286</v>
      </c>
    </row>
    <row r="309" spans="1:3" ht="15">
      <c r="A309" s="82" t="s">
        <v>3501</v>
      </c>
      <c r="B309" s="107" t="s">
        <v>502</v>
      </c>
      <c r="C309" s="81">
        <f>VLOOKUP(GroupVertices[[#This Row],[Vertex]],Vertices[],MATCH("ID",Vertices[[#Headers],[Vertex]:[Top Word Pairs in Comment by Salience]],0),FALSE)</f>
        <v>285</v>
      </c>
    </row>
    <row r="310" spans="1:3" ht="15">
      <c r="A310" s="82" t="s">
        <v>3501</v>
      </c>
      <c r="B310" s="107" t="s">
        <v>501</v>
      </c>
      <c r="C310" s="81">
        <f>VLOOKUP(GroupVertices[[#This Row],[Vertex]],Vertices[],MATCH("ID",Vertices[[#Headers],[Vertex]:[Top Word Pairs in Comment by Salience]],0),FALSE)</f>
        <v>284</v>
      </c>
    </row>
    <row r="311" spans="1:3" ht="15">
      <c r="A311" s="82" t="s">
        <v>3501</v>
      </c>
      <c r="B311" s="107" t="s">
        <v>500</v>
      </c>
      <c r="C311" s="81">
        <f>VLOOKUP(GroupVertices[[#This Row],[Vertex]],Vertices[],MATCH("ID",Vertices[[#Headers],[Vertex]:[Top Word Pairs in Comment by Salience]],0),FALSE)</f>
        <v>283</v>
      </c>
    </row>
    <row r="312" spans="1:3" ht="15">
      <c r="A312" s="82" t="s">
        <v>3501</v>
      </c>
      <c r="B312" s="107" t="s">
        <v>499</v>
      </c>
      <c r="C312" s="81">
        <f>VLOOKUP(GroupVertices[[#This Row],[Vertex]],Vertices[],MATCH("ID",Vertices[[#Headers],[Vertex]:[Top Word Pairs in Comment by Salience]],0),FALSE)</f>
        <v>282</v>
      </c>
    </row>
    <row r="313" spans="1:3" ht="15">
      <c r="A313" s="82" t="s">
        <v>3501</v>
      </c>
      <c r="B313" s="107" t="s">
        <v>498</v>
      </c>
      <c r="C313" s="81">
        <f>VLOOKUP(GroupVertices[[#This Row],[Vertex]],Vertices[],MATCH("ID",Vertices[[#Headers],[Vertex]:[Top Word Pairs in Comment by Salience]],0),FALSE)</f>
        <v>281</v>
      </c>
    </row>
    <row r="314" spans="1:3" ht="15">
      <c r="A314" s="82" t="s">
        <v>3501</v>
      </c>
      <c r="B314" s="107" t="s">
        <v>497</v>
      </c>
      <c r="C314" s="81">
        <f>VLOOKUP(GroupVertices[[#This Row],[Vertex]],Vertices[],MATCH("ID",Vertices[[#Headers],[Vertex]:[Top Word Pairs in Comment by Salience]],0),FALSE)</f>
        <v>280</v>
      </c>
    </row>
    <row r="315" spans="1:3" ht="15">
      <c r="A315" s="82" t="s">
        <v>3501</v>
      </c>
      <c r="B315" s="107" t="s">
        <v>496</v>
      </c>
      <c r="C315" s="81">
        <f>VLOOKUP(GroupVertices[[#This Row],[Vertex]],Vertices[],MATCH("ID",Vertices[[#Headers],[Vertex]:[Top Word Pairs in Comment by Salience]],0),FALSE)</f>
        <v>279</v>
      </c>
    </row>
    <row r="316" spans="1:3" ht="15">
      <c r="A316" s="82" t="s">
        <v>3501</v>
      </c>
      <c r="B316" s="107" t="s">
        <v>495</v>
      </c>
      <c r="C316" s="81">
        <f>VLOOKUP(GroupVertices[[#This Row],[Vertex]],Vertices[],MATCH("ID",Vertices[[#Headers],[Vertex]:[Top Word Pairs in Comment by Salience]],0),FALSE)</f>
        <v>278</v>
      </c>
    </row>
    <row r="317" spans="1:3" ht="15">
      <c r="A317" s="82" t="s">
        <v>3501</v>
      </c>
      <c r="B317" s="107" t="s">
        <v>494</v>
      </c>
      <c r="C317" s="81">
        <f>VLOOKUP(GroupVertices[[#This Row],[Vertex]],Vertices[],MATCH("ID",Vertices[[#Headers],[Vertex]:[Top Word Pairs in Comment by Salience]],0),FALSE)</f>
        <v>277</v>
      </c>
    </row>
    <row r="318" spans="1:3" ht="15">
      <c r="A318" s="82" t="s">
        <v>3501</v>
      </c>
      <c r="B318" s="107" t="s">
        <v>493</v>
      </c>
      <c r="C318" s="81">
        <f>VLOOKUP(GroupVertices[[#This Row],[Vertex]],Vertices[],MATCH("ID",Vertices[[#Headers],[Vertex]:[Top Word Pairs in Comment by Salience]],0),FALSE)</f>
        <v>276</v>
      </c>
    </row>
    <row r="319" spans="1:3" ht="15">
      <c r="A319" s="82" t="s">
        <v>3501</v>
      </c>
      <c r="B319" s="107" t="s">
        <v>492</v>
      </c>
      <c r="C319" s="81">
        <f>VLOOKUP(GroupVertices[[#This Row],[Vertex]],Vertices[],MATCH("ID",Vertices[[#Headers],[Vertex]:[Top Word Pairs in Comment by Salience]],0),FALSE)</f>
        <v>275</v>
      </c>
    </row>
    <row r="320" spans="1:3" ht="15">
      <c r="A320" s="82" t="s">
        <v>3501</v>
      </c>
      <c r="B320" s="107" t="s">
        <v>491</v>
      </c>
      <c r="C320" s="81">
        <f>VLOOKUP(GroupVertices[[#This Row],[Vertex]],Vertices[],MATCH("ID",Vertices[[#Headers],[Vertex]:[Top Word Pairs in Comment by Salience]],0),FALSE)</f>
        <v>274</v>
      </c>
    </row>
    <row r="321" spans="1:3" ht="15">
      <c r="A321" s="82" t="s">
        <v>3501</v>
      </c>
      <c r="B321" s="107" t="s">
        <v>490</v>
      </c>
      <c r="C321" s="81">
        <f>VLOOKUP(GroupVertices[[#This Row],[Vertex]],Vertices[],MATCH("ID",Vertices[[#Headers],[Vertex]:[Top Word Pairs in Comment by Salience]],0),FALSE)</f>
        <v>273</v>
      </c>
    </row>
    <row r="322" spans="1:3" ht="15">
      <c r="A322" s="82" t="s">
        <v>3501</v>
      </c>
      <c r="B322" s="107" t="s">
        <v>489</v>
      </c>
      <c r="C322" s="81">
        <f>VLOOKUP(GroupVertices[[#This Row],[Vertex]],Vertices[],MATCH("ID",Vertices[[#Headers],[Vertex]:[Top Word Pairs in Comment by Salience]],0),FALSE)</f>
        <v>272</v>
      </c>
    </row>
    <row r="323" spans="1:3" ht="15">
      <c r="A323" s="82" t="s">
        <v>3501</v>
      </c>
      <c r="B323" s="107" t="s">
        <v>488</v>
      </c>
      <c r="C323" s="81">
        <f>VLOOKUP(GroupVertices[[#This Row],[Vertex]],Vertices[],MATCH("ID",Vertices[[#Headers],[Vertex]:[Top Word Pairs in Comment by Salience]],0),FALSE)</f>
        <v>271</v>
      </c>
    </row>
    <row r="324" spans="1:3" ht="15">
      <c r="A324" s="82" t="s">
        <v>3501</v>
      </c>
      <c r="B324" s="107" t="s">
        <v>487</v>
      </c>
      <c r="C324" s="81">
        <f>VLOOKUP(GroupVertices[[#This Row],[Vertex]],Vertices[],MATCH("ID",Vertices[[#Headers],[Vertex]:[Top Word Pairs in Comment by Salience]],0),FALSE)</f>
        <v>270</v>
      </c>
    </row>
    <row r="325" spans="1:3" ht="15">
      <c r="A325" s="82" t="s">
        <v>3501</v>
      </c>
      <c r="B325" s="107" t="s">
        <v>486</v>
      </c>
      <c r="C325" s="81">
        <f>VLOOKUP(GroupVertices[[#This Row],[Vertex]],Vertices[],MATCH("ID",Vertices[[#Headers],[Vertex]:[Top Word Pairs in Comment by Salience]],0),FALSE)</f>
        <v>269</v>
      </c>
    </row>
    <row r="326" spans="1:3" ht="15">
      <c r="A326" s="82" t="s">
        <v>3501</v>
      </c>
      <c r="B326" s="107" t="s">
        <v>485</v>
      </c>
      <c r="C326" s="81">
        <f>VLOOKUP(GroupVertices[[#This Row],[Vertex]],Vertices[],MATCH("ID",Vertices[[#Headers],[Vertex]:[Top Word Pairs in Comment by Salience]],0),FALSE)</f>
        <v>268</v>
      </c>
    </row>
    <row r="327" spans="1:3" ht="15">
      <c r="A327" s="82" t="s">
        <v>3501</v>
      </c>
      <c r="B327" s="107" t="s">
        <v>484</v>
      </c>
      <c r="C327" s="81">
        <f>VLOOKUP(GroupVertices[[#This Row],[Vertex]],Vertices[],MATCH("ID",Vertices[[#Headers],[Vertex]:[Top Word Pairs in Comment by Salience]],0),FALSE)</f>
        <v>267</v>
      </c>
    </row>
    <row r="328" spans="1:3" ht="15">
      <c r="A328" s="82" t="s">
        <v>3501</v>
      </c>
      <c r="B328" s="107" t="s">
        <v>483</v>
      </c>
      <c r="C328" s="81">
        <f>VLOOKUP(GroupVertices[[#This Row],[Vertex]],Vertices[],MATCH("ID",Vertices[[#Headers],[Vertex]:[Top Word Pairs in Comment by Salience]],0),FALSE)</f>
        <v>266</v>
      </c>
    </row>
    <row r="329" spans="1:3" ht="15">
      <c r="A329" s="82" t="s">
        <v>3501</v>
      </c>
      <c r="B329" s="107" t="s">
        <v>482</v>
      </c>
      <c r="C329" s="81">
        <f>VLOOKUP(GroupVertices[[#This Row],[Vertex]],Vertices[],MATCH("ID",Vertices[[#Headers],[Vertex]:[Top Word Pairs in Comment by Salience]],0),FALSE)</f>
        <v>265</v>
      </c>
    </row>
    <row r="330" spans="1:3" ht="15">
      <c r="A330" s="82" t="s">
        <v>3501</v>
      </c>
      <c r="B330" s="107" t="s">
        <v>481</v>
      </c>
      <c r="C330" s="81">
        <f>VLOOKUP(GroupVertices[[#This Row],[Vertex]],Vertices[],MATCH("ID",Vertices[[#Headers],[Vertex]:[Top Word Pairs in Comment by Salience]],0),FALSE)</f>
        <v>264</v>
      </c>
    </row>
    <row r="331" spans="1:3" ht="15">
      <c r="A331" s="82" t="s">
        <v>3501</v>
      </c>
      <c r="B331" s="107" t="s">
        <v>480</v>
      </c>
      <c r="C331" s="81">
        <f>VLOOKUP(GroupVertices[[#This Row],[Vertex]],Vertices[],MATCH("ID",Vertices[[#Headers],[Vertex]:[Top Word Pairs in Comment by Salience]],0),FALSE)</f>
        <v>263</v>
      </c>
    </row>
    <row r="332" spans="1:3" ht="15">
      <c r="A332" s="82" t="s">
        <v>3501</v>
      </c>
      <c r="B332" s="107" t="s">
        <v>479</v>
      </c>
      <c r="C332" s="81">
        <f>VLOOKUP(GroupVertices[[#This Row],[Vertex]],Vertices[],MATCH("ID",Vertices[[#Headers],[Vertex]:[Top Word Pairs in Comment by Salience]],0),FALSE)</f>
        <v>262</v>
      </c>
    </row>
    <row r="333" spans="1:3" ht="15">
      <c r="A333" s="82" t="s">
        <v>3501</v>
      </c>
      <c r="B333" s="107" t="s">
        <v>478</v>
      </c>
      <c r="C333" s="81">
        <f>VLOOKUP(GroupVertices[[#This Row],[Vertex]],Vertices[],MATCH("ID",Vertices[[#Headers],[Vertex]:[Top Word Pairs in Comment by Salience]],0),FALSE)</f>
        <v>261</v>
      </c>
    </row>
    <row r="334" spans="1:3" ht="15">
      <c r="A334" s="82" t="s">
        <v>3501</v>
      </c>
      <c r="B334" s="107" t="s">
        <v>477</v>
      </c>
      <c r="C334" s="81">
        <f>VLOOKUP(GroupVertices[[#This Row],[Vertex]],Vertices[],MATCH("ID",Vertices[[#Headers],[Vertex]:[Top Word Pairs in Comment by Salience]],0),FALSE)</f>
        <v>260</v>
      </c>
    </row>
    <row r="335" spans="1:3" ht="15">
      <c r="A335" s="82" t="s">
        <v>3501</v>
      </c>
      <c r="B335" s="107" t="s">
        <v>476</v>
      </c>
      <c r="C335" s="81">
        <f>VLOOKUP(GroupVertices[[#This Row],[Vertex]],Vertices[],MATCH("ID",Vertices[[#Headers],[Vertex]:[Top Word Pairs in Comment by Salience]],0),FALSE)</f>
        <v>259</v>
      </c>
    </row>
    <row r="336" spans="1:3" ht="15">
      <c r="A336" s="82" t="s">
        <v>3501</v>
      </c>
      <c r="B336" s="107" t="s">
        <v>475</v>
      </c>
      <c r="C336" s="81">
        <f>VLOOKUP(GroupVertices[[#This Row],[Vertex]],Vertices[],MATCH("ID",Vertices[[#Headers],[Vertex]:[Top Word Pairs in Comment by Salience]],0),FALSE)</f>
        <v>258</v>
      </c>
    </row>
    <row r="337" spans="1:3" ht="15">
      <c r="A337" s="82" t="s">
        <v>3501</v>
      </c>
      <c r="B337" s="107" t="s">
        <v>474</v>
      </c>
      <c r="C337" s="81">
        <f>VLOOKUP(GroupVertices[[#This Row],[Vertex]],Vertices[],MATCH("ID",Vertices[[#Headers],[Vertex]:[Top Word Pairs in Comment by Salience]],0),FALSE)</f>
        <v>257</v>
      </c>
    </row>
    <row r="338" spans="1:3" ht="15">
      <c r="A338" s="82" t="s">
        <v>3501</v>
      </c>
      <c r="B338" s="107" t="s">
        <v>473</v>
      </c>
      <c r="C338" s="81">
        <f>VLOOKUP(GroupVertices[[#This Row],[Vertex]],Vertices[],MATCH("ID",Vertices[[#Headers],[Vertex]:[Top Word Pairs in Comment by Salience]],0),FALSE)</f>
        <v>256</v>
      </c>
    </row>
    <row r="339" spans="1:3" ht="15">
      <c r="A339" s="82" t="s">
        <v>3501</v>
      </c>
      <c r="B339" s="107" t="s">
        <v>472</v>
      </c>
      <c r="C339" s="81">
        <f>VLOOKUP(GroupVertices[[#This Row],[Vertex]],Vertices[],MATCH("ID",Vertices[[#Headers],[Vertex]:[Top Word Pairs in Comment by Salience]],0),FALSE)</f>
        <v>255</v>
      </c>
    </row>
    <row r="340" spans="1:3" ht="15">
      <c r="A340" s="82" t="s">
        <v>3501</v>
      </c>
      <c r="B340" s="107" t="s">
        <v>471</v>
      </c>
      <c r="C340" s="81">
        <f>VLOOKUP(GroupVertices[[#This Row],[Vertex]],Vertices[],MATCH("ID",Vertices[[#Headers],[Vertex]:[Top Word Pairs in Comment by Salience]],0),FALSE)</f>
        <v>254</v>
      </c>
    </row>
    <row r="341" spans="1:3" ht="15">
      <c r="A341" s="82" t="s">
        <v>3501</v>
      </c>
      <c r="B341" s="107" t="s">
        <v>470</v>
      </c>
      <c r="C341" s="81">
        <f>VLOOKUP(GroupVertices[[#This Row],[Vertex]],Vertices[],MATCH("ID",Vertices[[#Headers],[Vertex]:[Top Word Pairs in Comment by Salience]],0),FALSE)</f>
        <v>253</v>
      </c>
    </row>
    <row r="342" spans="1:3" ht="15">
      <c r="A342" s="82" t="s">
        <v>3501</v>
      </c>
      <c r="B342" s="107" t="s">
        <v>469</v>
      </c>
      <c r="C342" s="81">
        <f>VLOOKUP(GroupVertices[[#This Row],[Vertex]],Vertices[],MATCH("ID",Vertices[[#Headers],[Vertex]:[Top Word Pairs in Comment by Salience]],0),FALSE)</f>
        <v>252</v>
      </c>
    </row>
    <row r="343" spans="1:3" ht="15">
      <c r="A343" s="82" t="s">
        <v>3501</v>
      </c>
      <c r="B343" s="107" t="s">
        <v>468</v>
      </c>
      <c r="C343" s="81">
        <f>VLOOKUP(GroupVertices[[#This Row],[Vertex]],Vertices[],MATCH("ID",Vertices[[#Headers],[Vertex]:[Top Word Pairs in Comment by Salience]],0),FALSE)</f>
        <v>251</v>
      </c>
    </row>
    <row r="344" spans="1:3" ht="15">
      <c r="A344" s="82" t="s">
        <v>3501</v>
      </c>
      <c r="B344" s="107" t="s">
        <v>467</v>
      </c>
      <c r="C344" s="81">
        <f>VLOOKUP(GroupVertices[[#This Row],[Vertex]],Vertices[],MATCH("ID",Vertices[[#Headers],[Vertex]:[Top Word Pairs in Comment by Salience]],0),FALSE)</f>
        <v>250</v>
      </c>
    </row>
    <row r="345" spans="1:3" ht="15">
      <c r="A345" s="82" t="s">
        <v>3501</v>
      </c>
      <c r="B345" s="107" t="s">
        <v>466</v>
      </c>
      <c r="C345" s="81">
        <f>VLOOKUP(GroupVertices[[#This Row],[Vertex]],Vertices[],MATCH("ID",Vertices[[#Headers],[Vertex]:[Top Word Pairs in Comment by Salience]],0),FALSE)</f>
        <v>249</v>
      </c>
    </row>
    <row r="346" spans="1:3" ht="15">
      <c r="A346" s="82" t="s">
        <v>3501</v>
      </c>
      <c r="B346" s="107" t="s">
        <v>465</v>
      </c>
      <c r="C346" s="81">
        <f>VLOOKUP(GroupVertices[[#This Row],[Vertex]],Vertices[],MATCH("ID",Vertices[[#Headers],[Vertex]:[Top Word Pairs in Comment by Salience]],0),FALSE)</f>
        <v>248</v>
      </c>
    </row>
    <row r="347" spans="1:3" ht="15">
      <c r="A347" s="82" t="s">
        <v>3501</v>
      </c>
      <c r="B347" s="107" t="s">
        <v>464</v>
      </c>
      <c r="C347" s="81">
        <f>VLOOKUP(GroupVertices[[#This Row],[Vertex]],Vertices[],MATCH("ID",Vertices[[#Headers],[Vertex]:[Top Word Pairs in Comment by Salience]],0),FALSE)</f>
        <v>246</v>
      </c>
    </row>
    <row r="348" spans="1:3" ht="15">
      <c r="A348" s="82" t="s">
        <v>3502</v>
      </c>
      <c r="B348" s="107" t="s">
        <v>293</v>
      </c>
      <c r="C348" s="81">
        <f>VLOOKUP(GroupVertices[[#This Row],[Vertex]],Vertices[],MATCH("ID",Vertices[[#Headers],[Vertex]:[Top Word Pairs in Comment by Salience]],0),FALSE)</f>
        <v>74</v>
      </c>
    </row>
    <row r="349" spans="1:3" ht="15">
      <c r="A349" s="82" t="s">
        <v>3502</v>
      </c>
      <c r="B349" s="107" t="s">
        <v>292</v>
      </c>
      <c r="C349" s="81">
        <f>VLOOKUP(GroupVertices[[#This Row],[Vertex]],Vertices[],MATCH("ID",Vertices[[#Headers],[Vertex]:[Top Word Pairs in Comment by Salience]],0),FALSE)</f>
        <v>10</v>
      </c>
    </row>
    <row r="350" spans="1:3" ht="15">
      <c r="A350" s="82" t="s">
        <v>3502</v>
      </c>
      <c r="B350" s="107" t="s">
        <v>291</v>
      </c>
      <c r="C350" s="81">
        <f>VLOOKUP(GroupVertices[[#This Row],[Vertex]],Vertices[],MATCH("ID",Vertices[[#Headers],[Vertex]:[Top Word Pairs in Comment by Salience]],0),FALSE)</f>
        <v>73</v>
      </c>
    </row>
    <row r="351" spans="1:3" ht="15">
      <c r="A351" s="82" t="s">
        <v>3502</v>
      </c>
      <c r="B351" s="107" t="s">
        <v>290</v>
      </c>
      <c r="C351" s="81">
        <f>VLOOKUP(GroupVertices[[#This Row],[Vertex]],Vertices[],MATCH("ID",Vertices[[#Headers],[Vertex]:[Top Word Pairs in Comment by Salience]],0),FALSE)</f>
        <v>72</v>
      </c>
    </row>
    <row r="352" spans="1:3" ht="15">
      <c r="A352" s="82" t="s">
        <v>3502</v>
      </c>
      <c r="B352" s="107" t="s">
        <v>289</v>
      </c>
      <c r="C352" s="81">
        <f>VLOOKUP(GroupVertices[[#This Row],[Vertex]],Vertices[],MATCH("ID",Vertices[[#Headers],[Vertex]:[Top Word Pairs in Comment by Salience]],0),FALSE)</f>
        <v>71</v>
      </c>
    </row>
    <row r="353" spans="1:3" ht="15">
      <c r="A353" s="82" t="s">
        <v>3502</v>
      </c>
      <c r="B353" s="107" t="s">
        <v>288</v>
      </c>
      <c r="C353" s="81">
        <f>VLOOKUP(GroupVertices[[#This Row],[Vertex]],Vertices[],MATCH("ID",Vertices[[#Headers],[Vertex]:[Top Word Pairs in Comment by Salience]],0),FALSE)</f>
        <v>70</v>
      </c>
    </row>
    <row r="354" spans="1:3" ht="15">
      <c r="A354" s="82" t="s">
        <v>3502</v>
      </c>
      <c r="B354" s="107" t="s">
        <v>287</v>
      </c>
      <c r="C354" s="81">
        <f>VLOOKUP(GroupVertices[[#This Row],[Vertex]],Vertices[],MATCH("ID",Vertices[[#Headers],[Vertex]:[Top Word Pairs in Comment by Salience]],0),FALSE)</f>
        <v>69</v>
      </c>
    </row>
    <row r="355" spans="1:3" ht="15">
      <c r="A355" s="82" t="s">
        <v>3502</v>
      </c>
      <c r="B355" s="107" t="s">
        <v>286</v>
      </c>
      <c r="C355" s="81">
        <f>VLOOKUP(GroupVertices[[#This Row],[Vertex]],Vertices[],MATCH("ID",Vertices[[#Headers],[Vertex]:[Top Word Pairs in Comment by Salience]],0),FALSE)</f>
        <v>68</v>
      </c>
    </row>
    <row r="356" spans="1:3" ht="15">
      <c r="A356" s="82" t="s">
        <v>3502</v>
      </c>
      <c r="B356" s="107" t="s">
        <v>285</v>
      </c>
      <c r="C356" s="81">
        <f>VLOOKUP(GroupVertices[[#This Row],[Vertex]],Vertices[],MATCH("ID",Vertices[[#Headers],[Vertex]:[Top Word Pairs in Comment by Salience]],0),FALSE)</f>
        <v>67</v>
      </c>
    </row>
    <row r="357" spans="1:3" ht="15">
      <c r="A357" s="82" t="s">
        <v>3502</v>
      </c>
      <c r="B357" s="107" t="s">
        <v>284</v>
      </c>
      <c r="C357" s="81">
        <f>VLOOKUP(GroupVertices[[#This Row],[Vertex]],Vertices[],MATCH("ID",Vertices[[#Headers],[Vertex]:[Top Word Pairs in Comment by Salience]],0),FALSE)</f>
        <v>66</v>
      </c>
    </row>
    <row r="358" spans="1:3" ht="15">
      <c r="A358" s="82" t="s">
        <v>3502</v>
      </c>
      <c r="B358" s="107" t="s">
        <v>283</v>
      </c>
      <c r="C358" s="81">
        <f>VLOOKUP(GroupVertices[[#This Row],[Vertex]],Vertices[],MATCH("ID",Vertices[[#Headers],[Vertex]:[Top Word Pairs in Comment by Salience]],0),FALSE)</f>
        <v>65</v>
      </c>
    </row>
    <row r="359" spans="1:3" ht="15">
      <c r="A359" s="82" t="s">
        <v>3502</v>
      </c>
      <c r="B359" s="107" t="s">
        <v>282</v>
      </c>
      <c r="C359" s="81">
        <f>VLOOKUP(GroupVertices[[#This Row],[Vertex]],Vertices[],MATCH("ID",Vertices[[#Headers],[Vertex]:[Top Word Pairs in Comment by Salience]],0),FALSE)</f>
        <v>64</v>
      </c>
    </row>
    <row r="360" spans="1:3" ht="15">
      <c r="A360" s="82" t="s">
        <v>3502</v>
      </c>
      <c r="B360" s="107" t="s">
        <v>281</v>
      </c>
      <c r="C360" s="81">
        <f>VLOOKUP(GroupVertices[[#This Row],[Vertex]],Vertices[],MATCH("ID",Vertices[[#Headers],[Vertex]:[Top Word Pairs in Comment by Salience]],0),FALSE)</f>
        <v>63</v>
      </c>
    </row>
    <row r="361" spans="1:3" ht="15">
      <c r="A361" s="82" t="s">
        <v>3502</v>
      </c>
      <c r="B361" s="107" t="s">
        <v>280</v>
      </c>
      <c r="C361" s="81">
        <f>VLOOKUP(GroupVertices[[#This Row],[Vertex]],Vertices[],MATCH("ID",Vertices[[#Headers],[Vertex]:[Top Word Pairs in Comment by Salience]],0),FALSE)</f>
        <v>62</v>
      </c>
    </row>
    <row r="362" spans="1:3" ht="15">
      <c r="A362" s="82" t="s">
        <v>3502</v>
      </c>
      <c r="B362" s="107" t="s">
        <v>279</v>
      </c>
      <c r="C362" s="81">
        <f>VLOOKUP(GroupVertices[[#This Row],[Vertex]],Vertices[],MATCH("ID",Vertices[[#Headers],[Vertex]:[Top Word Pairs in Comment by Salience]],0),FALSE)</f>
        <v>61</v>
      </c>
    </row>
    <row r="363" spans="1:3" ht="15">
      <c r="A363" s="82" t="s">
        <v>3502</v>
      </c>
      <c r="B363" s="107" t="s">
        <v>278</v>
      </c>
      <c r="C363" s="81">
        <f>VLOOKUP(GroupVertices[[#This Row],[Vertex]],Vertices[],MATCH("ID",Vertices[[#Headers],[Vertex]:[Top Word Pairs in Comment by Salience]],0),FALSE)</f>
        <v>60</v>
      </c>
    </row>
    <row r="364" spans="1:3" ht="15">
      <c r="A364" s="82" t="s">
        <v>3502</v>
      </c>
      <c r="B364" s="107" t="s">
        <v>277</v>
      </c>
      <c r="C364" s="81">
        <f>VLOOKUP(GroupVertices[[#This Row],[Vertex]],Vertices[],MATCH("ID",Vertices[[#Headers],[Vertex]:[Top Word Pairs in Comment by Salience]],0),FALSE)</f>
        <v>59</v>
      </c>
    </row>
    <row r="365" spans="1:3" ht="15">
      <c r="A365" s="82" t="s">
        <v>3502</v>
      </c>
      <c r="B365" s="107" t="s">
        <v>276</v>
      </c>
      <c r="C365" s="81">
        <f>VLOOKUP(GroupVertices[[#This Row],[Vertex]],Vertices[],MATCH("ID",Vertices[[#Headers],[Vertex]:[Top Word Pairs in Comment by Salience]],0),FALSE)</f>
        <v>58</v>
      </c>
    </row>
    <row r="366" spans="1:3" ht="15">
      <c r="A366" s="82" t="s">
        <v>3502</v>
      </c>
      <c r="B366" s="107" t="s">
        <v>275</v>
      </c>
      <c r="C366" s="81">
        <f>VLOOKUP(GroupVertices[[#This Row],[Vertex]],Vertices[],MATCH("ID",Vertices[[#Headers],[Vertex]:[Top Word Pairs in Comment by Salience]],0),FALSE)</f>
        <v>57</v>
      </c>
    </row>
    <row r="367" spans="1:3" ht="15">
      <c r="A367" s="82" t="s">
        <v>3502</v>
      </c>
      <c r="B367" s="107" t="s">
        <v>274</v>
      </c>
      <c r="C367" s="81">
        <f>VLOOKUP(GroupVertices[[#This Row],[Vertex]],Vertices[],MATCH("ID",Vertices[[#Headers],[Vertex]:[Top Word Pairs in Comment by Salience]],0),FALSE)</f>
        <v>56</v>
      </c>
    </row>
    <row r="368" spans="1:3" ht="15">
      <c r="A368" s="82" t="s">
        <v>3502</v>
      </c>
      <c r="B368" s="107" t="s">
        <v>273</v>
      </c>
      <c r="C368" s="81">
        <f>VLOOKUP(GroupVertices[[#This Row],[Vertex]],Vertices[],MATCH("ID",Vertices[[#Headers],[Vertex]:[Top Word Pairs in Comment by Salience]],0),FALSE)</f>
        <v>55</v>
      </c>
    </row>
    <row r="369" spans="1:3" ht="15">
      <c r="A369" s="82" t="s">
        <v>3502</v>
      </c>
      <c r="B369" s="107" t="s">
        <v>272</v>
      </c>
      <c r="C369" s="81">
        <f>VLOOKUP(GroupVertices[[#This Row],[Vertex]],Vertices[],MATCH("ID",Vertices[[#Headers],[Vertex]:[Top Word Pairs in Comment by Salience]],0),FALSE)</f>
        <v>54</v>
      </c>
    </row>
    <row r="370" spans="1:3" ht="15">
      <c r="A370" s="82" t="s">
        <v>3502</v>
      </c>
      <c r="B370" s="107" t="s">
        <v>271</v>
      </c>
      <c r="C370" s="81">
        <f>VLOOKUP(GroupVertices[[#This Row],[Vertex]],Vertices[],MATCH("ID",Vertices[[#Headers],[Vertex]:[Top Word Pairs in Comment by Salience]],0),FALSE)</f>
        <v>53</v>
      </c>
    </row>
    <row r="371" spans="1:3" ht="15">
      <c r="A371" s="82" t="s">
        <v>3502</v>
      </c>
      <c r="B371" s="107" t="s">
        <v>270</v>
      </c>
      <c r="C371" s="81">
        <f>VLOOKUP(GroupVertices[[#This Row],[Vertex]],Vertices[],MATCH("ID",Vertices[[#Headers],[Vertex]:[Top Word Pairs in Comment by Salience]],0),FALSE)</f>
        <v>52</v>
      </c>
    </row>
    <row r="372" spans="1:3" ht="15">
      <c r="A372" s="82" t="s">
        <v>3502</v>
      </c>
      <c r="B372" s="107" t="s">
        <v>269</v>
      </c>
      <c r="C372" s="81">
        <f>VLOOKUP(GroupVertices[[#This Row],[Vertex]],Vertices[],MATCH("ID",Vertices[[#Headers],[Vertex]:[Top Word Pairs in Comment by Salience]],0),FALSE)</f>
        <v>51</v>
      </c>
    </row>
    <row r="373" spans="1:3" ht="15">
      <c r="A373" s="82" t="s">
        <v>3502</v>
      </c>
      <c r="B373" s="107" t="s">
        <v>268</v>
      </c>
      <c r="C373" s="81">
        <f>VLOOKUP(GroupVertices[[#This Row],[Vertex]],Vertices[],MATCH("ID",Vertices[[#Headers],[Vertex]:[Top Word Pairs in Comment by Salience]],0),FALSE)</f>
        <v>50</v>
      </c>
    </row>
    <row r="374" spans="1:3" ht="15">
      <c r="A374" s="82" t="s">
        <v>3502</v>
      </c>
      <c r="B374" s="107" t="s">
        <v>267</v>
      </c>
      <c r="C374" s="81">
        <f>VLOOKUP(GroupVertices[[#This Row],[Vertex]],Vertices[],MATCH("ID",Vertices[[#Headers],[Vertex]:[Top Word Pairs in Comment by Salience]],0),FALSE)</f>
        <v>49</v>
      </c>
    </row>
    <row r="375" spans="1:3" ht="15">
      <c r="A375" s="82" t="s">
        <v>3502</v>
      </c>
      <c r="B375" s="107" t="s">
        <v>266</v>
      </c>
      <c r="C375" s="81">
        <f>VLOOKUP(GroupVertices[[#This Row],[Vertex]],Vertices[],MATCH("ID",Vertices[[#Headers],[Vertex]:[Top Word Pairs in Comment by Salience]],0),FALSE)</f>
        <v>48</v>
      </c>
    </row>
    <row r="376" spans="1:3" ht="15">
      <c r="A376" s="82" t="s">
        <v>3502</v>
      </c>
      <c r="B376" s="107" t="s">
        <v>265</v>
      </c>
      <c r="C376" s="81">
        <f>VLOOKUP(GroupVertices[[#This Row],[Vertex]],Vertices[],MATCH("ID",Vertices[[#Headers],[Vertex]:[Top Word Pairs in Comment by Salience]],0),FALSE)</f>
        <v>47</v>
      </c>
    </row>
    <row r="377" spans="1:3" ht="15">
      <c r="A377" s="82" t="s">
        <v>3502</v>
      </c>
      <c r="B377" s="107" t="s">
        <v>264</v>
      </c>
      <c r="C377" s="81">
        <f>VLOOKUP(GroupVertices[[#This Row],[Vertex]],Vertices[],MATCH("ID",Vertices[[#Headers],[Vertex]:[Top Word Pairs in Comment by Salience]],0),FALSE)</f>
        <v>46</v>
      </c>
    </row>
    <row r="378" spans="1:3" ht="15">
      <c r="A378" s="82" t="s">
        <v>3502</v>
      </c>
      <c r="B378" s="107" t="s">
        <v>263</v>
      </c>
      <c r="C378" s="81">
        <f>VLOOKUP(GroupVertices[[#This Row],[Vertex]],Vertices[],MATCH("ID",Vertices[[#Headers],[Vertex]:[Top Word Pairs in Comment by Salience]],0),FALSE)</f>
        <v>45</v>
      </c>
    </row>
    <row r="379" spans="1:3" ht="15">
      <c r="A379" s="82" t="s">
        <v>3502</v>
      </c>
      <c r="B379" s="107" t="s">
        <v>262</v>
      </c>
      <c r="C379" s="81">
        <f>VLOOKUP(GroupVertices[[#This Row],[Vertex]],Vertices[],MATCH("ID",Vertices[[#Headers],[Vertex]:[Top Word Pairs in Comment by Salience]],0),FALSE)</f>
        <v>44</v>
      </c>
    </row>
    <row r="380" spans="1:3" ht="15">
      <c r="A380" s="82" t="s">
        <v>3502</v>
      </c>
      <c r="B380" s="107" t="s">
        <v>261</v>
      </c>
      <c r="C380" s="81">
        <f>VLOOKUP(GroupVertices[[#This Row],[Vertex]],Vertices[],MATCH("ID",Vertices[[#Headers],[Vertex]:[Top Word Pairs in Comment by Salience]],0),FALSE)</f>
        <v>43</v>
      </c>
    </row>
    <row r="381" spans="1:3" ht="15">
      <c r="A381" s="82" t="s">
        <v>3502</v>
      </c>
      <c r="B381" s="107" t="s">
        <v>260</v>
      </c>
      <c r="C381" s="81">
        <f>VLOOKUP(GroupVertices[[#This Row],[Vertex]],Vertices[],MATCH("ID",Vertices[[#Headers],[Vertex]:[Top Word Pairs in Comment by Salience]],0),FALSE)</f>
        <v>42</v>
      </c>
    </row>
    <row r="382" spans="1:3" ht="15">
      <c r="A382" s="82" t="s">
        <v>3502</v>
      </c>
      <c r="B382" s="107" t="s">
        <v>259</v>
      </c>
      <c r="C382" s="81">
        <f>VLOOKUP(GroupVertices[[#This Row],[Vertex]],Vertices[],MATCH("ID",Vertices[[#Headers],[Vertex]:[Top Word Pairs in Comment by Salience]],0),FALSE)</f>
        <v>41</v>
      </c>
    </row>
    <row r="383" spans="1:3" ht="15">
      <c r="A383" s="82" t="s">
        <v>3502</v>
      </c>
      <c r="B383" s="107" t="s">
        <v>258</v>
      </c>
      <c r="C383" s="81">
        <f>VLOOKUP(GroupVertices[[#This Row],[Vertex]],Vertices[],MATCH("ID",Vertices[[#Headers],[Vertex]:[Top Word Pairs in Comment by Salience]],0),FALSE)</f>
        <v>40</v>
      </c>
    </row>
    <row r="384" spans="1:3" ht="15">
      <c r="A384" s="82" t="s">
        <v>3502</v>
      </c>
      <c r="B384" s="107" t="s">
        <v>257</v>
      </c>
      <c r="C384" s="81">
        <f>VLOOKUP(GroupVertices[[#This Row],[Vertex]],Vertices[],MATCH("ID",Vertices[[#Headers],[Vertex]:[Top Word Pairs in Comment by Salience]],0),FALSE)</f>
        <v>39</v>
      </c>
    </row>
    <row r="385" spans="1:3" ht="15">
      <c r="A385" s="82" t="s">
        <v>3502</v>
      </c>
      <c r="B385" s="107" t="s">
        <v>256</v>
      </c>
      <c r="C385" s="81">
        <f>VLOOKUP(GroupVertices[[#This Row],[Vertex]],Vertices[],MATCH("ID",Vertices[[#Headers],[Vertex]:[Top Word Pairs in Comment by Salience]],0),FALSE)</f>
        <v>38</v>
      </c>
    </row>
    <row r="386" spans="1:3" ht="15">
      <c r="A386" s="82" t="s">
        <v>3502</v>
      </c>
      <c r="B386" s="107" t="s">
        <v>255</v>
      </c>
      <c r="C386" s="81">
        <f>VLOOKUP(GroupVertices[[#This Row],[Vertex]],Vertices[],MATCH("ID",Vertices[[#Headers],[Vertex]:[Top Word Pairs in Comment by Salience]],0),FALSE)</f>
        <v>37</v>
      </c>
    </row>
    <row r="387" spans="1:3" ht="15">
      <c r="A387" s="82" t="s">
        <v>3502</v>
      </c>
      <c r="B387" s="107" t="s">
        <v>254</v>
      </c>
      <c r="C387" s="81">
        <f>VLOOKUP(GroupVertices[[#This Row],[Vertex]],Vertices[],MATCH("ID",Vertices[[#Headers],[Vertex]:[Top Word Pairs in Comment by Salience]],0),FALSE)</f>
        <v>36</v>
      </c>
    </row>
    <row r="388" spans="1:3" ht="15">
      <c r="A388" s="82" t="s">
        <v>3502</v>
      </c>
      <c r="B388" s="107" t="s">
        <v>253</v>
      </c>
      <c r="C388" s="81">
        <f>VLOOKUP(GroupVertices[[#This Row],[Vertex]],Vertices[],MATCH("ID",Vertices[[#Headers],[Vertex]:[Top Word Pairs in Comment by Salience]],0),FALSE)</f>
        <v>35</v>
      </c>
    </row>
    <row r="389" spans="1:3" ht="15">
      <c r="A389" s="82" t="s">
        <v>3502</v>
      </c>
      <c r="B389" s="107" t="s">
        <v>252</v>
      </c>
      <c r="C389" s="81">
        <f>VLOOKUP(GroupVertices[[#This Row],[Vertex]],Vertices[],MATCH("ID",Vertices[[#Headers],[Vertex]:[Top Word Pairs in Comment by Salience]],0),FALSE)</f>
        <v>34</v>
      </c>
    </row>
    <row r="390" spans="1:3" ht="15">
      <c r="A390" s="82" t="s">
        <v>3502</v>
      </c>
      <c r="B390" s="107" t="s">
        <v>251</v>
      </c>
      <c r="C390" s="81">
        <f>VLOOKUP(GroupVertices[[#This Row],[Vertex]],Vertices[],MATCH("ID",Vertices[[#Headers],[Vertex]:[Top Word Pairs in Comment by Salience]],0),FALSE)</f>
        <v>33</v>
      </c>
    </row>
    <row r="391" spans="1:3" ht="15">
      <c r="A391" s="82" t="s">
        <v>3502</v>
      </c>
      <c r="B391" s="107" t="s">
        <v>250</v>
      </c>
      <c r="C391" s="81">
        <f>VLOOKUP(GroupVertices[[#This Row],[Vertex]],Vertices[],MATCH("ID",Vertices[[#Headers],[Vertex]:[Top Word Pairs in Comment by Salience]],0),FALSE)</f>
        <v>32</v>
      </c>
    </row>
    <row r="392" spans="1:3" ht="15">
      <c r="A392" s="82" t="s">
        <v>3502</v>
      </c>
      <c r="B392" s="107" t="s">
        <v>249</v>
      </c>
      <c r="C392" s="81">
        <f>VLOOKUP(GroupVertices[[#This Row],[Vertex]],Vertices[],MATCH("ID",Vertices[[#Headers],[Vertex]:[Top Word Pairs in Comment by Salience]],0),FALSE)</f>
        <v>31</v>
      </c>
    </row>
    <row r="393" spans="1:3" ht="15">
      <c r="A393" s="82" t="s">
        <v>3502</v>
      </c>
      <c r="B393" s="107" t="s">
        <v>248</v>
      </c>
      <c r="C393" s="81">
        <f>VLOOKUP(GroupVertices[[#This Row],[Vertex]],Vertices[],MATCH("ID",Vertices[[#Headers],[Vertex]:[Top Word Pairs in Comment by Salience]],0),FALSE)</f>
        <v>30</v>
      </c>
    </row>
    <row r="394" spans="1:3" ht="15">
      <c r="A394" s="82" t="s">
        <v>3502</v>
      </c>
      <c r="B394" s="107" t="s">
        <v>247</v>
      </c>
      <c r="C394" s="81">
        <f>VLOOKUP(GroupVertices[[#This Row],[Vertex]],Vertices[],MATCH("ID",Vertices[[#Headers],[Vertex]:[Top Word Pairs in Comment by Salience]],0),FALSE)</f>
        <v>29</v>
      </c>
    </row>
    <row r="395" spans="1:3" ht="15">
      <c r="A395" s="82" t="s">
        <v>3502</v>
      </c>
      <c r="B395" s="107" t="s">
        <v>246</v>
      </c>
      <c r="C395" s="81">
        <f>VLOOKUP(GroupVertices[[#This Row],[Vertex]],Vertices[],MATCH("ID",Vertices[[#Headers],[Vertex]:[Top Word Pairs in Comment by Salience]],0),FALSE)</f>
        <v>28</v>
      </c>
    </row>
    <row r="396" spans="1:3" ht="15">
      <c r="A396" s="82" t="s">
        <v>3502</v>
      </c>
      <c r="B396" s="107" t="s">
        <v>245</v>
      </c>
      <c r="C396" s="81">
        <f>VLOOKUP(GroupVertices[[#This Row],[Vertex]],Vertices[],MATCH("ID",Vertices[[#Headers],[Vertex]:[Top Word Pairs in Comment by Salience]],0),FALSE)</f>
        <v>27</v>
      </c>
    </row>
    <row r="397" spans="1:3" ht="15">
      <c r="A397" s="82" t="s">
        <v>3502</v>
      </c>
      <c r="B397" s="107" t="s">
        <v>244</v>
      </c>
      <c r="C397" s="81">
        <f>VLOOKUP(GroupVertices[[#This Row],[Vertex]],Vertices[],MATCH("ID",Vertices[[#Headers],[Vertex]:[Top Word Pairs in Comment by Salience]],0),FALSE)</f>
        <v>26</v>
      </c>
    </row>
    <row r="398" spans="1:3" ht="15">
      <c r="A398" s="82" t="s">
        <v>3502</v>
      </c>
      <c r="B398" s="107" t="s">
        <v>243</v>
      </c>
      <c r="C398" s="81">
        <f>VLOOKUP(GroupVertices[[#This Row],[Vertex]],Vertices[],MATCH("ID",Vertices[[#Headers],[Vertex]:[Top Word Pairs in Comment by Salience]],0),FALSE)</f>
        <v>25</v>
      </c>
    </row>
    <row r="399" spans="1:3" ht="15">
      <c r="A399" s="82" t="s">
        <v>3502</v>
      </c>
      <c r="B399" s="107" t="s">
        <v>242</v>
      </c>
      <c r="C399" s="81">
        <f>VLOOKUP(GroupVertices[[#This Row],[Vertex]],Vertices[],MATCH("ID",Vertices[[#Headers],[Vertex]:[Top Word Pairs in Comment by Salience]],0),FALSE)</f>
        <v>24</v>
      </c>
    </row>
    <row r="400" spans="1:3" ht="15">
      <c r="A400" s="82" t="s">
        <v>3502</v>
      </c>
      <c r="B400" s="107" t="s">
        <v>241</v>
      </c>
      <c r="C400" s="81">
        <f>VLOOKUP(GroupVertices[[#This Row],[Vertex]],Vertices[],MATCH("ID",Vertices[[#Headers],[Vertex]:[Top Word Pairs in Comment by Salience]],0),FALSE)</f>
        <v>23</v>
      </c>
    </row>
    <row r="401" spans="1:3" ht="15">
      <c r="A401" s="82" t="s">
        <v>3502</v>
      </c>
      <c r="B401" s="107" t="s">
        <v>240</v>
      </c>
      <c r="C401" s="81">
        <f>VLOOKUP(GroupVertices[[#This Row],[Vertex]],Vertices[],MATCH("ID",Vertices[[#Headers],[Vertex]:[Top Word Pairs in Comment by Salience]],0),FALSE)</f>
        <v>22</v>
      </c>
    </row>
    <row r="402" spans="1:3" ht="15">
      <c r="A402" s="82" t="s">
        <v>3502</v>
      </c>
      <c r="B402" s="107" t="s">
        <v>239</v>
      </c>
      <c r="C402" s="81">
        <f>VLOOKUP(GroupVertices[[#This Row],[Vertex]],Vertices[],MATCH("ID",Vertices[[#Headers],[Vertex]:[Top Word Pairs in Comment by Salience]],0),FALSE)</f>
        <v>21</v>
      </c>
    </row>
    <row r="403" spans="1:3" ht="15">
      <c r="A403" s="82" t="s">
        <v>3502</v>
      </c>
      <c r="B403" s="107" t="s">
        <v>238</v>
      </c>
      <c r="C403" s="81">
        <f>VLOOKUP(GroupVertices[[#This Row],[Vertex]],Vertices[],MATCH("ID",Vertices[[#Headers],[Vertex]:[Top Word Pairs in Comment by Salience]],0),FALSE)</f>
        <v>20</v>
      </c>
    </row>
    <row r="404" spans="1:3" ht="15">
      <c r="A404" s="82" t="s">
        <v>3502</v>
      </c>
      <c r="B404" s="107" t="s">
        <v>237</v>
      </c>
      <c r="C404" s="81">
        <f>VLOOKUP(GroupVertices[[#This Row],[Vertex]],Vertices[],MATCH("ID",Vertices[[#Headers],[Vertex]:[Top Word Pairs in Comment by Salience]],0),FALSE)</f>
        <v>19</v>
      </c>
    </row>
    <row r="405" spans="1:3" ht="15">
      <c r="A405" s="82" t="s">
        <v>3502</v>
      </c>
      <c r="B405" s="107" t="s">
        <v>236</v>
      </c>
      <c r="C405" s="81">
        <f>VLOOKUP(GroupVertices[[#This Row],[Vertex]],Vertices[],MATCH("ID",Vertices[[#Headers],[Vertex]:[Top Word Pairs in Comment by Salience]],0),FALSE)</f>
        <v>18</v>
      </c>
    </row>
    <row r="406" spans="1:3" ht="15">
      <c r="A406" s="82" t="s">
        <v>3502</v>
      </c>
      <c r="B406" s="107" t="s">
        <v>235</v>
      </c>
      <c r="C406" s="81">
        <f>VLOOKUP(GroupVertices[[#This Row],[Vertex]],Vertices[],MATCH("ID",Vertices[[#Headers],[Vertex]:[Top Word Pairs in Comment by Salience]],0),FALSE)</f>
        <v>17</v>
      </c>
    </row>
    <row r="407" spans="1:3" ht="15">
      <c r="A407" s="82" t="s">
        <v>3502</v>
      </c>
      <c r="B407" s="107" t="s">
        <v>234</v>
      </c>
      <c r="C407" s="81">
        <f>VLOOKUP(GroupVertices[[#This Row],[Vertex]],Vertices[],MATCH("ID",Vertices[[#Headers],[Vertex]:[Top Word Pairs in Comment by Salience]],0),FALSE)</f>
        <v>16</v>
      </c>
    </row>
    <row r="408" spans="1:3" ht="15">
      <c r="A408" s="82" t="s">
        <v>3502</v>
      </c>
      <c r="B408" s="107" t="s">
        <v>233</v>
      </c>
      <c r="C408" s="81">
        <f>VLOOKUP(GroupVertices[[#This Row],[Vertex]],Vertices[],MATCH("ID",Vertices[[#Headers],[Vertex]:[Top Word Pairs in Comment by Salience]],0),FALSE)</f>
        <v>15</v>
      </c>
    </row>
    <row r="409" spans="1:3" ht="15">
      <c r="A409" s="82" t="s">
        <v>3502</v>
      </c>
      <c r="B409" s="107" t="s">
        <v>232</v>
      </c>
      <c r="C409" s="81">
        <f>VLOOKUP(GroupVertices[[#This Row],[Vertex]],Vertices[],MATCH("ID",Vertices[[#Headers],[Vertex]:[Top Word Pairs in Comment by Salience]],0),FALSE)</f>
        <v>14</v>
      </c>
    </row>
    <row r="410" spans="1:3" ht="15">
      <c r="A410" s="82" t="s">
        <v>3502</v>
      </c>
      <c r="B410" s="107" t="s">
        <v>231</v>
      </c>
      <c r="C410" s="81">
        <f>VLOOKUP(GroupVertices[[#This Row],[Vertex]],Vertices[],MATCH("ID",Vertices[[#Headers],[Vertex]:[Top Word Pairs in Comment by Salience]],0),FALSE)</f>
        <v>13</v>
      </c>
    </row>
    <row r="411" spans="1:3" ht="15">
      <c r="A411" s="82" t="s">
        <v>3502</v>
      </c>
      <c r="B411" s="107" t="s">
        <v>230</v>
      </c>
      <c r="C411" s="81">
        <f>VLOOKUP(GroupVertices[[#This Row],[Vertex]],Vertices[],MATCH("ID",Vertices[[#Headers],[Vertex]:[Top Word Pairs in Comment by Salience]],0),FALSE)</f>
        <v>12</v>
      </c>
    </row>
    <row r="412" spans="1:3" ht="15">
      <c r="A412" s="82" t="s">
        <v>3502</v>
      </c>
      <c r="B412" s="107" t="s">
        <v>229</v>
      </c>
      <c r="C412" s="81">
        <f>VLOOKUP(GroupVertices[[#This Row],[Vertex]],Vertices[],MATCH("ID",Vertices[[#Headers],[Vertex]:[Top Word Pairs in Comment by Salience]],0),FALSE)</f>
        <v>11</v>
      </c>
    </row>
    <row r="413" spans="1:3" ht="15">
      <c r="A413" s="82" t="s">
        <v>3502</v>
      </c>
      <c r="B413" s="107" t="s">
        <v>228</v>
      </c>
      <c r="C413" s="81">
        <f>VLOOKUP(GroupVertices[[#This Row],[Vertex]],Vertices[],MATCH("ID",Vertices[[#Headers],[Vertex]:[Top Word Pairs in Comment by Salience]],0),FALSE)</f>
        <v>9</v>
      </c>
    </row>
    <row r="414" spans="1:3" ht="15">
      <c r="A414" s="82" t="s">
        <v>3503</v>
      </c>
      <c r="B414" s="107" t="s">
        <v>356</v>
      </c>
      <c r="C414" s="81">
        <f>VLOOKUP(GroupVertices[[#This Row],[Vertex]],Vertices[],MATCH("ID",Vertices[[#Headers],[Vertex]:[Top Word Pairs in Comment by Salience]],0),FALSE)</f>
        <v>137</v>
      </c>
    </row>
    <row r="415" spans="1:3" ht="15">
      <c r="A415" s="82" t="s">
        <v>3503</v>
      </c>
      <c r="B415" s="107" t="s">
        <v>355</v>
      </c>
      <c r="C415" s="81">
        <f>VLOOKUP(GroupVertices[[#This Row],[Vertex]],Vertices[],MATCH("ID",Vertices[[#Headers],[Vertex]:[Top Word Pairs in Comment by Salience]],0),FALSE)</f>
        <v>76</v>
      </c>
    </row>
    <row r="416" spans="1:3" ht="15">
      <c r="A416" s="82" t="s">
        <v>3503</v>
      </c>
      <c r="B416" s="107" t="s">
        <v>354</v>
      </c>
      <c r="C416" s="81">
        <f>VLOOKUP(GroupVertices[[#This Row],[Vertex]],Vertices[],MATCH("ID",Vertices[[#Headers],[Vertex]:[Top Word Pairs in Comment by Salience]],0),FALSE)</f>
        <v>136</v>
      </c>
    </row>
    <row r="417" spans="1:3" ht="15">
      <c r="A417" s="82" t="s">
        <v>3503</v>
      </c>
      <c r="B417" s="107" t="s">
        <v>353</v>
      </c>
      <c r="C417" s="81">
        <f>VLOOKUP(GroupVertices[[#This Row],[Vertex]],Vertices[],MATCH("ID",Vertices[[#Headers],[Vertex]:[Top Word Pairs in Comment by Salience]],0),FALSE)</f>
        <v>135</v>
      </c>
    </row>
    <row r="418" spans="1:3" ht="15">
      <c r="A418" s="82" t="s">
        <v>3503</v>
      </c>
      <c r="B418" s="107" t="s">
        <v>352</v>
      </c>
      <c r="C418" s="81">
        <f>VLOOKUP(GroupVertices[[#This Row],[Vertex]],Vertices[],MATCH("ID",Vertices[[#Headers],[Vertex]:[Top Word Pairs in Comment by Salience]],0),FALSE)</f>
        <v>134</v>
      </c>
    </row>
    <row r="419" spans="1:3" ht="15">
      <c r="A419" s="82" t="s">
        <v>3503</v>
      </c>
      <c r="B419" s="107" t="s">
        <v>351</v>
      </c>
      <c r="C419" s="81">
        <f>VLOOKUP(GroupVertices[[#This Row],[Vertex]],Vertices[],MATCH("ID",Vertices[[#Headers],[Vertex]:[Top Word Pairs in Comment by Salience]],0),FALSE)</f>
        <v>133</v>
      </c>
    </row>
    <row r="420" spans="1:3" ht="15">
      <c r="A420" s="82" t="s">
        <v>3503</v>
      </c>
      <c r="B420" s="107" t="s">
        <v>350</v>
      </c>
      <c r="C420" s="81">
        <f>VLOOKUP(GroupVertices[[#This Row],[Vertex]],Vertices[],MATCH("ID",Vertices[[#Headers],[Vertex]:[Top Word Pairs in Comment by Salience]],0),FALSE)</f>
        <v>132</v>
      </c>
    </row>
    <row r="421" spans="1:3" ht="15">
      <c r="A421" s="82" t="s">
        <v>3503</v>
      </c>
      <c r="B421" s="107" t="s">
        <v>349</v>
      </c>
      <c r="C421" s="81">
        <f>VLOOKUP(GroupVertices[[#This Row],[Vertex]],Vertices[],MATCH("ID",Vertices[[#Headers],[Vertex]:[Top Word Pairs in Comment by Salience]],0),FALSE)</f>
        <v>131</v>
      </c>
    </row>
    <row r="422" spans="1:3" ht="15">
      <c r="A422" s="82" t="s">
        <v>3503</v>
      </c>
      <c r="B422" s="107" t="s">
        <v>348</v>
      </c>
      <c r="C422" s="81">
        <f>VLOOKUP(GroupVertices[[#This Row],[Vertex]],Vertices[],MATCH("ID",Vertices[[#Headers],[Vertex]:[Top Word Pairs in Comment by Salience]],0),FALSE)</f>
        <v>130</v>
      </c>
    </row>
    <row r="423" spans="1:3" ht="15">
      <c r="A423" s="82" t="s">
        <v>3503</v>
      </c>
      <c r="B423" s="107" t="s">
        <v>347</v>
      </c>
      <c r="C423" s="81">
        <f>VLOOKUP(GroupVertices[[#This Row],[Vertex]],Vertices[],MATCH("ID",Vertices[[#Headers],[Vertex]:[Top Word Pairs in Comment by Salience]],0),FALSE)</f>
        <v>129</v>
      </c>
    </row>
    <row r="424" spans="1:3" ht="15">
      <c r="A424" s="82" t="s">
        <v>3503</v>
      </c>
      <c r="B424" s="107" t="s">
        <v>346</v>
      </c>
      <c r="C424" s="81">
        <f>VLOOKUP(GroupVertices[[#This Row],[Vertex]],Vertices[],MATCH("ID",Vertices[[#Headers],[Vertex]:[Top Word Pairs in Comment by Salience]],0),FALSE)</f>
        <v>128</v>
      </c>
    </row>
    <row r="425" spans="1:3" ht="15">
      <c r="A425" s="82" t="s">
        <v>3503</v>
      </c>
      <c r="B425" s="107" t="s">
        <v>345</v>
      </c>
      <c r="C425" s="81">
        <f>VLOOKUP(GroupVertices[[#This Row],[Vertex]],Vertices[],MATCH("ID",Vertices[[#Headers],[Vertex]:[Top Word Pairs in Comment by Salience]],0),FALSE)</f>
        <v>127</v>
      </c>
    </row>
    <row r="426" spans="1:3" ht="15">
      <c r="A426" s="82" t="s">
        <v>3503</v>
      </c>
      <c r="B426" s="107" t="s">
        <v>344</v>
      </c>
      <c r="C426" s="81">
        <f>VLOOKUP(GroupVertices[[#This Row],[Vertex]],Vertices[],MATCH("ID",Vertices[[#Headers],[Vertex]:[Top Word Pairs in Comment by Salience]],0),FALSE)</f>
        <v>126</v>
      </c>
    </row>
    <row r="427" spans="1:3" ht="15">
      <c r="A427" s="82" t="s">
        <v>3503</v>
      </c>
      <c r="B427" s="107" t="s">
        <v>343</v>
      </c>
      <c r="C427" s="81">
        <f>VLOOKUP(GroupVertices[[#This Row],[Vertex]],Vertices[],MATCH("ID",Vertices[[#Headers],[Vertex]:[Top Word Pairs in Comment by Salience]],0),FALSE)</f>
        <v>125</v>
      </c>
    </row>
    <row r="428" spans="1:3" ht="15">
      <c r="A428" s="82" t="s">
        <v>3503</v>
      </c>
      <c r="B428" s="107" t="s">
        <v>342</v>
      </c>
      <c r="C428" s="81">
        <f>VLOOKUP(GroupVertices[[#This Row],[Vertex]],Vertices[],MATCH("ID",Vertices[[#Headers],[Vertex]:[Top Word Pairs in Comment by Salience]],0),FALSE)</f>
        <v>124</v>
      </c>
    </row>
    <row r="429" spans="1:3" ht="15">
      <c r="A429" s="82" t="s">
        <v>3503</v>
      </c>
      <c r="B429" s="107" t="s">
        <v>341</v>
      </c>
      <c r="C429" s="81">
        <f>VLOOKUP(GroupVertices[[#This Row],[Vertex]],Vertices[],MATCH("ID",Vertices[[#Headers],[Vertex]:[Top Word Pairs in Comment by Salience]],0),FALSE)</f>
        <v>123</v>
      </c>
    </row>
    <row r="430" spans="1:3" ht="15">
      <c r="A430" s="82" t="s">
        <v>3503</v>
      </c>
      <c r="B430" s="107" t="s">
        <v>340</v>
      </c>
      <c r="C430" s="81">
        <f>VLOOKUP(GroupVertices[[#This Row],[Vertex]],Vertices[],MATCH("ID",Vertices[[#Headers],[Vertex]:[Top Word Pairs in Comment by Salience]],0),FALSE)</f>
        <v>122</v>
      </c>
    </row>
    <row r="431" spans="1:3" ht="15">
      <c r="A431" s="82" t="s">
        <v>3503</v>
      </c>
      <c r="B431" s="107" t="s">
        <v>339</v>
      </c>
      <c r="C431" s="81">
        <f>VLOOKUP(GroupVertices[[#This Row],[Vertex]],Vertices[],MATCH("ID",Vertices[[#Headers],[Vertex]:[Top Word Pairs in Comment by Salience]],0),FALSE)</f>
        <v>121</v>
      </c>
    </row>
    <row r="432" spans="1:3" ht="15">
      <c r="A432" s="82" t="s">
        <v>3503</v>
      </c>
      <c r="B432" s="107" t="s">
        <v>338</v>
      </c>
      <c r="C432" s="81">
        <f>VLOOKUP(GroupVertices[[#This Row],[Vertex]],Vertices[],MATCH("ID",Vertices[[#Headers],[Vertex]:[Top Word Pairs in Comment by Salience]],0),FALSE)</f>
        <v>120</v>
      </c>
    </row>
    <row r="433" spans="1:3" ht="15">
      <c r="A433" s="82" t="s">
        <v>3503</v>
      </c>
      <c r="B433" s="107" t="s">
        <v>337</v>
      </c>
      <c r="C433" s="81">
        <f>VLOOKUP(GroupVertices[[#This Row],[Vertex]],Vertices[],MATCH("ID",Vertices[[#Headers],[Vertex]:[Top Word Pairs in Comment by Salience]],0),FALSE)</f>
        <v>119</v>
      </c>
    </row>
    <row r="434" spans="1:3" ht="15">
      <c r="A434" s="82" t="s">
        <v>3503</v>
      </c>
      <c r="B434" s="107" t="s">
        <v>336</v>
      </c>
      <c r="C434" s="81">
        <f>VLOOKUP(GroupVertices[[#This Row],[Vertex]],Vertices[],MATCH("ID",Vertices[[#Headers],[Vertex]:[Top Word Pairs in Comment by Salience]],0),FALSE)</f>
        <v>118</v>
      </c>
    </row>
    <row r="435" spans="1:3" ht="15">
      <c r="A435" s="82" t="s">
        <v>3503</v>
      </c>
      <c r="B435" s="107" t="s">
        <v>335</v>
      </c>
      <c r="C435" s="81">
        <f>VLOOKUP(GroupVertices[[#This Row],[Vertex]],Vertices[],MATCH("ID",Vertices[[#Headers],[Vertex]:[Top Word Pairs in Comment by Salience]],0),FALSE)</f>
        <v>117</v>
      </c>
    </row>
    <row r="436" spans="1:3" ht="15">
      <c r="A436" s="82" t="s">
        <v>3503</v>
      </c>
      <c r="B436" s="107" t="s">
        <v>334</v>
      </c>
      <c r="C436" s="81">
        <f>VLOOKUP(GroupVertices[[#This Row],[Vertex]],Vertices[],MATCH("ID",Vertices[[#Headers],[Vertex]:[Top Word Pairs in Comment by Salience]],0),FALSE)</f>
        <v>116</v>
      </c>
    </row>
    <row r="437" spans="1:3" ht="15">
      <c r="A437" s="82" t="s">
        <v>3503</v>
      </c>
      <c r="B437" s="107" t="s">
        <v>333</v>
      </c>
      <c r="C437" s="81">
        <f>VLOOKUP(GroupVertices[[#This Row],[Vertex]],Vertices[],MATCH("ID",Vertices[[#Headers],[Vertex]:[Top Word Pairs in Comment by Salience]],0),FALSE)</f>
        <v>115</v>
      </c>
    </row>
    <row r="438" spans="1:3" ht="15">
      <c r="A438" s="82" t="s">
        <v>3503</v>
      </c>
      <c r="B438" s="107" t="s">
        <v>332</v>
      </c>
      <c r="C438" s="81">
        <f>VLOOKUP(GroupVertices[[#This Row],[Vertex]],Vertices[],MATCH("ID",Vertices[[#Headers],[Vertex]:[Top Word Pairs in Comment by Salience]],0),FALSE)</f>
        <v>114</v>
      </c>
    </row>
    <row r="439" spans="1:3" ht="15">
      <c r="A439" s="82" t="s">
        <v>3503</v>
      </c>
      <c r="B439" s="107" t="s">
        <v>331</v>
      </c>
      <c r="C439" s="81">
        <f>VLOOKUP(GroupVertices[[#This Row],[Vertex]],Vertices[],MATCH("ID",Vertices[[#Headers],[Vertex]:[Top Word Pairs in Comment by Salience]],0),FALSE)</f>
        <v>113</v>
      </c>
    </row>
    <row r="440" spans="1:3" ht="15">
      <c r="A440" s="82" t="s">
        <v>3503</v>
      </c>
      <c r="B440" s="107" t="s">
        <v>330</v>
      </c>
      <c r="C440" s="81">
        <f>VLOOKUP(GroupVertices[[#This Row],[Vertex]],Vertices[],MATCH("ID",Vertices[[#Headers],[Vertex]:[Top Word Pairs in Comment by Salience]],0),FALSE)</f>
        <v>112</v>
      </c>
    </row>
    <row r="441" spans="1:3" ht="15">
      <c r="A441" s="82" t="s">
        <v>3503</v>
      </c>
      <c r="B441" s="107" t="s">
        <v>329</v>
      </c>
      <c r="C441" s="81">
        <f>VLOOKUP(GroupVertices[[#This Row],[Vertex]],Vertices[],MATCH("ID",Vertices[[#Headers],[Vertex]:[Top Word Pairs in Comment by Salience]],0),FALSE)</f>
        <v>111</v>
      </c>
    </row>
    <row r="442" spans="1:3" ht="15">
      <c r="A442" s="82" t="s">
        <v>3503</v>
      </c>
      <c r="B442" s="107" t="s">
        <v>328</v>
      </c>
      <c r="C442" s="81">
        <f>VLOOKUP(GroupVertices[[#This Row],[Vertex]],Vertices[],MATCH("ID",Vertices[[#Headers],[Vertex]:[Top Word Pairs in Comment by Salience]],0),FALSE)</f>
        <v>110</v>
      </c>
    </row>
    <row r="443" spans="1:3" ht="15">
      <c r="A443" s="82" t="s">
        <v>3503</v>
      </c>
      <c r="B443" s="107" t="s">
        <v>327</v>
      </c>
      <c r="C443" s="81">
        <f>VLOOKUP(GroupVertices[[#This Row],[Vertex]],Vertices[],MATCH("ID",Vertices[[#Headers],[Vertex]:[Top Word Pairs in Comment by Salience]],0),FALSE)</f>
        <v>109</v>
      </c>
    </row>
    <row r="444" spans="1:3" ht="15">
      <c r="A444" s="82" t="s">
        <v>3503</v>
      </c>
      <c r="B444" s="107" t="s">
        <v>326</v>
      </c>
      <c r="C444" s="81">
        <f>VLOOKUP(GroupVertices[[#This Row],[Vertex]],Vertices[],MATCH("ID",Vertices[[#Headers],[Vertex]:[Top Word Pairs in Comment by Salience]],0),FALSE)</f>
        <v>108</v>
      </c>
    </row>
    <row r="445" spans="1:3" ht="15">
      <c r="A445" s="82" t="s">
        <v>3503</v>
      </c>
      <c r="B445" s="107" t="s">
        <v>325</v>
      </c>
      <c r="C445" s="81">
        <f>VLOOKUP(GroupVertices[[#This Row],[Vertex]],Vertices[],MATCH("ID",Vertices[[#Headers],[Vertex]:[Top Word Pairs in Comment by Salience]],0),FALSE)</f>
        <v>107</v>
      </c>
    </row>
    <row r="446" spans="1:3" ht="15">
      <c r="A446" s="82" t="s">
        <v>3503</v>
      </c>
      <c r="B446" s="107" t="s">
        <v>324</v>
      </c>
      <c r="C446" s="81">
        <f>VLOOKUP(GroupVertices[[#This Row],[Vertex]],Vertices[],MATCH("ID",Vertices[[#Headers],[Vertex]:[Top Word Pairs in Comment by Salience]],0),FALSE)</f>
        <v>106</v>
      </c>
    </row>
    <row r="447" spans="1:3" ht="15">
      <c r="A447" s="82" t="s">
        <v>3503</v>
      </c>
      <c r="B447" s="107" t="s">
        <v>323</v>
      </c>
      <c r="C447" s="81">
        <f>VLOOKUP(GroupVertices[[#This Row],[Vertex]],Vertices[],MATCH("ID",Vertices[[#Headers],[Vertex]:[Top Word Pairs in Comment by Salience]],0),FALSE)</f>
        <v>105</v>
      </c>
    </row>
    <row r="448" spans="1:3" ht="15">
      <c r="A448" s="82" t="s">
        <v>3503</v>
      </c>
      <c r="B448" s="107" t="s">
        <v>322</v>
      </c>
      <c r="C448" s="81">
        <f>VLOOKUP(GroupVertices[[#This Row],[Vertex]],Vertices[],MATCH("ID",Vertices[[#Headers],[Vertex]:[Top Word Pairs in Comment by Salience]],0),FALSE)</f>
        <v>104</v>
      </c>
    </row>
    <row r="449" spans="1:3" ht="15">
      <c r="A449" s="82" t="s">
        <v>3503</v>
      </c>
      <c r="B449" s="107" t="s">
        <v>321</v>
      </c>
      <c r="C449" s="81">
        <f>VLOOKUP(GroupVertices[[#This Row],[Vertex]],Vertices[],MATCH("ID",Vertices[[#Headers],[Vertex]:[Top Word Pairs in Comment by Salience]],0),FALSE)</f>
        <v>103</v>
      </c>
    </row>
    <row r="450" spans="1:3" ht="15">
      <c r="A450" s="82" t="s">
        <v>3503</v>
      </c>
      <c r="B450" s="107" t="s">
        <v>320</v>
      </c>
      <c r="C450" s="81">
        <f>VLOOKUP(GroupVertices[[#This Row],[Vertex]],Vertices[],MATCH("ID",Vertices[[#Headers],[Vertex]:[Top Word Pairs in Comment by Salience]],0),FALSE)</f>
        <v>102</v>
      </c>
    </row>
    <row r="451" spans="1:3" ht="15">
      <c r="A451" s="82" t="s">
        <v>3503</v>
      </c>
      <c r="B451" s="107" t="s">
        <v>319</v>
      </c>
      <c r="C451" s="81">
        <f>VLOOKUP(GroupVertices[[#This Row],[Vertex]],Vertices[],MATCH("ID",Vertices[[#Headers],[Vertex]:[Top Word Pairs in Comment by Salience]],0),FALSE)</f>
        <v>101</v>
      </c>
    </row>
    <row r="452" spans="1:3" ht="15">
      <c r="A452" s="82" t="s">
        <v>3503</v>
      </c>
      <c r="B452" s="107" t="s">
        <v>318</v>
      </c>
      <c r="C452" s="81">
        <f>VLOOKUP(GroupVertices[[#This Row],[Vertex]],Vertices[],MATCH("ID",Vertices[[#Headers],[Vertex]:[Top Word Pairs in Comment by Salience]],0),FALSE)</f>
        <v>100</v>
      </c>
    </row>
    <row r="453" spans="1:3" ht="15">
      <c r="A453" s="82" t="s">
        <v>3503</v>
      </c>
      <c r="B453" s="107" t="s">
        <v>317</v>
      </c>
      <c r="C453" s="81">
        <f>VLOOKUP(GroupVertices[[#This Row],[Vertex]],Vertices[],MATCH("ID",Vertices[[#Headers],[Vertex]:[Top Word Pairs in Comment by Salience]],0),FALSE)</f>
        <v>99</v>
      </c>
    </row>
    <row r="454" spans="1:3" ht="15">
      <c r="A454" s="82" t="s">
        <v>3503</v>
      </c>
      <c r="B454" s="107" t="s">
        <v>316</v>
      </c>
      <c r="C454" s="81">
        <f>VLOOKUP(GroupVertices[[#This Row],[Vertex]],Vertices[],MATCH("ID",Vertices[[#Headers],[Vertex]:[Top Word Pairs in Comment by Salience]],0),FALSE)</f>
        <v>98</v>
      </c>
    </row>
    <row r="455" spans="1:3" ht="15">
      <c r="A455" s="82" t="s">
        <v>3503</v>
      </c>
      <c r="B455" s="107" t="s">
        <v>315</v>
      </c>
      <c r="C455" s="81">
        <f>VLOOKUP(GroupVertices[[#This Row],[Vertex]],Vertices[],MATCH("ID",Vertices[[#Headers],[Vertex]:[Top Word Pairs in Comment by Salience]],0),FALSE)</f>
        <v>97</v>
      </c>
    </row>
    <row r="456" spans="1:3" ht="15">
      <c r="A456" s="82" t="s">
        <v>3503</v>
      </c>
      <c r="B456" s="107" t="s">
        <v>314</v>
      </c>
      <c r="C456" s="81">
        <f>VLOOKUP(GroupVertices[[#This Row],[Vertex]],Vertices[],MATCH("ID",Vertices[[#Headers],[Vertex]:[Top Word Pairs in Comment by Salience]],0),FALSE)</f>
        <v>96</v>
      </c>
    </row>
    <row r="457" spans="1:3" ht="15">
      <c r="A457" s="82" t="s">
        <v>3503</v>
      </c>
      <c r="B457" s="107" t="s">
        <v>313</v>
      </c>
      <c r="C457" s="81">
        <f>VLOOKUP(GroupVertices[[#This Row],[Vertex]],Vertices[],MATCH("ID",Vertices[[#Headers],[Vertex]:[Top Word Pairs in Comment by Salience]],0),FALSE)</f>
        <v>95</v>
      </c>
    </row>
    <row r="458" spans="1:3" ht="15">
      <c r="A458" s="82" t="s">
        <v>3503</v>
      </c>
      <c r="B458" s="107" t="s">
        <v>312</v>
      </c>
      <c r="C458" s="81">
        <f>VLOOKUP(GroupVertices[[#This Row],[Vertex]],Vertices[],MATCH("ID",Vertices[[#Headers],[Vertex]:[Top Word Pairs in Comment by Salience]],0),FALSE)</f>
        <v>94</v>
      </c>
    </row>
    <row r="459" spans="1:3" ht="15">
      <c r="A459" s="82" t="s">
        <v>3503</v>
      </c>
      <c r="B459" s="107" t="s">
        <v>311</v>
      </c>
      <c r="C459" s="81">
        <f>VLOOKUP(GroupVertices[[#This Row],[Vertex]],Vertices[],MATCH("ID",Vertices[[#Headers],[Vertex]:[Top Word Pairs in Comment by Salience]],0),FALSE)</f>
        <v>93</v>
      </c>
    </row>
    <row r="460" spans="1:3" ht="15">
      <c r="A460" s="82" t="s">
        <v>3503</v>
      </c>
      <c r="B460" s="107" t="s">
        <v>310</v>
      </c>
      <c r="C460" s="81">
        <f>VLOOKUP(GroupVertices[[#This Row],[Vertex]],Vertices[],MATCH("ID",Vertices[[#Headers],[Vertex]:[Top Word Pairs in Comment by Salience]],0),FALSE)</f>
        <v>92</v>
      </c>
    </row>
    <row r="461" spans="1:3" ht="15">
      <c r="A461" s="82" t="s">
        <v>3503</v>
      </c>
      <c r="B461" s="107" t="s">
        <v>309</v>
      </c>
      <c r="C461" s="81">
        <f>VLOOKUP(GroupVertices[[#This Row],[Vertex]],Vertices[],MATCH("ID",Vertices[[#Headers],[Vertex]:[Top Word Pairs in Comment by Salience]],0),FALSE)</f>
        <v>91</v>
      </c>
    </row>
    <row r="462" spans="1:3" ht="15">
      <c r="A462" s="82" t="s">
        <v>3503</v>
      </c>
      <c r="B462" s="107" t="s">
        <v>308</v>
      </c>
      <c r="C462" s="81">
        <f>VLOOKUP(GroupVertices[[#This Row],[Vertex]],Vertices[],MATCH("ID",Vertices[[#Headers],[Vertex]:[Top Word Pairs in Comment by Salience]],0),FALSE)</f>
        <v>90</v>
      </c>
    </row>
    <row r="463" spans="1:3" ht="15">
      <c r="A463" s="82" t="s">
        <v>3503</v>
      </c>
      <c r="B463" s="107" t="s">
        <v>307</v>
      </c>
      <c r="C463" s="81">
        <f>VLOOKUP(GroupVertices[[#This Row],[Vertex]],Vertices[],MATCH("ID",Vertices[[#Headers],[Vertex]:[Top Word Pairs in Comment by Salience]],0),FALSE)</f>
        <v>89</v>
      </c>
    </row>
    <row r="464" spans="1:3" ht="15">
      <c r="A464" s="82" t="s">
        <v>3503</v>
      </c>
      <c r="B464" s="107" t="s">
        <v>306</v>
      </c>
      <c r="C464" s="81">
        <f>VLOOKUP(GroupVertices[[#This Row],[Vertex]],Vertices[],MATCH("ID",Vertices[[#Headers],[Vertex]:[Top Word Pairs in Comment by Salience]],0),FALSE)</f>
        <v>88</v>
      </c>
    </row>
    <row r="465" spans="1:3" ht="15">
      <c r="A465" s="82" t="s">
        <v>3503</v>
      </c>
      <c r="B465" s="107" t="s">
        <v>305</v>
      </c>
      <c r="C465" s="81">
        <f>VLOOKUP(GroupVertices[[#This Row],[Vertex]],Vertices[],MATCH("ID",Vertices[[#Headers],[Vertex]:[Top Word Pairs in Comment by Salience]],0),FALSE)</f>
        <v>87</v>
      </c>
    </row>
    <row r="466" spans="1:3" ht="15">
      <c r="A466" s="82" t="s">
        <v>3503</v>
      </c>
      <c r="B466" s="107" t="s">
        <v>304</v>
      </c>
      <c r="C466" s="81">
        <f>VLOOKUP(GroupVertices[[#This Row],[Vertex]],Vertices[],MATCH("ID",Vertices[[#Headers],[Vertex]:[Top Word Pairs in Comment by Salience]],0),FALSE)</f>
        <v>86</v>
      </c>
    </row>
    <row r="467" spans="1:3" ht="15">
      <c r="A467" s="82" t="s">
        <v>3503</v>
      </c>
      <c r="B467" s="107" t="s">
        <v>303</v>
      </c>
      <c r="C467" s="81">
        <f>VLOOKUP(GroupVertices[[#This Row],[Vertex]],Vertices[],MATCH("ID",Vertices[[#Headers],[Vertex]:[Top Word Pairs in Comment by Salience]],0),FALSE)</f>
        <v>85</v>
      </c>
    </row>
    <row r="468" spans="1:3" ht="15">
      <c r="A468" s="82" t="s">
        <v>3503</v>
      </c>
      <c r="B468" s="107" t="s">
        <v>302</v>
      </c>
      <c r="C468" s="81">
        <f>VLOOKUP(GroupVertices[[#This Row],[Vertex]],Vertices[],MATCH("ID",Vertices[[#Headers],[Vertex]:[Top Word Pairs in Comment by Salience]],0),FALSE)</f>
        <v>84</v>
      </c>
    </row>
    <row r="469" spans="1:3" ht="15">
      <c r="A469" s="82" t="s">
        <v>3503</v>
      </c>
      <c r="B469" s="107" t="s">
        <v>301</v>
      </c>
      <c r="C469" s="81">
        <f>VLOOKUP(GroupVertices[[#This Row],[Vertex]],Vertices[],MATCH("ID",Vertices[[#Headers],[Vertex]:[Top Word Pairs in Comment by Salience]],0),FALSE)</f>
        <v>83</v>
      </c>
    </row>
    <row r="470" spans="1:3" ht="15">
      <c r="A470" s="82" t="s">
        <v>3503</v>
      </c>
      <c r="B470" s="107" t="s">
        <v>300</v>
      </c>
      <c r="C470" s="81">
        <f>VLOOKUP(GroupVertices[[#This Row],[Vertex]],Vertices[],MATCH("ID",Vertices[[#Headers],[Vertex]:[Top Word Pairs in Comment by Salience]],0),FALSE)</f>
        <v>82</v>
      </c>
    </row>
    <row r="471" spans="1:3" ht="15">
      <c r="A471" s="82" t="s">
        <v>3503</v>
      </c>
      <c r="B471" s="107" t="s">
        <v>299</v>
      </c>
      <c r="C471" s="81">
        <f>VLOOKUP(GroupVertices[[#This Row],[Vertex]],Vertices[],MATCH("ID",Vertices[[#Headers],[Vertex]:[Top Word Pairs in Comment by Salience]],0),FALSE)</f>
        <v>81</v>
      </c>
    </row>
    <row r="472" spans="1:3" ht="15">
      <c r="A472" s="82" t="s">
        <v>3503</v>
      </c>
      <c r="B472" s="107" t="s">
        <v>298</v>
      </c>
      <c r="C472" s="81">
        <f>VLOOKUP(GroupVertices[[#This Row],[Vertex]],Vertices[],MATCH("ID",Vertices[[#Headers],[Vertex]:[Top Word Pairs in Comment by Salience]],0),FALSE)</f>
        <v>80</v>
      </c>
    </row>
    <row r="473" spans="1:3" ht="15">
      <c r="A473" s="82" t="s">
        <v>3503</v>
      </c>
      <c r="B473" s="107" t="s">
        <v>297</v>
      </c>
      <c r="C473" s="81">
        <f>VLOOKUP(GroupVertices[[#This Row],[Vertex]],Vertices[],MATCH("ID",Vertices[[#Headers],[Vertex]:[Top Word Pairs in Comment by Salience]],0),FALSE)</f>
        <v>79</v>
      </c>
    </row>
    <row r="474" spans="1:3" ht="15">
      <c r="A474" s="82" t="s">
        <v>3503</v>
      </c>
      <c r="B474" s="107" t="s">
        <v>296</v>
      </c>
      <c r="C474" s="81">
        <f>VLOOKUP(GroupVertices[[#This Row],[Vertex]],Vertices[],MATCH("ID",Vertices[[#Headers],[Vertex]:[Top Word Pairs in Comment by Salience]],0),FALSE)</f>
        <v>78</v>
      </c>
    </row>
    <row r="475" spans="1:3" ht="15">
      <c r="A475" s="82" t="s">
        <v>3503</v>
      </c>
      <c r="B475" s="107" t="s">
        <v>295</v>
      </c>
      <c r="C475" s="81">
        <f>VLOOKUP(GroupVertices[[#This Row],[Vertex]],Vertices[],MATCH("ID",Vertices[[#Headers],[Vertex]:[Top Word Pairs in Comment by Salience]],0),FALSE)</f>
        <v>77</v>
      </c>
    </row>
    <row r="476" spans="1:3" ht="15">
      <c r="A476" s="82" t="s">
        <v>3503</v>
      </c>
      <c r="B476" s="107" t="s">
        <v>294</v>
      </c>
      <c r="C476" s="81">
        <f>VLOOKUP(GroupVertices[[#This Row],[Vertex]],Vertices[],MATCH("ID",Vertices[[#Headers],[Vertex]:[Top Word Pairs in Comment by Salience]],0),FALSE)</f>
        <v>75</v>
      </c>
    </row>
    <row r="477" spans="1:3" ht="15">
      <c r="A477" s="82" t="s">
        <v>3504</v>
      </c>
      <c r="B477" s="107" t="s">
        <v>669</v>
      </c>
      <c r="C477" s="81">
        <f>VLOOKUP(GroupVertices[[#This Row],[Vertex]],Vertices[],MATCH("ID",Vertices[[#Headers],[Vertex]:[Top Word Pairs in Comment by Salience]],0),FALSE)</f>
        <v>451</v>
      </c>
    </row>
    <row r="478" spans="1:3" ht="15">
      <c r="A478" s="82" t="s">
        <v>3504</v>
      </c>
      <c r="B478" s="107" t="s">
        <v>668</v>
      </c>
      <c r="C478" s="81">
        <f>VLOOKUP(GroupVertices[[#This Row],[Vertex]],Vertices[],MATCH("ID",Vertices[[#Headers],[Vertex]:[Top Word Pairs in Comment by Salience]],0),FALSE)</f>
        <v>425</v>
      </c>
    </row>
    <row r="479" spans="1:3" ht="15">
      <c r="A479" s="82" t="s">
        <v>3504</v>
      </c>
      <c r="B479" s="107" t="s">
        <v>667</v>
      </c>
      <c r="C479" s="81">
        <f>VLOOKUP(GroupVertices[[#This Row],[Vertex]],Vertices[],MATCH("ID",Vertices[[#Headers],[Vertex]:[Top Word Pairs in Comment by Salience]],0),FALSE)</f>
        <v>450</v>
      </c>
    </row>
    <row r="480" spans="1:3" ht="15">
      <c r="A480" s="82" t="s">
        <v>3504</v>
      </c>
      <c r="B480" s="107" t="s">
        <v>666</v>
      </c>
      <c r="C480" s="81">
        <f>VLOOKUP(GroupVertices[[#This Row],[Vertex]],Vertices[],MATCH("ID",Vertices[[#Headers],[Vertex]:[Top Word Pairs in Comment by Salience]],0),FALSE)</f>
        <v>449</v>
      </c>
    </row>
    <row r="481" spans="1:3" ht="15">
      <c r="A481" s="82" t="s">
        <v>3504</v>
      </c>
      <c r="B481" s="107" t="s">
        <v>665</v>
      </c>
      <c r="C481" s="81">
        <f>VLOOKUP(GroupVertices[[#This Row],[Vertex]],Vertices[],MATCH("ID",Vertices[[#Headers],[Vertex]:[Top Word Pairs in Comment by Salience]],0),FALSE)</f>
        <v>448</v>
      </c>
    </row>
    <row r="482" spans="1:3" ht="15">
      <c r="A482" s="82" t="s">
        <v>3504</v>
      </c>
      <c r="B482" s="107" t="s">
        <v>664</v>
      </c>
      <c r="C482" s="81">
        <f>VLOOKUP(GroupVertices[[#This Row],[Vertex]],Vertices[],MATCH("ID",Vertices[[#Headers],[Vertex]:[Top Word Pairs in Comment by Salience]],0),FALSE)</f>
        <v>447</v>
      </c>
    </row>
    <row r="483" spans="1:3" ht="15">
      <c r="A483" s="82" t="s">
        <v>3504</v>
      </c>
      <c r="B483" s="107" t="s">
        <v>663</v>
      </c>
      <c r="C483" s="81">
        <f>VLOOKUP(GroupVertices[[#This Row],[Vertex]],Vertices[],MATCH("ID",Vertices[[#Headers],[Vertex]:[Top Word Pairs in Comment by Salience]],0),FALSE)</f>
        <v>446</v>
      </c>
    </row>
    <row r="484" spans="1:3" ht="15">
      <c r="A484" s="82" t="s">
        <v>3504</v>
      </c>
      <c r="B484" s="107" t="s">
        <v>662</v>
      </c>
      <c r="C484" s="81">
        <f>VLOOKUP(GroupVertices[[#This Row],[Vertex]],Vertices[],MATCH("ID",Vertices[[#Headers],[Vertex]:[Top Word Pairs in Comment by Salience]],0),FALSE)</f>
        <v>445</v>
      </c>
    </row>
    <row r="485" spans="1:3" ht="15">
      <c r="A485" s="82" t="s">
        <v>3504</v>
      </c>
      <c r="B485" s="107" t="s">
        <v>657</v>
      </c>
      <c r="C485" s="81">
        <f>VLOOKUP(GroupVertices[[#This Row],[Vertex]],Vertices[],MATCH("ID",Vertices[[#Headers],[Vertex]:[Top Word Pairs in Comment by Salience]],0),FALSE)</f>
        <v>440</v>
      </c>
    </row>
    <row r="486" spans="1:3" ht="15">
      <c r="A486" s="82" t="s">
        <v>3504</v>
      </c>
      <c r="B486" s="107" t="s">
        <v>656</v>
      </c>
      <c r="C486" s="81">
        <f>VLOOKUP(GroupVertices[[#This Row],[Vertex]],Vertices[],MATCH("ID",Vertices[[#Headers],[Vertex]:[Top Word Pairs in Comment by Salience]],0),FALSE)</f>
        <v>439</v>
      </c>
    </row>
    <row r="487" spans="1:3" ht="15">
      <c r="A487" s="82" t="s">
        <v>3504</v>
      </c>
      <c r="B487" s="107" t="s">
        <v>655</v>
      </c>
      <c r="C487" s="81">
        <f>VLOOKUP(GroupVertices[[#This Row],[Vertex]],Vertices[],MATCH("ID",Vertices[[#Headers],[Vertex]:[Top Word Pairs in Comment by Salience]],0),FALSE)</f>
        <v>438</v>
      </c>
    </row>
    <row r="488" spans="1:3" ht="15">
      <c r="A488" s="82" t="s">
        <v>3504</v>
      </c>
      <c r="B488" s="107" t="s">
        <v>654</v>
      </c>
      <c r="C488" s="81">
        <f>VLOOKUP(GroupVertices[[#This Row],[Vertex]],Vertices[],MATCH("ID",Vertices[[#Headers],[Vertex]:[Top Word Pairs in Comment by Salience]],0),FALSE)</f>
        <v>437</v>
      </c>
    </row>
    <row r="489" spans="1:3" ht="15">
      <c r="A489" s="82" t="s">
        <v>3504</v>
      </c>
      <c r="B489" s="107" t="s">
        <v>653</v>
      </c>
      <c r="C489" s="81">
        <f>VLOOKUP(GroupVertices[[#This Row],[Vertex]],Vertices[],MATCH("ID",Vertices[[#Headers],[Vertex]:[Top Word Pairs in Comment by Salience]],0),FALSE)</f>
        <v>436</v>
      </c>
    </row>
    <row r="490" spans="1:3" ht="15">
      <c r="A490" s="82" t="s">
        <v>3504</v>
      </c>
      <c r="B490" s="107" t="s">
        <v>652</v>
      </c>
      <c r="C490" s="81">
        <f>VLOOKUP(GroupVertices[[#This Row],[Vertex]],Vertices[],MATCH("ID",Vertices[[#Headers],[Vertex]:[Top Word Pairs in Comment by Salience]],0),FALSE)</f>
        <v>435</v>
      </c>
    </row>
    <row r="491" spans="1:3" ht="15">
      <c r="A491" s="82" t="s">
        <v>3504</v>
      </c>
      <c r="B491" s="107" t="s">
        <v>651</v>
      </c>
      <c r="C491" s="81">
        <f>VLOOKUP(GroupVertices[[#This Row],[Vertex]],Vertices[],MATCH("ID",Vertices[[#Headers],[Vertex]:[Top Word Pairs in Comment by Salience]],0),FALSE)</f>
        <v>434</v>
      </c>
    </row>
    <row r="492" spans="1:3" ht="15">
      <c r="A492" s="82" t="s">
        <v>3504</v>
      </c>
      <c r="B492" s="107" t="s">
        <v>650</v>
      </c>
      <c r="C492" s="81">
        <f>VLOOKUP(GroupVertices[[#This Row],[Vertex]],Vertices[],MATCH("ID",Vertices[[#Headers],[Vertex]:[Top Word Pairs in Comment by Salience]],0),FALSE)</f>
        <v>433</v>
      </c>
    </row>
    <row r="493" spans="1:3" ht="15">
      <c r="A493" s="82" t="s">
        <v>3504</v>
      </c>
      <c r="B493" s="107" t="s">
        <v>649</v>
      </c>
      <c r="C493" s="81">
        <f>VLOOKUP(GroupVertices[[#This Row],[Vertex]],Vertices[],MATCH("ID",Vertices[[#Headers],[Vertex]:[Top Word Pairs in Comment by Salience]],0),FALSE)</f>
        <v>432</v>
      </c>
    </row>
    <row r="494" spans="1:3" ht="15">
      <c r="A494" s="82" t="s">
        <v>3504</v>
      </c>
      <c r="B494" s="107" t="s">
        <v>648</v>
      </c>
      <c r="C494" s="81">
        <f>VLOOKUP(GroupVertices[[#This Row],[Vertex]],Vertices[],MATCH("ID",Vertices[[#Headers],[Vertex]:[Top Word Pairs in Comment by Salience]],0),FALSE)</f>
        <v>431</v>
      </c>
    </row>
    <row r="495" spans="1:3" ht="15">
      <c r="A495" s="82" t="s">
        <v>3504</v>
      </c>
      <c r="B495" s="107" t="s">
        <v>647</v>
      </c>
      <c r="C495" s="81">
        <f>VLOOKUP(GroupVertices[[#This Row],[Vertex]],Vertices[],MATCH("ID",Vertices[[#Headers],[Vertex]:[Top Word Pairs in Comment by Salience]],0),FALSE)</f>
        <v>430</v>
      </c>
    </row>
    <row r="496" spans="1:3" ht="15">
      <c r="A496" s="82" t="s">
        <v>3504</v>
      </c>
      <c r="B496" s="107" t="s">
        <v>646</v>
      </c>
      <c r="C496" s="81">
        <f>VLOOKUP(GroupVertices[[#This Row],[Vertex]],Vertices[],MATCH("ID",Vertices[[#Headers],[Vertex]:[Top Word Pairs in Comment by Salience]],0),FALSE)</f>
        <v>429</v>
      </c>
    </row>
    <row r="497" spans="1:3" ht="15">
      <c r="A497" s="82" t="s">
        <v>3504</v>
      </c>
      <c r="B497" s="107" t="s">
        <v>645</v>
      </c>
      <c r="C497" s="81">
        <f>VLOOKUP(GroupVertices[[#This Row],[Vertex]],Vertices[],MATCH("ID",Vertices[[#Headers],[Vertex]:[Top Word Pairs in Comment by Salience]],0),FALSE)</f>
        <v>428</v>
      </c>
    </row>
    <row r="498" spans="1:3" ht="15">
      <c r="A498" s="82" t="s">
        <v>3504</v>
      </c>
      <c r="B498" s="107" t="s">
        <v>644</v>
      </c>
      <c r="C498" s="81">
        <f>VLOOKUP(GroupVertices[[#This Row],[Vertex]],Vertices[],MATCH("ID",Vertices[[#Headers],[Vertex]:[Top Word Pairs in Comment by Salience]],0),FALSE)</f>
        <v>427</v>
      </c>
    </row>
    <row r="499" spans="1:3" ht="15">
      <c r="A499" s="82" t="s">
        <v>3504</v>
      </c>
      <c r="B499" s="107" t="s">
        <v>643</v>
      </c>
      <c r="C499" s="81">
        <f>VLOOKUP(GroupVertices[[#This Row],[Vertex]],Vertices[],MATCH("ID",Vertices[[#Headers],[Vertex]:[Top Word Pairs in Comment by Salience]],0),FALSE)</f>
        <v>426</v>
      </c>
    </row>
    <row r="500" spans="1:3" ht="15">
      <c r="A500" s="82" t="s">
        <v>3504</v>
      </c>
      <c r="B500" s="107" t="s">
        <v>642</v>
      </c>
      <c r="C500" s="81">
        <f>VLOOKUP(GroupVertices[[#This Row],[Vertex]],Vertices[],MATCH("ID",Vertices[[#Headers],[Vertex]:[Top Word Pairs in Comment by Salience]],0),FALSE)</f>
        <v>424</v>
      </c>
    </row>
    <row r="501" spans="1:3" ht="15">
      <c r="A501" s="82" t="s">
        <v>3505</v>
      </c>
      <c r="B501" s="107" t="s">
        <v>760</v>
      </c>
      <c r="C501" s="81">
        <f>VLOOKUP(GroupVertices[[#This Row],[Vertex]],Vertices[],MATCH("ID",Vertices[[#Headers],[Vertex]:[Top Word Pairs in Comment by Salience]],0),FALSE)</f>
        <v>541</v>
      </c>
    </row>
    <row r="502" spans="1:3" ht="15">
      <c r="A502" s="82" t="s">
        <v>3505</v>
      </c>
      <c r="B502" s="107" t="s">
        <v>761</v>
      </c>
      <c r="C502" s="81">
        <f>VLOOKUP(GroupVertices[[#This Row],[Vertex]],Vertices[],MATCH("ID",Vertices[[#Headers],[Vertex]:[Top Word Pairs in Comment by Salience]],0),FALSE)</f>
        <v>542</v>
      </c>
    </row>
    <row r="503" spans="1:3" ht="15">
      <c r="A503" s="82" t="s">
        <v>3505</v>
      </c>
      <c r="B503" s="107" t="s">
        <v>762</v>
      </c>
      <c r="C503" s="81">
        <f>VLOOKUP(GroupVertices[[#This Row],[Vertex]],Vertices[],MATCH("ID",Vertices[[#Headers],[Vertex]:[Top Word Pairs in Comment by Salience]],0),FALSE)</f>
        <v>543</v>
      </c>
    </row>
    <row r="504" spans="1:3" ht="15">
      <c r="A504" s="82" t="s">
        <v>3505</v>
      </c>
      <c r="B504" s="107" t="s">
        <v>763</v>
      </c>
      <c r="C504" s="81">
        <f>VLOOKUP(GroupVertices[[#This Row],[Vertex]],Vertices[],MATCH("ID",Vertices[[#Headers],[Vertex]:[Top Word Pairs in Comment by Salience]],0),FALSE)</f>
        <v>544</v>
      </c>
    </row>
    <row r="505" spans="1:3" ht="15">
      <c r="A505" s="82" t="s">
        <v>3505</v>
      </c>
      <c r="B505" s="107" t="s">
        <v>764</v>
      </c>
      <c r="C505" s="81">
        <f>VLOOKUP(GroupVertices[[#This Row],[Vertex]],Vertices[],MATCH("ID",Vertices[[#Headers],[Vertex]:[Top Word Pairs in Comment by Salience]],0),FALSE)</f>
        <v>545</v>
      </c>
    </row>
    <row r="506" spans="1:3" ht="15">
      <c r="A506" s="82" t="s">
        <v>3505</v>
      </c>
      <c r="B506" s="107" t="s">
        <v>765</v>
      </c>
      <c r="C506" s="81">
        <f>VLOOKUP(GroupVertices[[#This Row],[Vertex]],Vertices[],MATCH("ID",Vertices[[#Headers],[Vertex]:[Top Word Pairs in Comment by Salience]],0),FALSE)</f>
        <v>546</v>
      </c>
    </row>
    <row r="507" spans="1:3" ht="15">
      <c r="A507" s="82" t="s">
        <v>3505</v>
      </c>
      <c r="B507" s="107" t="s">
        <v>766</v>
      </c>
      <c r="C507" s="81">
        <f>VLOOKUP(GroupVertices[[#This Row],[Vertex]],Vertices[],MATCH("ID",Vertices[[#Headers],[Vertex]:[Top Word Pairs in Comment by Salience]],0),FALSE)</f>
        <v>547</v>
      </c>
    </row>
    <row r="508" spans="1:3" ht="15">
      <c r="A508" s="82" t="s">
        <v>3505</v>
      </c>
      <c r="B508" s="107" t="s">
        <v>767</v>
      </c>
      <c r="C508" s="81">
        <f>VLOOKUP(GroupVertices[[#This Row],[Vertex]],Vertices[],MATCH("ID",Vertices[[#Headers],[Vertex]:[Top Word Pairs in Comment by Salience]],0),FALSE)</f>
        <v>548</v>
      </c>
    </row>
    <row r="509" spans="1:3" ht="15">
      <c r="A509" s="82" t="s">
        <v>3505</v>
      </c>
      <c r="B509" s="107" t="s">
        <v>768</v>
      </c>
      <c r="C509" s="81">
        <f>VLOOKUP(GroupVertices[[#This Row],[Vertex]],Vertices[],MATCH("ID",Vertices[[#Headers],[Vertex]:[Top Word Pairs in Comment by Salience]],0),FALSE)</f>
        <v>549</v>
      </c>
    </row>
    <row r="510" spans="1:3" ht="15">
      <c r="A510" s="82" t="s">
        <v>3505</v>
      </c>
      <c r="B510" s="107" t="s">
        <v>769</v>
      </c>
      <c r="C510" s="81">
        <f>VLOOKUP(GroupVertices[[#This Row],[Vertex]],Vertices[],MATCH("ID",Vertices[[#Headers],[Vertex]:[Top Word Pairs in Comment by Salience]],0),FALSE)</f>
        <v>550</v>
      </c>
    </row>
    <row r="511" spans="1:3" ht="15">
      <c r="A511" s="82" t="s">
        <v>3505</v>
      </c>
      <c r="B511" s="107" t="s">
        <v>770</v>
      </c>
      <c r="C511" s="81">
        <f>VLOOKUP(GroupVertices[[#This Row],[Vertex]],Vertices[],MATCH("ID",Vertices[[#Headers],[Vertex]:[Top Word Pairs in Comment by Salience]],0),FALSE)</f>
        <v>551</v>
      </c>
    </row>
    <row r="512" spans="1:3" ht="15">
      <c r="A512" s="82" t="s">
        <v>3505</v>
      </c>
      <c r="B512" s="107" t="s">
        <v>771</v>
      </c>
      <c r="C512" s="81">
        <f>VLOOKUP(GroupVertices[[#This Row],[Vertex]],Vertices[],MATCH("ID",Vertices[[#Headers],[Vertex]:[Top Word Pairs in Comment by Salience]],0),FALSE)</f>
        <v>552</v>
      </c>
    </row>
    <row r="513" spans="1:3" ht="15">
      <c r="A513" s="82" t="s">
        <v>3505</v>
      </c>
      <c r="B513" s="107" t="s">
        <v>772</v>
      </c>
      <c r="C513" s="81">
        <f>VLOOKUP(GroupVertices[[#This Row],[Vertex]],Vertices[],MATCH("ID",Vertices[[#Headers],[Vertex]:[Top Word Pairs in Comment by Salience]],0),FALSE)</f>
        <v>553</v>
      </c>
    </row>
    <row r="514" spans="1:3" ht="15">
      <c r="A514" s="82" t="s">
        <v>3506</v>
      </c>
      <c r="B514" s="107" t="s">
        <v>681</v>
      </c>
      <c r="C514" s="81">
        <f>VLOOKUP(GroupVertices[[#This Row],[Vertex]],Vertices[],MATCH("ID",Vertices[[#Headers],[Vertex]:[Top Word Pairs in Comment by Salience]],0),FALSE)</f>
        <v>463</v>
      </c>
    </row>
    <row r="515" spans="1:3" ht="15">
      <c r="A515" s="82" t="s">
        <v>3506</v>
      </c>
      <c r="B515" s="107" t="s">
        <v>680</v>
      </c>
      <c r="C515" s="81">
        <f>VLOOKUP(GroupVertices[[#This Row],[Vertex]],Vertices[],MATCH("ID",Vertices[[#Headers],[Vertex]:[Top Word Pairs in Comment by Salience]],0),FALSE)</f>
        <v>453</v>
      </c>
    </row>
    <row r="516" spans="1:3" ht="15">
      <c r="A516" s="82" t="s">
        <v>3506</v>
      </c>
      <c r="B516" s="107" t="s">
        <v>679</v>
      </c>
      <c r="C516" s="81">
        <f>VLOOKUP(GroupVertices[[#This Row],[Vertex]],Vertices[],MATCH("ID",Vertices[[#Headers],[Vertex]:[Top Word Pairs in Comment by Salience]],0),FALSE)</f>
        <v>462</v>
      </c>
    </row>
    <row r="517" spans="1:3" ht="15">
      <c r="A517" s="82" t="s">
        <v>3506</v>
      </c>
      <c r="B517" s="107" t="s">
        <v>678</v>
      </c>
      <c r="C517" s="81">
        <f>VLOOKUP(GroupVertices[[#This Row],[Vertex]],Vertices[],MATCH("ID",Vertices[[#Headers],[Vertex]:[Top Word Pairs in Comment by Salience]],0),FALSE)</f>
        <v>461</v>
      </c>
    </row>
    <row r="518" spans="1:3" ht="15">
      <c r="A518" s="82" t="s">
        <v>3506</v>
      </c>
      <c r="B518" s="107" t="s">
        <v>677</v>
      </c>
      <c r="C518" s="81">
        <f>VLOOKUP(GroupVertices[[#This Row],[Vertex]],Vertices[],MATCH("ID",Vertices[[#Headers],[Vertex]:[Top Word Pairs in Comment by Salience]],0),FALSE)</f>
        <v>460</v>
      </c>
    </row>
    <row r="519" spans="1:3" ht="15">
      <c r="A519" s="82" t="s">
        <v>3506</v>
      </c>
      <c r="B519" s="107" t="s">
        <v>676</v>
      </c>
      <c r="C519" s="81">
        <f>VLOOKUP(GroupVertices[[#This Row],[Vertex]],Vertices[],MATCH("ID",Vertices[[#Headers],[Vertex]:[Top Word Pairs in Comment by Salience]],0),FALSE)</f>
        <v>459</v>
      </c>
    </row>
    <row r="520" spans="1:3" ht="15">
      <c r="A520" s="82" t="s">
        <v>3506</v>
      </c>
      <c r="B520" s="107" t="s">
        <v>675</v>
      </c>
      <c r="C520" s="81">
        <f>VLOOKUP(GroupVertices[[#This Row],[Vertex]],Vertices[],MATCH("ID",Vertices[[#Headers],[Vertex]:[Top Word Pairs in Comment by Salience]],0),FALSE)</f>
        <v>458</v>
      </c>
    </row>
    <row r="521" spans="1:3" ht="15">
      <c r="A521" s="82" t="s">
        <v>3506</v>
      </c>
      <c r="B521" s="107" t="s">
        <v>674</v>
      </c>
      <c r="C521" s="81">
        <f>VLOOKUP(GroupVertices[[#This Row],[Vertex]],Vertices[],MATCH("ID",Vertices[[#Headers],[Vertex]:[Top Word Pairs in Comment by Salience]],0),FALSE)</f>
        <v>457</v>
      </c>
    </row>
    <row r="522" spans="1:3" ht="15">
      <c r="A522" s="82" t="s">
        <v>3506</v>
      </c>
      <c r="B522" s="107" t="s">
        <v>673</v>
      </c>
      <c r="C522" s="81">
        <f>VLOOKUP(GroupVertices[[#This Row],[Vertex]],Vertices[],MATCH("ID",Vertices[[#Headers],[Vertex]:[Top Word Pairs in Comment by Salience]],0),FALSE)</f>
        <v>456</v>
      </c>
    </row>
    <row r="523" spans="1:3" ht="15">
      <c r="A523" s="82" t="s">
        <v>3506</v>
      </c>
      <c r="B523" s="107" t="s">
        <v>672</v>
      </c>
      <c r="C523" s="81">
        <f>VLOOKUP(GroupVertices[[#This Row],[Vertex]],Vertices[],MATCH("ID",Vertices[[#Headers],[Vertex]:[Top Word Pairs in Comment by Salience]],0),FALSE)</f>
        <v>455</v>
      </c>
    </row>
    <row r="524" spans="1:3" ht="15">
      <c r="A524" s="82" t="s">
        <v>3506</v>
      </c>
      <c r="B524" s="107" t="s">
        <v>671</v>
      </c>
      <c r="C524" s="81">
        <f>VLOOKUP(GroupVertices[[#This Row],[Vertex]],Vertices[],MATCH("ID",Vertices[[#Headers],[Vertex]:[Top Word Pairs in Comment by Salience]],0),FALSE)</f>
        <v>454</v>
      </c>
    </row>
    <row r="525" spans="1:3" ht="15">
      <c r="A525" s="82" t="s">
        <v>3506</v>
      </c>
      <c r="B525" s="107" t="s">
        <v>670</v>
      </c>
      <c r="C525" s="81">
        <f>VLOOKUP(GroupVertices[[#This Row],[Vertex]],Vertices[],MATCH("ID",Vertices[[#Headers],[Vertex]:[Top Word Pairs in Comment by Salience]],0),FALSE)</f>
        <v>452</v>
      </c>
    </row>
    <row r="526" spans="1:3" ht="15">
      <c r="A526" s="82" t="s">
        <v>3507</v>
      </c>
      <c r="B526" s="107" t="s">
        <v>463</v>
      </c>
      <c r="C526" s="81">
        <f>VLOOKUP(GroupVertices[[#This Row],[Vertex]],Vertices[],MATCH("ID",Vertices[[#Headers],[Vertex]:[Top Word Pairs in Comment by Salience]],0),FALSE)</f>
        <v>245</v>
      </c>
    </row>
    <row r="527" spans="1:3" ht="15">
      <c r="A527" s="82" t="s">
        <v>3507</v>
      </c>
      <c r="B527" s="107" t="s">
        <v>462</v>
      </c>
      <c r="C527" s="81">
        <f>VLOOKUP(GroupVertices[[#This Row],[Vertex]],Vertices[],MATCH("ID",Vertices[[#Headers],[Vertex]:[Top Word Pairs in Comment by Salience]],0),FALSE)</f>
        <v>238</v>
      </c>
    </row>
    <row r="528" spans="1:3" ht="15">
      <c r="A528" s="82" t="s">
        <v>3507</v>
      </c>
      <c r="B528" s="107" t="s">
        <v>461</v>
      </c>
      <c r="C528" s="81">
        <f>VLOOKUP(GroupVertices[[#This Row],[Vertex]],Vertices[],MATCH("ID",Vertices[[#Headers],[Vertex]:[Top Word Pairs in Comment by Salience]],0),FALSE)</f>
        <v>244</v>
      </c>
    </row>
    <row r="529" spans="1:3" ht="15">
      <c r="A529" s="82" t="s">
        <v>3507</v>
      </c>
      <c r="B529" s="107" t="s">
        <v>460</v>
      </c>
      <c r="C529" s="81">
        <f>VLOOKUP(GroupVertices[[#This Row],[Vertex]],Vertices[],MATCH("ID",Vertices[[#Headers],[Vertex]:[Top Word Pairs in Comment by Salience]],0),FALSE)</f>
        <v>243</v>
      </c>
    </row>
    <row r="530" spans="1:3" ht="15">
      <c r="A530" s="82" t="s">
        <v>3507</v>
      </c>
      <c r="B530" s="107" t="s">
        <v>459</v>
      </c>
      <c r="C530" s="81">
        <f>VLOOKUP(GroupVertices[[#This Row],[Vertex]],Vertices[],MATCH("ID",Vertices[[#Headers],[Vertex]:[Top Word Pairs in Comment by Salience]],0),FALSE)</f>
        <v>242</v>
      </c>
    </row>
    <row r="531" spans="1:3" ht="15">
      <c r="A531" s="82" t="s">
        <v>3507</v>
      </c>
      <c r="B531" s="107" t="s">
        <v>458</v>
      </c>
      <c r="C531" s="81">
        <f>VLOOKUP(GroupVertices[[#This Row],[Vertex]],Vertices[],MATCH("ID",Vertices[[#Headers],[Vertex]:[Top Word Pairs in Comment by Salience]],0),FALSE)</f>
        <v>241</v>
      </c>
    </row>
    <row r="532" spans="1:3" ht="15">
      <c r="A532" s="82" t="s">
        <v>3507</v>
      </c>
      <c r="B532" s="107" t="s">
        <v>457</v>
      </c>
      <c r="C532" s="81">
        <f>VLOOKUP(GroupVertices[[#This Row],[Vertex]],Vertices[],MATCH("ID",Vertices[[#Headers],[Vertex]:[Top Word Pairs in Comment by Salience]],0),FALSE)</f>
        <v>240</v>
      </c>
    </row>
    <row r="533" spans="1:3" ht="15">
      <c r="A533" s="82" t="s">
        <v>3507</v>
      </c>
      <c r="B533" s="107" t="s">
        <v>456</v>
      </c>
      <c r="C533" s="81">
        <f>VLOOKUP(GroupVertices[[#This Row],[Vertex]],Vertices[],MATCH("ID",Vertices[[#Headers],[Vertex]:[Top Word Pairs in Comment by Salience]],0),FALSE)</f>
        <v>239</v>
      </c>
    </row>
    <row r="534" spans="1:3" ht="15">
      <c r="A534" s="82" t="s">
        <v>3507</v>
      </c>
      <c r="B534" s="107" t="s">
        <v>455</v>
      </c>
      <c r="C534" s="81">
        <f>VLOOKUP(GroupVertices[[#This Row],[Vertex]],Vertices[],MATCH("ID",Vertices[[#Headers],[Vertex]:[Top Word Pairs in Comment by Salience]],0),FALSE)</f>
        <v>237</v>
      </c>
    </row>
    <row r="535" spans="1:3" ht="15">
      <c r="A535" s="82" t="s">
        <v>3508</v>
      </c>
      <c r="B535" s="107" t="s">
        <v>661</v>
      </c>
      <c r="C535" s="81">
        <f>VLOOKUP(GroupVertices[[#This Row],[Vertex]],Vertices[],MATCH("ID",Vertices[[#Headers],[Vertex]:[Top Word Pairs in Comment by Salience]],0),FALSE)</f>
        <v>444</v>
      </c>
    </row>
    <row r="536" spans="1:3" ht="15">
      <c r="A536" s="82" t="s">
        <v>3508</v>
      </c>
      <c r="B536" s="107" t="s">
        <v>660</v>
      </c>
      <c r="C536" s="81">
        <f>VLOOKUP(GroupVertices[[#This Row],[Vertex]],Vertices[],MATCH("ID",Vertices[[#Headers],[Vertex]:[Top Word Pairs in Comment by Salience]],0),FALSE)</f>
        <v>442</v>
      </c>
    </row>
    <row r="537" spans="1:3" ht="15">
      <c r="A537" s="82" t="s">
        <v>3508</v>
      </c>
      <c r="B537" s="107" t="s">
        <v>659</v>
      </c>
      <c r="C537" s="81">
        <f>VLOOKUP(GroupVertices[[#This Row],[Vertex]],Vertices[],MATCH("ID",Vertices[[#Headers],[Vertex]:[Top Word Pairs in Comment by Salience]],0),FALSE)</f>
        <v>443</v>
      </c>
    </row>
    <row r="538" spans="1:3" ht="15">
      <c r="A538" s="82" t="s">
        <v>3508</v>
      </c>
      <c r="B538" s="107" t="s">
        <v>658</v>
      </c>
      <c r="C538" s="81">
        <f>VLOOKUP(GroupVertices[[#This Row],[Vertex]],Vertices[],MATCH("ID",Vertices[[#Headers],[Vertex]:[Top Word Pairs in Comment by Salience]],0),FALSE)</f>
        <v>441</v>
      </c>
    </row>
    <row r="539" spans="1:3" ht="15">
      <c r="A539" s="82" t="s">
        <v>3509</v>
      </c>
      <c r="B539" s="107" t="s">
        <v>641</v>
      </c>
      <c r="C539" s="81">
        <f>VLOOKUP(GroupVertices[[#This Row],[Vertex]],Vertices[],MATCH("ID",Vertices[[#Headers],[Vertex]:[Top Word Pairs in Comment by Salience]],0),FALSE)</f>
        <v>423</v>
      </c>
    </row>
    <row r="540" spans="1:3" ht="15">
      <c r="A540" s="82" t="s">
        <v>3509</v>
      </c>
      <c r="B540" s="107" t="s">
        <v>640</v>
      </c>
      <c r="C540" s="81">
        <f>VLOOKUP(GroupVertices[[#This Row],[Vertex]],Vertices[],MATCH("ID",Vertices[[#Headers],[Vertex]:[Top Word Pairs in Comment by Salience]],0),FALSE)</f>
        <v>421</v>
      </c>
    </row>
    <row r="541" spans="1:3" ht="15">
      <c r="A541" s="82" t="s">
        <v>3509</v>
      </c>
      <c r="B541" s="107" t="s">
        <v>639</v>
      </c>
      <c r="C541" s="81">
        <f>VLOOKUP(GroupVertices[[#This Row],[Vertex]],Vertices[],MATCH("ID",Vertices[[#Headers],[Vertex]:[Top Word Pairs in Comment by Salience]],0),FALSE)</f>
        <v>422</v>
      </c>
    </row>
    <row r="542" spans="1:3" ht="15">
      <c r="A542" s="82" t="s">
        <v>3509</v>
      </c>
      <c r="B542" s="107" t="s">
        <v>638</v>
      </c>
      <c r="C542" s="81">
        <f>VLOOKUP(GroupVertices[[#This Row],[Vertex]],Vertices[],MATCH("ID",Vertices[[#Headers],[Vertex]:[Top Word Pairs in Comment by Salience]],0),FALSE)</f>
        <v>420</v>
      </c>
    </row>
    <row r="543" spans="1:3" ht="15">
      <c r="A543" s="82" t="s">
        <v>3510</v>
      </c>
      <c r="B543" s="107" t="s">
        <v>227</v>
      </c>
      <c r="C543" s="81">
        <f>VLOOKUP(GroupVertices[[#This Row],[Vertex]],Vertices[],MATCH("ID",Vertices[[#Headers],[Vertex]:[Top Word Pairs in Comment by Salience]],0),FALSE)</f>
        <v>8</v>
      </c>
    </row>
    <row r="544" spans="1:3" ht="15">
      <c r="A544" s="82" t="s">
        <v>3510</v>
      </c>
      <c r="B544" s="107" t="s">
        <v>226</v>
      </c>
      <c r="C544" s="81">
        <f>VLOOKUP(GroupVertices[[#This Row],[Vertex]],Vertices[],MATCH("ID",Vertices[[#Headers],[Vertex]:[Top Word Pairs in Comment by Salience]],0),FALSE)</f>
        <v>4</v>
      </c>
    </row>
    <row r="545" spans="1:3" ht="15">
      <c r="A545" s="82" t="s">
        <v>3510</v>
      </c>
      <c r="B545" s="107" t="s">
        <v>223</v>
      </c>
      <c r="C545" s="81">
        <f>VLOOKUP(GroupVertices[[#This Row],[Vertex]],Vertices[],MATCH("ID",Vertices[[#Headers],[Vertex]:[Top Word Pairs in Comment by Salience]],0),FALSE)</f>
        <v>5</v>
      </c>
    </row>
    <row r="546" spans="1:3" ht="15">
      <c r="A546" s="82" t="s">
        <v>3510</v>
      </c>
      <c r="B546" s="107" t="s">
        <v>773</v>
      </c>
      <c r="C546" s="81">
        <f>VLOOKUP(GroupVertices[[#This Row],[Vertex]],Vertices[],MATCH("ID",Vertices[[#Headers],[Vertex]:[Top Word Pairs in Comment by Salience]],0),FALSE)</f>
        <v>3</v>
      </c>
    </row>
    <row r="547" spans="1:3" ht="15">
      <c r="A547" s="82" t="s">
        <v>3511</v>
      </c>
      <c r="B547" s="107" t="s">
        <v>685</v>
      </c>
      <c r="C547" s="81">
        <f>VLOOKUP(GroupVertices[[#This Row],[Vertex]],Vertices[],MATCH("ID",Vertices[[#Headers],[Vertex]:[Top Word Pairs in Comment by Salience]],0),FALSE)</f>
        <v>467</v>
      </c>
    </row>
    <row r="548" spans="1:3" ht="15">
      <c r="A548" s="82" t="s">
        <v>3511</v>
      </c>
      <c r="B548" s="107" t="s">
        <v>684</v>
      </c>
      <c r="C548" s="81">
        <f>VLOOKUP(GroupVertices[[#This Row],[Vertex]],Vertices[],MATCH("ID",Vertices[[#Headers],[Vertex]:[Top Word Pairs in Comment by Salience]],0),FALSE)</f>
        <v>466</v>
      </c>
    </row>
    <row r="549" spans="1:3" ht="15">
      <c r="A549" s="82" t="s">
        <v>3512</v>
      </c>
      <c r="B549" s="107" t="s">
        <v>683</v>
      </c>
      <c r="C549" s="81">
        <f>VLOOKUP(GroupVertices[[#This Row],[Vertex]],Vertices[],MATCH("ID",Vertices[[#Headers],[Vertex]:[Top Word Pairs in Comment by Salience]],0),FALSE)</f>
        <v>465</v>
      </c>
    </row>
    <row r="550" spans="1:3" ht="15">
      <c r="A550" s="82" t="s">
        <v>3512</v>
      </c>
      <c r="B550" s="107" t="s">
        <v>682</v>
      </c>
      <c r="C550" s="81">
        <f>VLOOKUP(GroupVertices[[#This Row],[Vertex]],Vertices[],MATCH("ID",Vertices[[#Headers],[Vertex]:[Top Word Pairs in Comment by Salience]],0),FALSE)</f>
        <v>464</v>
      </c>
    </row>
    <row r="551" spans="1:3" ht="15">
      <c r="A551" s="82" t="s">
        <v>3513</v>
      </c>
      <c r="B551" s="107" t="s">
        <v>225</v>
      </c>
      <c r="C551" s="81">
        <f>VLOOKUP(GroupVertices[[#This Row],[Vertex]],Vertices[],MATCH("ID",Vertices[[#Headers],[Vertex]:[Top Word Pairs in Comment by Salience]],0),FALSE)</f>
        <v>7</v>
      </c>
    </row>
    <row r="552" spans="1:3" ht="15">
      <c r="A552" s="82" t="s">
        <v>3513</v>
      </c>
      <c r="B552" s="107" t="s">
        <v>224</v>
      </c>
      <c r="C552" s="81">
        <f>VLOOKUP(GroupVertices[[#This Row],[Vertex]],Vertices[],MATCH("ID",Vertices[[#Headers],[Vertex]:[Top Word Pairs in Comment by Salience]],0),FALSE)</f>
        <v>6</v>
      </c>
    </row>
  </sheetData>
  <dataValidations count="3" xWindow="58" yWindow="226">
    <dataValidation allowBlank="1" showInputMessage="1" showErrorMessage="1" promptTitle="Group Name" prompt="Enter the name of the group.  The group name must also be entered on the Groups worksheet." sqref="A2:A552"/>
    <dataValidation allowBlank="1" showInputMessage="1" showErrorMessage="1" promptTitle="Vertex Name" prompt="Enter the name of a vertex to include in the group." sqref="B2:B552"/>
    <dataValidation allowBlank="1" showInputMessage="1" promptTitle="Vertex ID" prompt="This is the value of the hidden ID cell in the Vertices worksheet.  It gets filled in by the items on the NodeXL, Analysis, Groups menu." sqref="C2:C5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4376</v>
      </c>
      <c r="B2" s="35" t="s">
        <v>192</v>
      </c>
      <c r="D2" s="32">
        <f>MIN(Vertices[Degree])</f>
        <v>0</v>
      </c>
      <c r="E2" s="3">
        <f>COUNTIF(Vertices[Degree],"&gt;= "&amp;D2)-COUNTIF(Vertices[Degree],"&gt;="&amp;D3)</f>
        <v>0</v>
      </c>
      <c r="F2" s="38">
        <f>MIN(Vertices[In-Degree])</f>
        <v>0</v>
      </c>
      <c r="G2" s="39">
        <f>COUNTIF(Vertices[In-Degree],"&gt;= "&amp;F2)-COUNTIF(Vertices[In-Degree],"&gt;="&amp;F3)</f>
        <v>544</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547</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355</v>
      </c>
      <c r="P2" s="38">
        <f>MIN(Vertices[PageRank])</f>
        <v>0.001579</v>
      </c>
      <c r="Q2" s="39">
        <f>COUNTIF(Vertices[PageRank],"&gt;= "&amp;P2)-COUNTIF(Vertices[PageRank],"&gt;="&amp;P3)</f>
        <v>544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5.764705882352941</v>
      </c>
      <c r="G3" s="41">
        <f>COUNTIF(Vertices[In-Degree],"&gt;= "&amp;F3)-COUNTIF(Vertices[In-Degree],"&gt;="&amp;F4)</f>
        <v>1</v>
      </c>
      <c r="H3" s="40">
        <f aca="true" t="shared" si="3" ref="H3:H35">H2+($H$36-$H$2)/BinDivisor</f>
        <v>1</v>
      </c>
      <c r="I3" s="41">
        <f>COUNTIF(Vertices[Out-Degree],"&gt;= "&amp;H3)-COUNTIF(Vertices[Out-Degree],"&gt;="&amp;H4)</f>
        <v>0</v>
      </c>
      <c r="J3" s="40">
        <f aca="true" t="shared" si="4" ref="J3:J35">J2+($J$36-$J$2)/BinDivisor</f>
        <v>1112.6470588235295</v>
      </c>
      <c r="K3" s="41">
        <f>COUNTIF(Vertices[Betweenness Centrality],"&gt;= "&amp;J3)-COUNTIF(Vertices[Betweenness Centrality],"&gt;="&amp;J4)</f>
        <v>0</v>
      </c>
      <c r="L3" s="40">
        <f aca="true" t="shared" si="5" ref="L3:L35">L2+($L$36-$L$2)/BinDivisor</f>
        <v>0.01042779411764706</v>
      </c>
      <c r="M3" s="41">
        <f>COUNTIF(Vertices[Closeness Centrality],"&gt;= "&amp;L3)-COUNTIF(Vertices[Closeness Centrality],"&gt;="&amp;L4)</f>
        <v>13</v>
      </c>
      <c r="N3" s="40">
        <f aca="true" t="shared" si="6" ref="N3:N35">N2+($N$36-$N$2)/BinDivisor</f>
        <v>0.021151823529411765</v>
      </c>
      <c r="O3" s="41">
        <f>COUNTIF(Vertices[Eigenvector Centrality],"&gt;= "&amp;N3)-COUNTIF(Vertices[Eigenvector Centrality],"&gt;="&amp;N4)</f>
        <v>0</v>
      </c>
      <c r="P3" s="40">
        <f aca="true" t="shared" si="7" ref="P3:P35">P2+($P$36-$P$2)/BinDivisor</f>
        <v>0.002937588235294118</v>
      </c>
      <c r="Q3" s="41">
        <f>COUNTIF(Vertices[PageRank],"&gt;= "&amp;P3)-COUNTIF(Vertices[PageRank],"&gt;="&amp;P4)</f>
        <v>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551</v>
      </c>
      <c r="D4" s="33">
        <f t="shared" si="1"/>
        <v>0</v>
      </c>
      <c r="E4" s="3">
        <f>COUNTIF(Vertices[Degree],"&gt;= "&amp;D4)-COUNTIF(Vertices[Degree],"&gt;="&amp;D5)</f>
        <v>0</v>
      </c>
      <c r="F4" s="38">
        <f t="shared" si="2"/>
        <v>11.529411764705882</v>
      </c>
      <c r="G4" s="39">
        <f>COUNTIF(Vertices[In-Degree],"&gt;= "&amp;F4)-COUNTIF(Vertices[In-Degree],"&gt;="&amp;F5)</f>
        <v>1</v>
      </c>
      <c r="H4" s="38">
        <f t="shared" si="3"/>
        <v>1</v>
      </c>
      <c r="I4" s="39">
        <f>COUNTIF(Vertices[Out-Degree],"&gt;= "&amp;H4)-COUNTIF(Vertices[Out-Degree],"&gt;="&amp;H5)</f>
        <v>0</v>
      </c>
      <c r="J4" s="38">
        <f t="shared" si="4"/>
        <v>2225.294117647059</v>
      </c>
      <c r="K4" s="39">
        <f>COUNTIF(Vertices[Betweenness Centrality],"&gt;= "&amp;J4)-COUNTIF(Vertices[Betweenness Centrality],"&gt;="&amp;J5)</f>
        <v>0</v>
      </c>
      <c r="L4" s="38">
        <f t="shared" si="5"/>
        <v>0.02085558823529412</v>
      </c>
      <c r="M4" s="39">
        <f>COUNTIF(Vertices[Closeness Centrality],"&gt;= "&amp;L4)-COUNTIF(Vertices[Closeness Centrality],"&gt;="&amp;L5)</f>
        <v>23</v>
      </c>
      <c r="N4" s="38">
        <f t="shared" si="6"/>
        <v>0.04230364705882353</v>
      </c>
      <c r="O4" s="39">
        <f>COUNTIF(Vertices[Eigenvector Centrality],"&gt;= "&amp;N4)-COUNTIF(Vertices[Eigenvector Centrality],"&gt;="&amp;N5)</f>
        <v>195</v>
      </c>
      <c r="P4" s="38">
        <f t="shared" si="7"/>
        <v>0.0042961764705882356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17.294117647058822</v>
      </c>
      <c r="G5" s="41">
        <f>COUNTIF(Vertices[In-Degree],"&gt;= "&amp;F5)-COUNTIF(Vertices[In-Degree],"&gt;="&amp;F6)</f>
        <v>0</v>
      </c>
      <c r="H5" s="40">
        <f t="shared" si="3"/>
        <v>1</v>
      </c>
      <c r="I5" s="41">
        <f>COUNTIF(Vertices[Out-Degree],"&gt;= "&amp;H5)-COUNTIF(Vertices[Out-Degree],"&gt;="&amp;H6)</f>
        <v>0</v>
      </c>
      <c r="J5" s="40">
        <f t="shared" si="4"/>
        <v>3337.9411764705883</v>
      </c>
      <c r="K5" s="41">
        <f>COUNTIF(Vertices[Betweenness Centrality],"&gt;= "&amp;J5)-COUNTIF(Vertices[Betweenness Centrality],"&gt;="&amp;J6)</f>
        <v>2</v>
      </c>
      <c r="L5" s="40">
        <f t="shared" si="5"/>
        <v>0.031283382352941175</v>
      </c>
      <c r="M5" s="41">
        <f>COUNTIF(Vertices[Closeness Centrality],"&gt;= "&amp;L5)-COUNTIF(Vertices[Closeness Centrality],"&gt;="&amp;L6)</f>
        <v>0</v>
      </c>
      <c r="N5" s="40">
        <f t="shared" si="6"/>
        <v>0.0634554705882353</v>
      </c>
      <c r="O5" s="41">
        <f>COUNTIF(Vertices[Eigenvector Centrality],"&gt;= "&amp;N5)-COUNTIF(Vertices[Eigenvector Centrality],"&gt;="&amp;N6)</f>
        <v>0</v>
      </c>
      <c r="P5" s="40">
        <f t="shared" si="7"/>
        <v>0.005654764705882353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551</v>
      </c>
      <c r="D6" s="33">
        <f t="shared" si="1"/>
        <v>0</v>
      </c>
      <c r="E6" s="3">
        <f>COUNTIF(Vertices[Degree],"&gt;= "&amp;D6)-COUNTIF(Vertices[Degree],"&gt;="&amp;D7)</f>
        <v>0</v>
      </c>
      <c r="F6" s="38">
        <f t="shared" si="2"/>
        <v>23.058823529411764</v>
      </c>
      <c r="G6" s="39">
        <f>COUNTIF(Vertices[In-Degree],"&gt;= "&amp;F6)-COUNTIF(Vertices[In-Degree],"&gt;="&amp;F7)</f>
        <v>1</v>
      </c>
      <c r="H6" s="38">
        <f t="shared" si="3"/>
        <v>1</v>
      </c>
      <c r="I6" s="39">
        <f>COUNTIF(Vertices[Out-Degree],"&gt;= "&amp;H6)-COUNTIF(Vertices[Out-Degree],"&gt;="&amp;H7)</f>
        <v>0</v>
      </c>
      <c r="J6" s="38">
        <f t="shared" si="4"/>
        <v>4450.588235294118</v>
      </c>
      <c r="K6" s="39">
        <f>COUNTIF(Vertices[Betweenness Centrality],"&gt;= "&amp;J6)-COUNTIF(Vertices[Betweenness Centrality],"&gt;="&amp;J7)</f>
        <v>0</v>
      </c>
      <c r="L6" s="38">
        <f t="shared" si="5"/>
        <v>0.04171117647058824</v>
      </c>
      <c r="M6" s="39">
        <f>COUNTIF(Vertices[Closeness Centrality],"&gt;= "&amp;L6)-COUNTIF(Vertices[Closeness Centrality],"&gt;="&amp;L7)</f>
        <v>1</v>
      </c>
      <c r="N6" s="38">
        <f t="shared" si="6"/>
        <v>0.08460729411764706</v>
      </c>
      <c r="O6" s="39">
        <f>COUNTIF(Vertices[Eigenvector Centrality],"&gt;= "&amp;N6)-COUNTIF(Vertices[Eigenvector Centrality],"&gt;="&amp;N7)</f>
        <v>0</v>
      </c>
      <c r="P6" s="38">
        <f t="shared" si="7"/>
        <v>0.007013352941176471</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28.823529411764707</v>
      </c>
      <c r="G7" s="41">
        <f>COUNTIF(Vertices[In-Degree],"&gt;= "&amp;F7)-COUNTIF(Vertices[In-Degree],"&gt;="&amp;F8)</f>
        <v>0</v>
      </c>
      <c r="H7" s="40">
        <f t="shared" si="3"/>
        <v>1</v>
      </c>
      <c r="I7" s="41">
        <f>COUNTIF(Vertices[Out-Degree],"&gt;= "&amp;H7)-COUNTIF(Vertices[Out-Degree],"&gt;="&amp;H8)</f>
        <v>0</v>
      </c>
      <c r="J7" s="40">
        <f t="shared" si="4"/>
        <v>5563.235294117648</v>
      </c>
      <c r="K7" s="41">
        <f>COUNTIF(Vertices[Betweenness Centrality],"&gt;= "&amp;J7)-COUNTIF(Vertices[Betweenness Centrality],"&gt;="&amp;J8)</f>
        <v>0</v>
      </c>
      <c r="L7" s="40">
        <f t="shared" si="5"/>
        <v>0.0521389705882353</v>
      </c>
      <c r="M7" s="41">
        <f>COUNTIF(Vertices[Closeness Centrality],"&gt;= "&amp;L7)-COUNTIF(Vertices[Closeness Centrality],"&gt;="&amp;L8)</f>
        <v>127</v>
      </c>
      <c r="N7" s="40">
        <f t="shared" si="6"/>
        <v>0.10575911764705882</v>
      </c>
      <c r="O7" s="41">
        <f>COUNTIF(Vertices[Eigenvector Centrality],"&gt;= "&amp;N7)-COUNTIF(Vertices[Eigenvector Centrality],"&gt;="&amp;N8)</f>
        <v>0</v>
      </c>
      <c r="P7" s="40">
        <f t="shared" si="7"/>
        <v>0.008371941176470589</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551</v>
      </c>
      <c r="D8" s="33">
        <f t="shared" si="1"/>
        <v>0</v>
      </c>
      <c r="E8" s="3">
        <f>COUNTIF(Vertices[Degree],"&gt;= "&amp;D8)-COUNTIF(Vertices[Degree],"&gt;="&amp;D9)</f>
        <v>0</v>
      </c>
      <c r="F8" s="38">
        <f t="shared" si="2"/>
        <v>34.588235294117645</v>
      </c>
      <c r="G8" s="39">
        <f>COUNTIF(Vertices[In-Degree],"&gt;= "&amp;F8)-COUNTIF(Vertices[In-Degree],"&gt;="&amp;F9)</f>
        <v>0</v>
      </c>
      <c r="H8" s="38">
        <f t="shared" si="3"/>
        <v>1</v>
      </c>
      <c r="I8" s="39">
        <f>COUNTIF(Vertices[Out-Degree],"&gt;= "&amp;H8)-COUNTIF(Vertices[Out-Degree],"&gt;="&amp;H9)</f>
        <v>0</v>
      </c>
      <c r="J8" s="38">
        <f t="shared" si="4"/>
        <v>6675.8823529411775</v>
      </c>
      <c r="K8" s="39">
        <f>COUNTIF(Vertices[Betweenness Centrality],"&gt;= "&amp;J8)-COUNTIF(Vertices[Betweenness Centrality],"&gt;="&amp;J9)</f>
        <v>0</v>
      </c>
      <c r="L8" s="38">
        <f t="shared" si="5"/>
        <v>0.06256676470588236</v>
      </c>
      <c r="M8" s="39">
        <f>COUNTIF(Vertices[Closeness Centrality],"&gt;= "&amp;L8)-COUNTIF(Vertices[Closeness Centrality],"&gt;="&amp;L9)</f>
        <v>0</v>
      </c>
      <c r="N8" s="38">
        <f t="shared" si="6"/>
        <v>0.1269109411764706</v>
      </c>
      <c r="O8" s="39">
        <f>COUNTIF(Vertices[Eigenvector Centrality],"&gt;= "&amp;N8)-COUNTIF(Vertices[Eigenvector Centrality],"&gt;="&amp;N9)</f>
        <v>0</v>
      </c>
      <c r="P8" s="38">
        <f t="shared" si="7"/>
        <v>0.009730529411764707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40.35294117647059</v>
      </c>
      <c r="G9" s="41">
        <f>COUNTIF(Vertices[In-Degree],"&gt;= "&amp;F9)-COUNTIF(Vertices[In-Degree],"&gt;="&amp;F10)</f>
        <v>0</v>
      </c>
      <c r="H9" s="40">
        <f t="shared" si="3"/>
        <v>1</v>
      </c>
      <c r="I9" s="41">
        <f>COUNTIF(Vertices[Out-Degree],"&gt;= "&amp;H9)-COUNTIF(Vertices[Out-Degree],"&gt;="&amp;H10)</f>
        <v>0</v>
      </c>
      <c r="J9" s="40">
        <f t="shared" si="4"/>
        <v>7788.529411764707</v>
      </c>
      <c r="K9" s="41">
        <f>COUNTIF(Vertices[Betweenness Centrality],"&gt;= "&amp;J9)-COUNTIF(Vertices[Betweenness Centrality],"&gt;="&amp;J10)</f>
        <v>0</v>
      </c>
      <c r="L9" s="40">
        <f t="shared" si="5"/>
        <v>0.07299455882352943</v>
      </c>
      <c r="M9" s="41">
        <f>COUNTIF(Vertices[Closeness Centrality],"&gt;= "&amp;L9)-COUNTIF(Vertices[Closeness Centrality],"&gt;="&amp;L10)</f>
        <v>0</v>
      </c>
      <c r="N9" s="40">
        <f t="shared" si="6"/>
        <v>0.14806276470588237</v>
      </c>
      <c r="O9" s="41">
        <f>COUNTIF(Vertices[Eigenvector Centrality],"&gt;= "&amp;N9)-COUNTIF(Vertices[Eigenvector Centrality],"&gt;="&amp;N10)</f>
        <v>0</v>
      </c>
      <c r="P9" s="40">
        <f t="shared" si="7"/>
        <v>0.011089117647058826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26</v>
      </c>
      <c r="D10" s="33">
        <f t="shared" si="1"/>
        <v>0</v>
      </c>
      <c r="E10" s="3">
        <f>COUNTIF(Vertices[Degree],"&gt;= "&amp;D10)-COUNTIF(Vertices[Degree],"&gt;="&amp;D11)</f>
        <v>0</v>
      </c>
      <c r="F10" s="38">
        <f t="shared" si="2"/>
        <v>46.11764705882353</v>
      </c>
      <c r="G10" s="39">
        <f>COUNTIF(Vertices[In-Degree],"&gt;= "&amp;F10)-COUNTIF(Vertices[In-Degree],"&gt;="&amp;F11)</f>
        <v>0</v>
      </c>
      <c r="H10" s="38">
        <f t="shared" si="3"/>
        <v>1</v>
      </c>
      <c r="I10" s="39">
        <f>COUNTIF(Vertices[Out-Degree],"&gt;= "&amp;H10)-COUNTIF(Vertices[Out-Degree],"&gt;="&amp;H11)</f>
        <v>0</v>
      </c>
      <c r="J10" s="38">
        <f t="shared" si="4"/>
        <v>8901.176470588236</v>
      </c>
      <c r="K10" s="39">
        <f>COUNTIF(Vertices[Betweenness Centrality],"&gt;= "&amp;J10)-COUNTIF(Vertices[Betweenness Centrality],"&gt;="&amp;J11)</f>
        <v>0</v>
      </c>
      <c r="L10" s="38">
        <f t="shared" si="5"/>
        <v>0.08342235294117649</v>
      </c>
      <c r="M10" s="39">
        <f>COUNTIF(Vertices[Closeness Centrality],"&gt;= "&amp;L10)-COUNTIF(Vertices[Closeness Centrality],"&gt;="&amp;L11)</f>
        <v>0</v>
      </c>
      <c r="N10" s="38">
        <f t="shared" si="6"/>
        <v>0.16921458823529412</v>
      </c>
      <c r="O10" s="39">
        <f>COUNTIF(Vertices[Eigenvector Centrality],"&gt;= "&amp;N10)-COUNTIF(Vertices[Eigenvector Centrality],"&gt;="&amp;N11)</f>
        <v>0</v>
      </c>
      <c r="P10" s="38">
        <f t="shared" si="7"/>
        <v>0.012447705882352944</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51.88235294117647</v>
      </c>
      <c r="G11" s="41">
        <f>COUNTIF(Vertices[In-Degree],"&gt;= "&amp;F11)-COUNTIF(Vertices[In-Degree],"&gt;="&amp;F12)</f>
        <v>0</v>
      </c>
      <c r="H11" s="40">
        <f t="shared" si="3"/>
        <v>1</v>
      </c>
      <c r="I11" s="41">
        <f>COUNTIF(Vertices[Out-Degree],"&gt;= "&amp;H11)-COUNTIF(Vertices[Out-Degree],"&gt;="&amp;H12)</f>
        <v>0</v>
      </c>
      <c r="J11" s="40">
        <f t="shared" si="4"/>
        <v>10013.823529411766</v>
      </c>
      <c r="K11" s="41">
        <f>COUNTIF(Vertices[Betweenness Centrality],"&gt;= "&amp;J11)-COUNTIF(Vertices[Betweenness Centrality],"&gt;="&amp;J12)</f>
        <v>0</v>
      </c>
      <c r="L11" s="40">
        <f t="shared" si="5"/>
        <v>0.09385014705882355</v>
      </c>
      <c r="M11" s="41">
        <f>COUNTIF(Vertices[Closeness Centrality],"&gt;= "&amp;L11)-COUNTIF(Vertices[Closeness Centrality],"&gt;="&amp;L12)</f>
        <v>0</v>
      </c>
      <c r="N11" s="40">
        <f t="shared" si="6"/>
        <v>0.19036641176470587</v>
      </c>
      <c r="O11" s="41">
        <f>COUNTIF(Vertices[Eigenvector Centrality],"&gt;= "&amp;N11)-COUNTIF(Vertices[Eigenvector Centrality],"&gt;="&amp;N12)</f>
        <v>0</v>
      </c>
      <c r="P11" s="40">
        <f t="shared" si="7"/>
        <v>0.013806294117647062</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57.64705882352941</v>
      </c>
      <c r="G12" s="39">
        <f>COUNTIF(Vertices[In-Degree],"&gt;= "&amp;F12)-COUNTIF(Vertices[In-Degree],"&gt;="&amp;F13)</f>
        <v>1</v>
      </c>
      <c r="H12" s="38">
        <f t="shared" si="3"/>
        <v>1</v>
      </c>
      <c r="I12" s="39">
        <f>COUNTIF(Vertices[Out-Degree],"&gt;= "&amp;H12)-COUNTIF(Vertices[Out-Degree],"&gt;="&amp;H13)</f>
        <v>0</v>
      </c>
      <c r="J12" s="38">
        <f t="shared" si="4"/>
        <v>11126.470588235296</v>
      </c>
      <c r="K12" s="39">
        <f>COUNTIF(Vertices[Betweenness Centrality],"&gt;= "&amp;J12)-COUNTIF(Vertices[Betweenness Centrality],"&gt;="&amp;J13)</f>
        <v>0</v>
      </c>
      <c r="L12" s="38">
        <f t="shared" si="5"/>
        <v>0.10427794117647061</v>
      </c>
      <c r="M12" s="39">
        <f>COUNTIF(Vertices[Closeness Centrality],"&gt;= "&amp;L12)-COUNTIF(Vertices[Closeness Centrality],"&gt;="&amp;L13)</f>
        <v>1</v>
      </c>
      <c r="N12" s="38">
        <f t="shared" si="6"/>
        <v>0.21151823529411762</v>
      </c>
      <c r="O12" s="39">
        <f>COUNTIF(Vertices[Eigenvector Centrality],"&gt;= "&amp;N12)-COUNTIF(Vertices[Eigenvector Centrality],"&gt;="&amp;N13)</f>
        <v>0</v>
      </c>
      <c r="P12" s="38">
        <f t="shared" si="7"/>
        <v>0.01516488235294118</v>
      </c>
      <c r="Q12" s="39">
        <f>COUNTIF(Vertices[PageRank],"&gt;= "&amp;P12)-COUNTIF(Vertices[PageRank],"&gt;="&amp;P13)</f>
        <v>1</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63.411764705882355</v>
      </c>
      <c r="G13" s="41">
        <f>COUNTIF(Vertices[In-Degree],"&gt;= "&amp;F13)-COUNTIF(Vertices[In-Degree],"&gt;="&amp;F14)</f>
        <v>1</v>
      </c>
      <c r="H13" s="40">
        <f t="shared" si="3"/>
        <v>1</v>
      </c>
      <c r="I13" s="41">
        <f>COUNTIF(Vertices[Out-Degree],"&gt;= "&amp;H13)-COUNTIF(Vertices[Out-Degree],"&gt;="&amp;H14)</f>
        <v>0</v>
      </c>
      <c r="J13" s="40">
        <f t="shared" si="4"/>
        <v>12239.117647058825</v>
      </c>
      <c r="K13" s="41">
        <f>COUNTIF(Vertices[Betweenness Centrality],"&gt;= "&amp;J13)-COUNTIF(Vertices[Betweenness Centrality],"&gt;="&amp;J14)</f>
        <v>0</v>
      </c>
      <c r="L13" s="40">
        <f t="shared" si="5"/>
        <v>0.11470573529411768</v>
      </c>
      <c r="M13" s="41">
        <f>COUNTIF(Vertices[Closeness Centrality],"&gt;= "&amp;L13)-COUNTIF(Vertices[Closeness Centrality],"&gt;="&amp;L14)</f>
        <v>1</v>
      </c>
      <c r="N13" s="40">
        <f t="shared" si="6"/>
        <v>0.23267005882352937</v>
      </c>
      <c r="O13" s="41">
        <f>COUNTIF(Vertices[Eigenvector Centrality],"&gt;= "&amp;N13)-COUNTIF(Vertices[Eigenvector Centrality],"&gt;="&amp;N14)</f>
        <v>0</v>
      </c>
      <c r="P13" s="40">
        <f t="shared" si="7"/>
        <v>0.0165234705882353</v>
      </c>
      <c r="Q13" s="41">
        <f>COUNTIF(Vertices[PageRank],"&gt;= "&amp;P13)-COUNTIF(Vertices[PageRank],"&gt;="&amp;P14)</f>
        <v>1</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69.17647058823529</v>
      </c>
      <c r="G14" s="39">
        <f>COUNTIF(Vertices[In-Degree],"&gt;= "&amp;F14)-COUNTIF(Vertices[In-Degree],"&gt;="&amp;F15)</f>
        <v>0</v>
      </c>
      <c r="H14" s="38">
        <f t="shared" si="3"/>
        <v>1</v>
      </c>
      <c r="I14" s="39">
        <f>COUNTIF(Vertices[Out-Degree],"&gt;= "&amp;H14)-COUNTIF(Vertices[Out-Degree],"&gt;="&amp;H15)</f>
        <v>0</v>
      </c>
      <c r="J14" s="38">
        <f t="shared" si="4"/>
        <v>13351.764705882355</v>
      </c>
      <c r="K14" s="39">
        <f>COUNTIF(Vertices[Betweenness Centrality],"&gt;= "&amp;J14)-COUNTIF(Vertices[Betweenness Centrality],"&gt;="&amp;J15)</f>
        <v>0</v>
      </c>
      <c r="L14" s="38">
        <f t="shared" si="5"/>
        <v>0.12513352941176473</v>
      </c>
      <c r="M14" s="39">
        <f>COUNTIF(Vertices[Closeness Centrality],"&gt;= "&amp;L14)-COUNTIF(Vertices[Closeness Centrality],"&gt;="&amp;L15)</f>
        <v>0</v>
      </c>
      <c r="N14" s="38">
        <f t="shared" si="6"/>
        <v>0.2538218823529411</v>
      </c>
      <c r="O14" s="39">
        <f>COUNTIF(Vertices[Eigenvector Centrality],"&gt;= "&amp;N14)-COUNTIF(Vertices[Eigenvector Centrality],"&gt;="&amp;N15)</f>
        <v>0</v>
      </c>
      <c r="P14" s="38">
        <f t="shared" si="7"/>
        <v>0.017882058823529418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26</v>
      </c>
      <c r="D15" s="33">
        <f t="shared" si="1"/>
        <v>0</v>
      </c>
      <c r="E15" s="3">
        <f>COUNTIF(Vertices[Degree],"&gt;= "&amp;D15)-COUNTIF(Vertices[Degree],"&gt;="&amp;D16)</f>
        <v>0</v>
      </c>
      <c r="F15" s="40">
        <f t="shared" si="2"/>
        <v>74.94117647058823</v>
      </c>
      <c r="G15" s="41">
        <f>COUNTIF(Vertices[In-Degree],"&gt;= "&amp;F15)-COUNTIF(Vertices[In-Degree],"&gt;="&amp;F16)</f>
        <v>0</v>
      </c>
      <c r="H15" s="40">
        <f t="shared" si="3"/>
        <v>1</v>
      </c>
      <c r="I15" s="41">
        <f>COUNTIF(Vertices[Out-Degree],"&gt;= "&amp;H15)-COUNTIF(Vertices[Out-Degree],"&gt;="&amp;H16)</f>
        <v>0</v>
      </c>
      <c r="J15" s="40">
        <f t="shared" si="4"/>
        <v>14464.411764705885</v>
      </c>
      <c r="K15" s="41">
        <f>COUNTIF(Vertices[Betweenness Centrality],"&gt;= "&amp;J15)-COUNTIF(Vertices[Betweenness Centrality],"&gt;="&amp;J16)</f>
        <v>0</v>
      </c>
      <c r="L15" s="40">
        <f t="shared" si="5"/>
        <v>0.13556132352941178</v>
      </c>
      <c r="M15" s="41">
        <f>COUNTIF(Vertices[Closeness Centrality],"&gt;= "&amp;L15)-COUNTIF(Vertices[Closeness Centrality],"&gt;="&amp;L16)</f>
        <v>149</v>
      </c>
      <c r="N15" s="40">
        <f t="shared" si="6"/>
        <v>0.27497370588235287</v>
      </c>
      <c r="O15" s="41">
        <f>COUNTIF(Vertices[Eigenvector Centrality],"&gt;= "&amp;N15)-COUNTIF(Vertices[Eigenvector Centrality],"&gt;="&amp;N16)</f>
        <v>0</v>
      </c>
      <c r="P15" s="40">
        <f t="shared" si="7"/>
        <v>0.019240647058823536</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13</v>
      </c>
      <c r="D16" s="33">
        <f t="shared" si="1"/>
        <v>0</v>
      </c>
      <c r="E16" s="3">
        <f>COUNTIF(Vertices[Degree],"&gt;= "&amp;D16)-COUNTIF(Vertices[Degree],"&gt;="&amp;D17)</f>
        <v>0</v>
      </c>
      <c r="F16" s="38">
        <f t="shared" si="2"/>
        <v>80.70588235294117</v>
      </c>
      <c r="G16" s="39">
        <f>COUNTIF(Vertices[In-Degree],"&gt;= "&amp;F16)-COUNTIF(Vertices[In-Degree],"&gt;="&amp;F17)</f>
        <v>0</v>
      </c>
      <c r="H16" s="38">
        <f t="shared" si="3"/>
        <v>1</v>
      </c>
      <c r="I16" s="39">
        <f>COUNTIF(Vertices[Out-Degree],"&gt;= "&amp;H16)-COUNTIF(Vertices[Out-Degree],"&gt;="&amp;H17)</f>
        <v>0</v>
      </c>
      <c r="J16" s="38">
        <f t="shared" si="4"/>
        <v>15577.058823529414</v>
      </c>
      <c r="K16" s="39">
        <f>COUNTIF(Vertices[Betweenness Centrality],"&gt;= "&amp;J16)-COUNTIF(Vertices[Betweenness Centrality],"&gt;="&amp;J17)</f>
        <v>0</v>
      </c>
      <c r="L16" s="38">
        <f t="shared" si="5"/>
        <v>0.14598911764705882</v>
      </c>
      <c r="M16" s="39">
        <f>COUNTIF(Vertices[Closeness Centrality],"&gt;= "&amp;L16)-COUNTIF(Vertices[Closeness Centrality],"&gt;="&amp;L17)</f>
        <v>0</v>
      </c>
      <c r="N16" s="38">
        <f t="shared" si="6"/>
        <v>0.2961255294117646</v>
      </c>
      <c r="O16" s="39">
        <f>COUNTIF(Vertices[Eigenvector Centrality],"&gt;= "&amp;N16)-COUNTIF(Vertices[Eigenvector Centrality],"&gt;="&amp;N17)</f>
        <v>0</v>
      </c>
      <c r="P16" s="38">
        <f t="shared" si="7"/>
        <v>0.020599235294117654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196</v>
      </c>
      <c r="D17" s="33">
        <f t="shared" si="1"/>
        <v>0</v>
      </c>
      <c r="E17" s="3">
        <f>COUNTIF(Vertices[Degree],"&gt;= "&amp;D17)-COUNTIF(Vertices[Degree],"&gt;="&amp;D18)</f>
        <v>0</v>
      </c>
      <c r="F17" s="40">
        <f t="shared" si="2"/>
        <v>86.47058823529412</v>
      </c>
      <c r="G17" s="41">
        <f>COUNTIF(Vertices[In-Degree],"&gt;= "&amp;F17)-COUNTIF(Vertices[In-Degree],"&gt;="&amp;F18)</f>
        <v>0</v>
      </c>
      <c r="H17" s="40">
        <f t="shared" si="3"/>
        <v>1</v>
      </c>
      <c r="I17" s="41">
        <f>COUNTIF(Vertices[Out-Degree],"&gt;= "&amp;H17)-COUNTIF(Vertices[Out-Degree],"&gt;="&amp;H18)</f>
        <v>0</v>
      </c>
      <c r="J17" s="40">
        <f t="shared" si="4"/>
        <v>16689.705882352944</v>
      </c>
      <c r="K17" s="41">
        <f>COUNTIF(Vertices[Betweenness Centrality],"&gt;= "&amp;J17)-COUNTIF(Vertices[Betweenness Centrality],"&gt;="&amp;J18)</f>
        <v>0</v>
      </c>
      <c r="L17" s="40">
        <f t="shared" si="5"/>
        <v>0.15641691176470587</v>
      </c>
      <c r="M17" s="41">
        <f>COUNTIF(Vertices[Closeness Centrality],"&gt;= "&amp;L17)-COUNTIF(Vertices[Closeness Centrality],"&gt;="&amp;L18)</f>
        <v>0</v>
      </c>
      <c r="N17" s="40">
        <f t="shared" si="6"/>
        <v>0.31727735294117637</v>
      </c>
      <c r="O17" s="41">
        <f>COUNTIF(Vertices[Eigenvector Centrality],"&gt;= "&amp;N17)-COUNTIF(Vertices[Eigenvector Centrality],"&gt;="&amp;N18)</f>
        <v>0</v>
      </c>
      <c r="P17" s="40">
        <f t="shared" si="7"/>
        <v>0.021957823529411773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196</v>
      </c>
      <c r="D18" s="33">
        <f t="shared" si="1"/>
        <v>0</v>
      </c>
      <c r="E18" s="3">
        <f>COUNTIF(Vertices[Degree],"&gt;= "&amp;D18)-COUNTIF(Vertices[Degree],"&gt;="&amp;D19)</f>
        <v>0</v>
      </c>
      <c r="F18" s="38">
        <f t="shared" si="2"/>
        <v>92.23529411764706</v>
      </c>
      <c r="G18" s="39">
        <f>COUNTIF(Vertices[In-Degree],"&gt;= "&amp;F18)-COUNTIF(Vertices[In-Degree],"&gt;="&amp;F19)</f>
        <v>0</v>
      </c>
      <c r="H18" s="38">
        <f t="shared" si="3"/>
        <v>1</v>
      </c>
      <c r="I18" s="39">
        <f>COUNTIF(Vertices[Out-Degree],"&gt;= "&amp;H18)-COUNTIF(Vertices[Out-Degree],"&gt;="&amp;H19)</f>
        <v>0</v>
      </c>
      <c r="J18" s="38">
        <f t="shared" si="4"/>
        <v>17802.352941176472</v>
      </c>
      <c r="K18" s="39">
        <f>COUNTIF(Vertices[Betweenness Centrality],"&gt;= "&amp;J18)-COUNTIF(Vertices[Betweenness Centrality],"&gt;="&amp;J19)</f>
        <v>0</v>
      </c>
      <c r="L18" s="38">
        <f t="shared" si="5"/>
        <v>0.16684470588235292</v>
      </c>
      <c r="M18" s="39">
        <f>COUNTIF(Vertices[Closeness Centrality],"&gt;= "&amp;L18)-COUNTIF(Vertices[Closeness Centrality],"&gt;="&amp;L19)</f>
        <v>0</v>
      </c>
      <c r="N18" s="38">
        <f t="shared" si="6"/>
        <v>0.3384291764705881</v>
      </c>
      <c r="O18" s="39">
        <f>COUNTIF(Vertices[Eigenvector Centrality],"&gt;= "&amp;N18)-COUNTIF(Vertices[Eigenvector Centrality],"&gt;="&amp;N19)</f>
        <v>0</v>
      </c>
      <c r="P18" s="38">
        <f t="shared" si="7"/>
        <v>0.02331641176470589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98</v>
      </c>
      <c r="G19" s="41">
        <f>COUNTIF(Vertices[In-Degree],"&gt;= "&amp;F19)-COUNTIF(Vertices[In-Degree],"&gt;="&amp;F20)</f>
        <v>0</v>
      </c>
      <c r="H19" s="40">
        <f t="shared" si="3"/>
        <v>1</v>
      </c>
      <c r="I19" s="41">
        <f>COUNTIF(Vertices[Out-Degree],"&gt;= "&amp;H19)-COUNTIF(Vertices[Out-Degree],"&gt;="&amp;H20)</f>
        <v>0</v>
      </c>
      <c r="J19" s="40">
        <f t="shared" si="4"/>
        <v>18915</v>
      </c>
      <c r="K19" s="41">
        <f>COUNTIF(Vertices[Betweenness Centrality],"&gt;= "&amp;J19)-COUNTIF(Vertices[Betweenness Centrality],"&gt;="&amp;J20)</f>
        <v>0</v>
      </c>
      <c r="L19" s="40">
        <f t="shared" si="5"/>
        <v>0.17727249999999997</v>
      </c>
      <c r="M19" s="41">
        <f>COUNTIF(Vertices[Closeness Centrality],"&gt;= "&amp;L19)-COUNTIF(Vertices[Closeness Centrality],"&gt;="&amp;L20)</f>
        <v>195</v>
      </c>
      <c r="N19" s="40">
        <f t="shared" si="6"/>
        <v>0.3595809999999999</v>
      </c>
      <c r="O19" s="41">
        <f>COUNTIF(Vertices[Eigenvector Centrality],"&gt;= "&amp;N19)-COUNTIF(Vertices[Eigenvector Centrality],"&gt;="&amp;N20)</f>
        <v>0</v>
      </c>
      <c r="P19" s="40">
        <f t="shared" si="7"/>
        <v>0.02467500000000001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103.76470588235294</v>
      </c>
      <c r="G20" s="39">
        <f>COUNTIF(Vertices[In-Degree],"&gt;= "&amp;F20)-COUNTIF(Vertices[In-Degree],"&gt;="&amp;F21)</f>
        <v>0</v>
      </c>
      <c r="H20" s="38">
        <f t="shared" si="3"/>
        <v>1</v>
      </c>
      <c r="I20" s="39">
        <f>COUNTIF(Vertices[Out-Degree],"&gt;= "&amp;H20)-COUNTIF(Vertices[Out-Degree],"&gt;="&amp;H21)</f>
        <v>0</v>
      </c>
      <c r="J20" s="38">
        <f t="shared" si="4"/>
        <v>20027.647058823528</v>
      </c>
      <c r="K20" s="39">
        <f>COUNTIF(Vertices[Betweenness Centrality],"&gt;= "&amp;J20)-COUNTIF(Vertices[Betweenness Centrality],"&gt;="&amp;J21)</f>
        <v>0</v>
      </c>
      <c r="L20" s="38">
        <f t="shared" si="5"/>
        <v>0.18770029411764702</v>
      </c>
      <c r="M20" s="39">
        <f>COUNTIF(Vertices[Closeness Centrality],"&gt;= "&amp;L20)-COUNTIF(Vertices[Closeness Centrality],"&gt;="&amp;L21)</f>
        <v>0</v>
      </c>
      <c r="N20" s="38">
        <f t="shared" si="6"/>
        <v>0.3807328235294116</v>
      </c>
      <c r="O20" s="39">
        <f>COUNTIF(Vertices[Eigenvector Centrality],"&gt;= "&amp;N20)-COUNTIF(Vertices[Eigenvector Centrality],"&gt;="&amp;N21)</f>
        <v>0</v>
      </c>
      <c r="P20" s="38">
        <f t="shared" si="7"/>
        <v>0.026033588235294128</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1.969308</v>
      </c>
      <c r="D21" s="33">
        <f t="shared" si="1"/>
        <v>0</v>
      </c>
      <c r="E21" s="3">
        <f>COUNTIF(Vertices[Degree],"&gt;= "&amp;D21)-COUNTIF(Vertices[Degree],"&gt;="&amp;D22)</f>
        <v>0</v>
      </c>
      <c r="F21" s="40">
        <f t="shared" si="2"/>
        <v>109.52941176470588</v>
      </c>
      <c r="G21" s="41">
        <f>COUNTIF(Vertices[In-Degree],"&gt;= "&amp;F21)-COUNTIF(Vertices[In-Degree],"&gt;="&amp;F22)</f>
        <v>0</v>
      </c>
      <c r="H21" s="40">
        <f t="shared" si="3"/>
        <v>1</v>
      </c>
      <c r="I21" s="41">
        <f>COUNTIF(Vertices[Out-Degree],"&gt;= "&amp;H21)-COUNTIF(Vertices[Out-Degree],"&gt;="&amp;H22)</f>
        <v>0</v>
      </c>
      <c r="J21" s="40">
        <f t="shared" si="4"/>
        <v>21140.294117647056</v>
      </c>
      <c r="K21" s="41">
        <f>COUNTIF(Vertices[Betweenness Centrality],"&gt;= "&amp;J21)-COUNTIF(Vertices[Betweenness Centrality],"&gt;="&amp;J22)</f>
        <v>1</v>
      </c>
      <c r="L21" s="40">
        <f t="shared" si="5"/>
        <v>0.19812808823529407</v>
      </c>
      <c r="M21" s="41">
        <f>COUNTIF(Vertices[Closeness Centrality],"&gt;= "&amp;L21)-COUNTIF(Vertices[Closeness Centrality],"&gt;="&amp;L22)</f>
        <v>0</v>
      </c>
      <c r="N21" s="40">
        <f t="shared" si="6"/>
        <v>0.4018846470588234</v>
      </c>
      <c r="O21" s="41">
        <f>COUNTIF(Vertices[Eigenvector Centrality],"&gt;= "&amp;N21)-COUNTIF(Vertices[Eigenvector Centrality],"&gt;="&amp;N22)</f>
        <v>0</v>
      </c>
      <c r="P21" s="40">
        <f t="shared" si="7"/>
        <v>0.027392176470588246</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115.29411764705883</v>
      </c>
      <c r="G22" s="39">
        <f>COUNTIF(Vertices[In-Degree],"&gt;= "&amp;F22)-COUNTIF(Vertices[In-Degree],"&gt;="&amp;F23)</f>
        <v>0</v>
      </c>
      <c r="H22" s="38">
        <f t="shared" si="3"/>
        <v>1</v>
      </c>
      <c r="I22" s="39">
        <f>COUNTIF(Vertices[Out-Degree],"&gt;= "&amp;H22)-COUNTIF(Vertices[Out-Degree],"&gt;="&amp;H23)</f>
        <v>0</v>
      </c>
      <c r="J22" s="38">
        <f t="shared" si="4"/>
        <v>22252.941176470584</v>
      </c>
      <c r="K22" s="39">
        <f>COUNTIF(Vertices[Betweenness Centrality],"&gt;= "&amp;J22)-COUNTIF(Vertices[Betweenness Centrality],"&gt;="&amp;J23)</f>
        <v>0</v>
      </c>
      <c r="L22" s="38">
        <f t="shared" si="5"/>
        <v>0.20855588235294112</v>
      </c>
      <c r="M22" s="39">
        <f>COUNTIF(Vertices[Closeness Centrality],"&gt;= "&amp;L22)-COUNTIF(Vertices[Closeness Centrality],"&gt;="&amp;L23)</f>
        <v>0</v>
      </c>
      <c r="N22" s="38">
        <f t="shared" si="6"/>
        <v>0.4230364705882351</v>
      </c>
      <c r="O22" s="39">
        <f>COUNTIF(Vertices[Eigenvector Centrality],"&gt;= "&amp;N22)-COUNTIF(Vertices[Eigenvector Centrality],"&gt;="&amp;N23)</f>
        <v>0</v>
      </c>
      <c r="P22" s="38">
        <f t="shared" si="7"/>
        <v>0.028750764705882365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0.0017323873948193367</v>
      </c>
      <c r="D23" s="33">
        <f t="shared" si="1"/>
        <v>0</v>
      </c>
      <c r="E23" s="3">
        <f>COUNTIF(Vertices[Degree],"&gt;= "&amp;D23)-COUNTIF(Vertices[Degree],"&gt;="&amp;D24)</f>
        <v>0</v>
      </c>
      <c r="F23" s="40">
        <f t="shared" si="2"/>
        <v>121.05882352941177</v>
      </c>
      <c r="G23" s="41">
        <f>COUNTIF(Vertices[In-Degree],"&gt;= "&amp;F23)-COUNTIF(Vertices[In-Degree],"&gt;="&amp;F24)</f>
        <v>0</v>
      </c>
      <c r="H23" s="40">
        <f t="shared" si="3"/>
        <v>1</v>
      </c>
      <c r="I23" s="41">
        <f>COUNTIF(Vertices[Out-Degree],"&gt;= "&amp;H23)-COUNTIF(Vertices[Out-Degree],"&gt;="&amp;H24)</f>
        <v>0</v>
      </c>
      <c r="J23" s="40">
        <f t="shared" si="4"/>
        <v>23365.58823529411</v>
      </c>
      <c r="K23" s="41">
        <f>COUNTIF(Vertices[Betweenness Centrality],"&gt;= "&amp;J23)-COUNTIF(Vertices[Betweenness Centrality],"&gt;="&amp;J24)</f>
        <v>0</v>
      </c>
      <c r="L23" s="40">
        <f t="shared" si="5"/>
        <v>0.21898367647058817</v>
      </c>
      <c r="M23" s="41">
        <f>COUNTIF(Vertices[Closeness Centrality],"&gt;= "&amp;L23)-COUNTIF(Vertices[Closeness Centrality],"&gt;="&amp;L24)</f>
        <v>0</v>
      </c>
      <c r="N23" s="40">
        <f t="shared" si="6"/>
        <v>0.4441882941176469</v>
      </c>
      <c r="O23" s="41">
        <f>COUNTIF(Vertices[Eigenvector Centrality],"&gt;= "&amp;N23)-COUNTIF(Vertices[Eigenvector Centrality],"&gt;="&amp;N24)</f>
        <v>0</v>
      </c>
      <c r="P23" s="40">
        <f t="shared" si="7"/>
        <v>0.030109352941176483</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4377</v>
      </c>
      <c r="B24" s="35">
        <v>0.747127</v>
      </c>
      <c r="D24" s="33">
        <f t="shared" si="1"/>
        <v>0</v>
      </c>
      <c r="E24" s="3">
        <f>COUNTIF(Vertices[Degree],"&gt;= "&amp;D24)-COUNTIF(Vertices[Degree],"&gt;="&amp;D25)</f>
        <v>0</v>
      </c>
      <c r="F24" s="38">
        <f t="shared" si="2"/>
        <v>126.82352941176471</v>
      </c>
      <c r="G24" s="39">
        <f>COUNTIF(Vertices[In-Degree],"&gt;= "&amp;F24)-COUNTIF(Vertices[In-Degree],"&gt;="&amp;F25)</f>
        <v>0</v>
      </c>
      <c r="H24" s="38">
        <f t="shared" si="3"/>
        <v>1</v>
      </c>
      <c r="I24" s="39">
        <f>COUNTIF(Vertices[Out-Degree],"&gt;= "&amp;H24)-COUNTIF(Vertices[Out-Degree],"&gt;="&amp;H25)</f>
        <v>0</v>
      </c>
      <c r="J24" s="38">
        <f t="shared" si="4"/>
        <v>24478.23529411764</v>
      </c>
      <c r="K24" s="39">
        <f>COUNTIF(Vertices[Betweenness Centrality],"&gt;= "&amp;J24)-COUNTIF(Vertices[Betweenness Centrality],"&gt;="&amp;J25)</f>
        <v>0</v>
      </c>
      <c r="L24" s="38">
        <f t="shared" si="5"/>
        <v>0.22941147058823522</v>
      </c>
      <c r="M24" s="39">
        <f>COUNTIF(Vertices[Closeness Centrality],"&gt;= "&amp;L24)-COUNTIF(Vertices[Closeness Centrality],"&gt;="&amp;L25)</f>
        <v>0</v>
      </c>
      <c r="N24" s="38">
        <f t="shared" si="6"/>
        <v>0.4653401176470586</v>
      </c>
      <c r="O24" s="39">
        <f>COUNTIF(Vertices[Eigenvector Centrality],"&gt;= "&amp;N24)-COUNTIF(Vertices[Eigenvector Centrality],"&gt;="&amp;N25)</f>
        <v>0</v>
      </c>
      <c r="P24" s="38">
        <f t="shared" si="7"/>
        <v>0.0314679411764706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132.58823529411765</v>
      </c>
      <c r="G25" s="41">
        <f>COUNTIF(Vertices[In-Degree],"&gt;= "&amp;F25)-COUNTIF(Vertices[In-Degree],"&gt;="&amp;F26)</f>
        <v>0</v>
      </c>
      <c r="H25" s="40">
        <f t="shared" si="3"/>
        <v>1</v>
      </c>
      <c r="I25" s="41">
        <f>COUNTIF(Vertices[Out-Degree],"&gt;= "&amp;H25)-COUNTIF(Vertices[Out-Degree],"&gt;="&amp;H26)</f>
        <v>0</v>
      </c>
      <c r="J25" s="40">
        <f t="shared" si="4"/>
        <v>25590.882352941167</v>
      </c>
      <c r="K25" s="41">
        <f>COUNTIF(Vertices[Betweenness Centrality],"&gt;= "&amp;J25)-COUNTIF(Vertices[Betweenness Centrality],"&gt;="&amp;J26)</f>
        <v>0</v>
      </c>
      <c r="L25" s="40">
        <f t="shared" si="5"/>
        <v>0.23983926470588227</v>
      </c>
      <c r="M25" s="41">
        <f>COUNTIF(Vertices[Closeness Centrality],"&gt;= "&amp;L25)-COUNTIF(Vertices[Closeness Centrality],"&gt;="&amp;L26)</f>
        <v>0</v>
      </c>
      <c r="N25" s="40">
        <f t="shared" si="6"/>
        <v>0.4864919411764704</v>
      </c>
      <c r="O25" s="41">
        <f>COUNTIF(Vertices[Eigenvector Centrality],"&gt;= "&amp;N25)-COUNTIF(Vertices[Eigenvector Centrality],"&gt;="&amp;N26)</f>
        <v>0</v>
      </c>
      <c r="P25" s="40">
        <f t="shared" si="7"/>
        <v>0.03282652941176472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4378</v>
      </c>
      <c r="B26" s="35" t="s">
        <v>4393</v>
      </c>
      <c r="D26" s="33">
        <f t="shared" si="1"/>
        <v>0</v>
      </c>
      <c r="E26" s="3">
        <f>COUNTIF(Vertices[Degree],"&gt;= "&amp;D26)-COUNTIF(Vertices[Degree],"&gt;="&amp;D27)</f>
        <v>0</v>
      </c>
      <c r="F26" s="38">
        <f t="shared" si="2"/>
        <v>138.35294117647058</v>
      </c>
      <c r="G26" s="39">
        <f>COUNTIF(Vertices[In-Degree],"&gt;= "&amp;F26)-COUNTIF(Vertices[In-Degree],"&gt;="&amp;F27)</f>
        <v>0</v>
      </c>
      <c r="H26" s="38">
        <f t="shared" si="3"/>
        <v>1</v>
      </c>
      <c r="I26" s="39">
        <f>COUNTIF(Vertices[Out-Degree],"&gt;= "&amp;H26)-COUNTIF(Vertices[Out-Degree],"&gt;="&amp;H27)</f>
        <v>0</v>
      </c>
      <c r="J26" s="38">
        <f t="shared" si="4"/>
        <v>26703.529411764695</v>
      </c>
      <c r="K26" s="39">
        <f>COUNTIF(Vertices[Betweenness Centrality],"&gt;= "&amp;J26)-COUNTIF(Vertices[Betweenness Centrality],"&gt;="&amp;J27)</f>
        <v>0</v>
      </c>
      <c r="L26" s="38">
        <f t="shared" si="5"/>
        <v>0.25026705882352934</v>
      </c>
      <c r="M26" s="39">
        <f>COUNTIF(Vertices[Closeness Centrality],"&gt;= "&amp;L26)-COUNTIF(Vertices[Closeness Centrality],"&gt;="&amp;L27)</f>
        <v>0</v>
      </c>
      <c r="N26" s="38">
        <f t="shared" si="6"/>
        <v>0.5076437647058821</v>
      </c>
      <c r="O26" s="39">
        <f>COUNTIF(Vertices[Eigenvector Centrality],"&gt;= "&amp;N26)-COUNTIF(Vertices[Eigenvector Centrality],"&gt;="&amp;N27)</f>
        <v>0</v>
      </c>
      <c r="P26" s="38">
        <f t="shared" si="7"/>
        <v>0.03418511764705884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144.1176470588235</v>
      </c>
      <c r="G27" s="41">
        <f>COUNTIF(Vertices[In-Degree],"&gt;= "&amp;F27)-COUNTIF(Vertices[In-Degree],"&gt;="&amp;F28)</f>
        <v>0</v>
      </c>
      <c r="H27" s="40">
        <f t="shared" si="3"/>
        <v>1</v>
      </c>
      <c r="I27" s="41">
        <f>COUNTIF(Vertices[Out-Degree],"&gt;= "&amp;H27)-COUNTIF(Vertices[Out-Degree],"&gt;="&amp;H28)</f>
        <v>0</v>
      </c>
      <c r="J27" s="40">
        <f t="shared" si="4"/>
        <v>27816.176470588223</v>
      </c>
      <c r="K27" s="41">
        <f>COUNTIF(Vertices[Betweenness Centrality],"&gt;= "&amp;J27)-COUNTIF(Vertices[Betweenness Centrality],"&gt;="&amp;J28)</f>
        <v>0</v>
      </c>
      <c r="L27" s="40">
        <f t="shared" si="5"/>
        <v>0.2606948529411764</v>
      </c>
      <c r="M27" s="41">
        <f>COUNTIF(Vertices[Closeness Centrality],"&gt;= "&amp;L27)-COUNTIF(Vertices[Closeness Centrality],"&gt;="&amp;L28)</f>
        <v>1</v>
      </c>
      <c r="N27" s="40">
        <f t="shared" si="6"/>
        <v>0.5287955882352939</v>
      </c>
      <c r="O27" s="41">
        <f>COUNTIF(Vertices[Eigenvector Centrality],"&gt;= "&amp;N27)-COUNTIF(Vertices[Eigenvector Centrality],"&gt;="&amp;N28)</f>
        <v>0</v>
      </c>
      <c r="P27" s="40">
        <f t="shared" si="7"/>
        <v>0.035543705882352956</v>
      </c>
      <c r="Q27" s="41">
        <f>COUNTIF(Vertices[PageRank],"&gt;= "&amp;P27)-COUNTIF(Vertices[PageRank],"&gt;="&amp;P28)</f>
        <v>1</v>
      </c>
      <c r="R27" s="40">
        <f t="shared" si="8"/>
        <v>0</v>
      </c>
      <c r="S27" s="45">
        <f>COUNTIF(Vertices[Clustering Coefficient],"&gt;= "&amp;R27)-COUNTIF(Vertices[Clustering Coefficient],"&gt;="&amp;R28)</f>
        <v>0</v>
      </c>
      <c r="T27" s="40" t="e">
        <f ca="1" t="shared" si="9"/>
        <v>#REF!</v>
      </c>
      <c r="U27" s="41" t="e">
        <f ca="1" t="shared" si="10"/>
        <v>#REF!</v>
      </c>
    </row>
    <row r="28" spans="1:21" ht="15">
      <c r="A28" s="35" t="s">
        <v>4379</v>
      </c>
      <c r="B28" s="35" t="s">
        <v>4823</v>
      </c>
      <c r="D28" s="33">
        <f t="shared" si="1"/>
        <v>0</v>
      </c>
      <c r="E28" s="3">
        <f>COUNTIF(Vertices[Degree],"&gt;= "&amp;D28)-COUNTIF(Vertices[Degree],"&gt;="&amp;D29)</f>
        <v>0</v>
      </c>
      <c r="F28" s="38">
        <f t="shared" si="2"/>
        <v>149.88235294117644</v>
      </c>
      <c r="G28" s="39">
        <f>COUNTIF(Vertices[In-Degree],"&gt;= "&amp;F28)-COUNTIF(Vertices[In-Degree],"&gt;="&amp;F29)</f>
        <v>1</v>
      </c>
      <c r="H28" s="38">
        <f t="shared" si="3"/>
        <v>1</v>
      </c>
      <c r="I28" s="39">
        <f>COUNTIF(Vertices[Out-Degree],"&gt;= "&amp;H28)-COUNTIF(Vertices[Out-Degree],"&gt;="&amp;H29)</f>
        <v>0</v>
      </c>
      <c r="J28" s="38">
        <f t="shared" si="4"/>
        <v>28928.82352941175</v>
      </c>
      <c r="K28" s="39">
        <f>COUNTIF(Vertices[Betweenness Centrality],"&gt;= "&amp;J28)-COUNTIF(Vertices[Betweenness Centrality],"&gt;="&amp;J29)</f>
        <v>0</v>
      </c>
      <c r="L28" s="38">
        <f t="shared" si="5"/>
        <v>0.27112264705882344</v>
      </c>
      <c r="M28" s="39">
        <f>COUNTIF(Vertices[Closeness Centrality],"&gt;= "&amp;L28)-COUNTIF(Vertices[Closeness Centrality],"&gt;="&amp;L29)</f>
        <v>0</v>
      </c>
      <c r="N28" s="38">
        <f t="shared" si="6"/>
        <v>0.5499474117647057</v>
      </c>
      <c r="O28" s="39">
        <f>COUNTIF(Vertices[Eigenvector Centrality],"&gt;= "&amp;N28)-COUNTIF(Vertices[Eigenvector Centrality],"&gt;="&amp;N29)</f>
        <v>0</v>
      </c>
      <c r="P28" s="38">
        <f t="shared" si="7"/>
        <v>0.036902294117647075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4380</v>
      </c>
      <c r="B29" s="35" t="s">
        <v>4824</v>
      </c>
      <c r="D29" s="33">
        <f t="shared" si="1"/>
        <v>0</v>
      </c>
      <c r="E29" s="3">
        <f>COUNTIF(Vertices[Degree],"&gt;= "&amp;D29)-COUNTIF(Vertices[Degree],"&gt;="&amp;D30)</f>
        <v>0</v>
      </c>
      <c r="F29" s="40">
        <f t="shared" si="2"/>
        <v>155.64705882352936</v>
      </c>
      <c r="G29" s="41">
        <f>COUNTIF(Vertices[In-Degree],"&gt;= "&amp;F29)-COUNTIF(Vertices[In-Degree],"&gt;="&amp;F30)</f>
        <v>0</v>
      </c>
      <c r="H29" s="40">
        <f t="shared" si="3"/>
        <v>1</v>
      </c>
      <c r="I29" s="41">
        <f>COUNTIF(Vertices[Out-Degree],"&gt;= "&amp;H29)-COUNTIF(Vertices[Out-Degree],"&gt;="&amp;H30)</f>
        <v>0</v>
      </c>
      <c r="J29" s="40">
        <f t="shared" si="4"/>
        <v>30041.47058823528</v>
      </c>
      <c r="K29" s="41">
        <f>COUNTIF(Vertices[Betweenness Centrality],"&gt;= "&amp;J29)-COUNTIF(Vertices[Betweenness Centrality],"&gt;="&amp;J30)</f>
        <v>0</v>
      </c>
      <c r="L29" s="40">
        <f t="shared" si="5"/>
        <v>0.2815504411764705</v>
      </c>
      <c r="M29" s="41">
        <f>COUNTIF(Vertices[Closeness Centrality],"&gt;= "&amp;L29)-COUNTIF(Vertices[Closeness Centrality],"&gt;="&amp;L30)</f>
        <v>0</v>
      </c>
      <c r="N29" s="40">
        <f t="shared" si="6"/>
        <v>0.5710992352941175</v>
      </c>
      <c r="O29" s="41">
        <f>COUNTIF(Vertices[Eigenvector Centrality],"&gt;= "&amp;N29)-COUNTIF(Vertices[Eigenvector Centrality],"&gt;="&amp;N30)</f>
        <v>0</v>
      </c>
      <c r="P29" s="40">
        <f t="shared" si="7"/>
        <v>0.03826088235294119</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161.4117647058823</v>
      </c>
      <c r="G30" s="39">
        <f>COUNTIF(Vertices[In-Degree],"&gt;= "&amp;F30)-COUNTIF(Vertices[In-Degree],"&gt;="&amp;F31)</f>
        <v>0</v>
      </c>
      <c r="H30" s="38">
        <f t="shared" si="3"/>
        <v>1</v>
      </c>
      <c r="I30" s="39">
        <f>COUNTIF(Vertices[Out-Degree],"&gt;= "&amp;H30)-COUNTIF(Vertices[Out-Degree],"&gt;="&amp;H31)</f>
        <v>0</v>
      </c>
      <c r="J30" s="38">
        <f t="shared" si="4"/>
        <v>31154.117647058807</v>
      </c>
      <c r="K30" s="39">
        <f>COUNTIF(Vertices[Betweenness Centrality],"&gt;= "&amp;J30)-COUNTIF(Vertices[Betweenness Centrality],"&gt;="&amp;J31)</f>
        <v>0</v>
      </c>
      <c r="L30" s="38">
        <f t="shared" si="5"/>
        <v>0.29197823529411754</v>
      </c>
      <c r="M30" s="39">
        <f>COUNTIF(Vertices[Closeness Centrality],"&gt;= "&amp;L30)-COUNTIF(Vertices[Closeness Centrality],"&gt;="&amp;L31)</f>
        <v>0</v>
      </c>
      <c r="N30" s="38">
        <f t="shared" si="6"/>
        <v>0.5922510588235294</v>
      </c>
      <c r="O30" s="39">
        <f>COUNTIF(Vertices[Eigenvector Centrality],"&gt;= "&amp;N30)-COUNTIF(Vertices[Eigenvector Centrality],"&gt;="&amp;N31)</f>
        <v>0</v>
      </c>
      <c r="P30" s="38">
        <f t="shared" si="7"/>
        <v>0.03961947058823531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4381</v>
      </c>
      <c r="B31" s="35"/>
      <c r="D31" s="33">
        <f t="shared" si="1"/>
        <v>0</v>
      </c>
      <c r="E31" s="3">
        <f>COUNTIF(Vertices[Degree],"&gt;= "&amp;D31)-COUNTIF(Vertices[Degree],"&gt;="&amp;D32)</f>
        <v>0</v>
      </c>
      <c r="F31" s="40">
        <f t="shared" si="2"/>
        <v>167.17647058823522</v>
      </c>
      <c r="G31" s="41">
        <f>COUNTIF(Vertices[In-Degree],"&gt;= "&amp;F31)-COUNTIF(Vertices[In-Degree],"&gt;="&amp;F32)</f>
        <v>0</v>
      </c>
      <c r="H31" s="40">
        <f t="shared" si="3"/>
        <v>1</v>
      </c>
      <c r="I31" s="41">
        <f>COUNTIF(Vertices[Out-Degree],"&gt;= "&amp;H31)-COUNTIF(Vertices[Out-Degree],"&gt;="&amp;H32)</f>
        <v>0</v>
      </c>
      <c r="J31" s="40">
        <f t="shared" si="4"/>
        <v>32266.764705882335</v>
      </c>
      <c r="K31" s="41">
        <f>COUNTIF(Vertices[Betweenness Centrality],"&gt;= "&amp;J31)-COUNTIF(Vertices[Betweenness Centrality],"&gt;="&amp;J32)</f>
        <v>0</v>
      </c>
      <c r="L31" s="40">
        <f t="shared" si="5"/>
        <v>0.3024060294117646</v>
      </c>
      <c r="M31" s="41">
        <f>COUNTIF(Vertices[Closeness Centrality],"&gt;= "&amp;L31)-COUNTIF(Vertices[Closeness Centrality],"&gt;="&amp;L32)</f>
        <v>0</v>
      </c>
      <c r="N31" s="40">
        <f t="shared" si="6"/>
        <v>0.6134028823529412</v>
      </c>
      <c r="O31" s="41">
        <f>COUNTIF(Vertices[Eigenvector Centrality],"&gt;= "&amp;N31)-COUNTIF(Vertices[Eigenvector Centrality],"&gt;="&amp;N32)</f>
        <v>0</v>
      </c>
      <c r="P31" s="40">
        <f t="shared" si="7"/>
        <v>0.04097805882352943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4382</v>
      </c>
      <c r="B32" s="35"/>
      <c r="D32" s="33">
        <f t="shared" si="1"/>
        <v>0</v>
      </c>
      <c r="E32" s="3">
        <f>COUNTIF(Vertices[Degree],"&gt;= "&amp;D32)-COUNTIF(Vertices[Degree],"&gt;="&amp;D33)</f>
        <v>0</v>
      </c>
      <c r="F32" s="38">
        <f t="shared" si="2"/>
        <v>172.94117647058815</v>
      </c>
      <c r="G32" s="39">
        <f>COUNTIF(Vertices[In-Degree],"&gt;= "&amp;F32)-COUNTIF(Vertices[In-Degree],"&gt;="&amp;F33)</f>
        <v>0</v>
      </c>
      <c r="H32" s="38">
        <f t="shared" si="3"/>
        <v>1</v>
      </c>
      <c r="I32" s="39">
        <f>COUNTIF(Vertices[Out-Degree],"&gt;= "&amp;H32)-COUNTIF(Vertices[Out-Degree],"&gt;="&amp;H33)</f>
        <v>0</v>
      </c>
      <c r="J32" s="38">
        <f t="shared" si="4"/>
        <v>33379.41176470587</v>
      </c>
      <c r="K32" s="39">
        <f>COUNTIF(Vertices[Betweenness Centrality],"&gt;= "&amp;J32)-COUNTIF(Vertices[Betweenness Centrality],"&gt;="&amp;J33)</f>
        <v>0</v>
      </c>
      <c r="L32" s="38">
        <f t="shared" si="5"/>
        <v>0.31283382352941164</v>
      </c>
      <c r="M32" s="39">
        <f>COUNTIF(Vertices[Closeness Centrality],"&gt;= "&amp;L32)-COUNTIF(Vertices[Closeness Centrality],"&gt;="&amp;L33)</f>
        <v>0</v>
      </c>
      <c r="N32" s="38">
        <f t="shared" si="6"/>
        <v>0.634554705882353</v>
      </c>
      <c r="O32" s="39">
        <f>COUNTIF(Vertices[Eigenvector Centrality],"&gt;= "&amp;N32)-COUNTIF(Vertices[Eigenvector Centrality],"&gt;="&amp;N33)</f>
        <v>0</v>
      </c>
      <c r="P32" s="38">
        <f t="shared" si="7"/>
        <v>0.04233664705882355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4383</v>
      </c>
      <c r="B33" s="35" t="s">
        <v>4394</v>
      </c>
      <c r="D33" s="33">
        <f t="shared" si="1"/>
        <v>0</v>
      </c>
      <c r="E33" s="3">
        <f>COUNTIF(Vertices[Degree],"&gt;= "&amp;D33)-COUNTIF(Vertices[Degree],"&gt;="&amp;D34)</f>
        <v>0</v>
      </c>
      <c r="F33" s="40">
        <f t="shared" si="2"/>
        <v>178.70588235294107</v>
      </c>
      <c r="G33" s="41">
        <f>COUNTIF(Vertices[In-Degree],"&gt;= "&amp;F33)-COUNTIF(Vertices[In-Degree],"&gt;="&amp;F34)</f>
        <v>0</v>
      </c>
      <c r="H33" s="40">
        <f t="shared" si="3"/>
        <v>1</v>
      </c>
      <c r="I33" s="41">
        <f>COUNTIF(Vertices[Out-Degree],"&gt;= "&amp;H33)-COUNTIF(Vertices[Out-Degree],"&gt;="&amp;H34)</f>
        <v>0</v>
      </c>
      <c r="J33" s="40">
        <f t="shared" si="4"/>
        <v>34492.0588235294</v>
      </c>
      <c r="K33" s="41">
        <f>COUNTIF(Vertices[Betweenness Centrality],"&gt;= "&amp;J33)-COUNTIF(Vertices[Betweenness Centrality],"&gt;="&amp;J34)</f>
        <v>0</v>
      </c>
      <c r="L33" s="40">
        <f t="shared" si="5"/>
        <v>0.3232616176470587</v>
      </c>
      <c r="M33" s="41">
        <f>COUNTIF(Vertices[Closeness Centrality],"&gt;= "&amp;L33)-COUNTIF(Vertices[Closeness Centrality],"&gt;="&amp;L34)</f>
        <v>0</v>
      </c>
      <c r="N33" s="40">
        <f t="shared" si="6"/>
        <v>0.6557065294117648</v>
      </c>
      <c r="O33" s="41">
        <f>COUNTIF(Vertices[Eigenvector Centrality],"&gt;= "&amp;N33)-COUNTIF(Vertices[Eigenvector Centrality],"&gt;="&amp;N34)</f>
        <v>0</v>
      </c>
      <c r="P33" s="40">
        <f t="shared" si="7"/>
        <v>0.04369523529411767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4384</v>
      </c>
      <c r="B34" s="35" t="s">
        <v>4822</v>
      </c>
      <c r="D34" s="33">
        <f t="shared" si="1"/>
        <v>0</v>
      </c>
      <c r="E34" s="3">
        <f>COUNTIF(Vertices[Degree],"&gt;= "&amp;D34)-COUNTIF(Vertices[Degree],"&gt;="&amp;D35)</f>
        <v>0</v>
      </c>
      <c r="F34" s="38">
        <f t="shared" si="2"/>
        <v>184.470588235294</v>
      </c>
      <c r="G34" s="39">
        <f>COUNTIF(Vertices[In-Degree],"&gt;= "&amp;F34)-COUNTIF(Vertices[In-Degree],"&gt;="&amp;F35)</f>
        <v>0</v>
      </c>
      <c r="H34" s="38">
        <f t="shared" si="3"/>
        <v>1</v>
      </c>
      <c r="I34" s="39">
        <f>COUNTIF(Vertices[Out-Degree],"&gt;= "&amp;H34)-COUNTIF(Vertices[Out-Degree],"&gt;="&amp;H35)</f>
        <v>0</v>
      </c>
      <c r="J34" s="38">
        <f t="shared" si="4"/>
        <v>35604.70588235293</v>
      </c>
      <c r="K34" s="39">
        <f>COUNTIF(Vertices[Betweenness Centrality],"&gt;= "&amp;J34)-COUNTIF(Vertices[Betweenness Centrality],"&gt;="&amp;J35)</f>
        <v>0</v>
      </c>
      <c r="L34" s="38">
        <f t="shared" si="5"/>
        <v>0.33368941176470573</v>
      </c>
      <c r="M34" s="39">
        <f>COUNTIF(Vertices[Closeness Centrality],"&gt;= "&amp;L34)-COUNTIF(Vertices[Closeness Centrality],"&gt;="&amp;L35)</f>
        <v>0</v>
      </c>
      <c r="N34" s="38">
        <f t="shared" si="6"/>
        <v>0.6768583529411766</v>
      </c>
      <c r="O34" s="39">
        <f>COUNTIF(Vertices[Eigenvector Centrality],"&gt;= "&amp;N34)-COUNTIF(Vertices[Eigenvector Centrality],"&gt;="&amp;N35)</f>
        <v>0</v>
      </c>
      <c r="P34" s="38">
        <f t="shared" si="7"/>
        <v>0.045053823529411785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4385</v>
      </c>
      <c r="B35" s="35" t="s">
        <v>4395</v>
      </c>
      <c r="D35" s="33">
        <f t="shared" si="1"/>
        <v>0</v>
      </c>
      <c r="E35" s="3">
        <f>COUNTIF(Vertices[Degree],"&gt;= "&amp;D35)-COUNTIF(Vertices[Degree],"&gt;="&amp;D36)</f>
        <v>0</v>
      </c>
      <c r="F35" s="40">
        <f t="shared" si="2"/>
        <v>190.23529411764693</v>
      </c>
      <c r="G35" s="41">
        <f>COUNTIF(Vertices[In-Degree],"&gt;= "&amp;F35)-COUNTIF(Vertices[In-Degree],"&gt;="&amp;F36)</f>
        <v>0</v>
      </c>
      <c r="H35" s="40">
        <f t="shared" si="3"/>
        <v>1</v>
      </c>
      <c r="I35" s="41">
        <f>COUNTIF(Vertices[Out-Degree],"&gt;= "&amp;H35)-COUNTIF(Vertices[Out-Degree],"&gt;="&amp;H36)</f>
        <v>0</v>
      </c>
      <c r="J35" s="40">
        <f t="shared" si="4"/>
        <v>36717.35294117646</v>
      </c>
      <c r="K35" s="41">
        <f>COUNTIF(Vertices[Betweenness Centrality],"&gt;= "&amp;J35)-COUNTIF(Vertices[Betweenness Centrality],"&gt;="&amp;J36)</f>
        <v>0</v>
      </c>
      <c r="L35" s="40">
        <f t="shared" si="5"/>
        <v>0.3441172058823528</v>
      </c>
      <c r="M35" s="41">
        <f>COUNTIF(Vertices[Closeness Centrality],"&gt;= "&amp;L35)-COUNTIF(Vertices[Closeness Centrality],"&gt;="&amp;L36)</f>
        <v>0</v>
      </c>
      <c r="N35" s="40">
        <f t="shared" si="6"/>
        <v>0.6980101764705884</v>
      </c>
      <c r="O35" s="41">
        <f>COUNTIF(Vertices[Eigenvector Centrality],"&gt;= "&amp;N35)-COUNTIF(Vertices[Eigenvector Centrality],"&gt;="&amp;N36)</f>
        <v>0</v>
      </c>
      <c r="P35" s="40">
        <f t="shared" si="7"/>
        <v>0.0464124117647059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4386</v>
      </c>
      <c r="B36" s="35" t="s">
        <v>211</v>
      </c>
      <c r="D36" s="33">
        <f>MAX(Vertices[Degree])</f>
        <v>0</v>
      </c>
      <c r="E36" s="3">
        <f>COUNTIF(Vertices[Degree],"&gt;= "&amp;D36)-COUNTIF(Vertices[Degree],"&gt;="&amp;#REF!)</f>
        <v>0</v>
      </c>
      <c r="F36" s="42">
        <f>MAX(Vertices[In-Degree])</f>
        <v>196</v>
      </c>
      <c r="G36" s="43">
        <f>COUNTIF(Vertices[In-Degree],"&gt;= "&amp;F36)-COUNTIF(Vertices[In-Degree],"&gt;="&amp;#REF!)</f>
        <v>1</v>
      </c>
      <c r="H36" s="42">
        <f>MAX(Vertices[Out-Degree])</f>
        <v>1</v>
      </c>
      <c r="I36" s="43">
        <f>COUNTIF(Vertices[Out-Degree],"&gt;= "&amp;H36)-COUNTIF(Vertices[Out-Degree],"&gt;="&amp;#REF!)</f>
        <v>551</v>
      </c>
      <c r="J36" s="42">
        <f>MAX(Vertices[Betweenness Centrality])</f>
        <v>37830</v>
      </c>
      <c r="K36" s="43">
        <f>COUNTIF(Vertices[Betweenness Centrality],"&gt;= "&amp;J36)-COUNTIF(Vertices[Betweenness Centrality],"&gt;="&amp;#REF!)</f>
        <v>1</v>
      </c>
      <c r="L36" s="42">
        <f>MAX(Vertices[Closeness Centrality])</f>
        <v>0.354545</v>
      </c>
      <c r="M36" s="43">
        <f>COUNTIF(Vertices[Closeness Centrality],"&gt;= "&amp;L36)-COUNTIF(Vertices[Closeness Centrality],"&gt;="&amp;#REF!)</f>
        <v>1</v>
      </c>
      <c r="N36" s="42">
        <f>MAX(Vertices[Eigenvector Centrality])</f>
        <v>0.719162</v>
      </c>
      <c r="O36" s="43">
        <f>COUNTIF(Vertices[Eigenvector Centrality],"&gt;= "&amp;N36)-COUNTIF(Vertices[Eigenvector Centrality],"&gt;="&amp;#REF!)</f>
        <v>1</v>
      </c>
      <c r="P36" s="42">
        <f>MAX(Vertices[PageRank])</f>
        <v>0.047771</v>
      </c>
      <c r="Q36" s="43">
        <f>COUNTIF(Vertices[PageRank],"&gt;= "&amp;P36)-COUNTIF(Vertices[PageRank],"&gt;="&amp;#REF!)</f>
        <v>1</v>
      </c>
      <c r="R36" s="42">
        <f>MAX(Vertices[Clustering Coefficient])</f>
        <v>0</v>
      </c>
      <c r="S36" s="46">
        <f>COUNTIF(Vertices[Clustering Coefficient],"&gt;= "&amp;R36)-COUNTIF(Vertices[Clustering Coefficient],"&gt;="&amp;#REF!)</f>
        <v>551</v>
      </c>
      <c r="T36" s="42" t="e">
        <f ca="1">MAX(INDIRECT(DynamicFilterSourceColumnRange))</f>
        <v>#REF!</v>
      </c>
      <c r="U36" s="43" t="e">
        <f ca="1">COUNTIF(INDIRECT(DynamicFilterSourceColumnRange),"&gt;= "&amp;T36)-COUNTIF(INDIRECT(DynamicFilterSourceColumnRange),"&gt;="&amp;#REF!)</f>
        <v>#REF!</v>
      </c>
    </row>
    <row r="37" spans="1:2" ht="15">
      <c r="A37" s="35" t="s">
        <v>4387</v>
      </c>
      <c r="B37" s="35" t="s">
        <v>211</v>
      </c>
    </row>
    <row r="38" spans="1:2" ht="15">
      <c r="A38" s="35" t="s">
        <v>4388</v>
      </c>
      <c r="B38" s="35" t="s">
        <v>211</v>
      </c>
    </row>
    <row r="39" spans="1:2" ht="15">
      <c r="A39" s="35" t="s">
        <v>4389</v>
      </c>
      <c r="B39" s="35"/>
    </row>
    <row r="40" spans="1:2" ht="15">
      <c r="A40" s="35" t="s">
        <v>21</v>
      </c>
      <c r="B40" s="35"/>
    </row>
    <row r="41" spans="1:2" ht="15">
      <c r="A41" s="35" t="s">
        <v>4390</v>
      </c>
      <c r="B41" s="35" t="s">
        <v>34</v>
      </c>
    </row>
    <row r="42" spans="1:2" ht="15">
      <c r="A42" s="35" t="s">
        <v>4391</v>
      </c>
      <c r="B42" s="35"/>
    </row>
    <row r="43" spans="1:2" ht="15">
      <c r="A43" s="35" t="s">
        <v>4392</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196</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37830</v>
      </c>
    </row>
    <row r="118" spans="1:2" ht="15">
      <c r="A118" s="34" t="s">
        <v>102</v>
      </c>
      <c r="B118" s="48">
        <f>_xlfn.IFERROR(AVERAGE(Vertices[Betweenness Centrality]),NoMetricMessage)</f>
        <v>124.34482758620689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0.354545</v>
      </c>
    </row>
    <row r="132" spans="1:2" ht="15">
      <c r="A132" s="34" t="s">
        <v>108</v>
      </c>
      <c r="B132" s="48">
        <f>_xlfn.IFERROR(AVERAGE(Vertices[Closeness Centrality]),NoMetricMessage)</f>
        <v>0.11607932123412003</v>
      </c>
    </row>
    <row r="133" spans="1:2" ht="15">
      <c r="A133" s="34" t="s">
        <v>109</v>
      </c>
      <c r="B133" s="48">
        <f>_xlfn.IFERROR(MEDIAN(Vertices[Closeness Centrality]),NoMetricMessage)</f>
        <v>0.135911</v>
      </c>
    </row>
    <row r="144" spans="1:2" ht="15">
      <c r="A144" s="34" t="s">
        <v>112</v>
      </c>
      <c r="B144" s="48">
        <f>IF(COUNT(Vertices[Eigenvector Centrality])&gt;0,N2,NoMetricMessage)</f>
        <v>0</v>
      </c>
    </row>
    <row r="145" spans="1:2" ht="15">
      <c r="A145" s="34" t="s">
        <v>113</v>
      </c>
      <c r="B145" s="48">
        <f>IF(COUNT(Vertices[Eigenvector Centrality])&gt;0,N36,NoMetricMessage)</f>
        <v>0.719162</v>
      </c>
    </row>
    <row r="146" spans="1:2" ht="15">
      <c r="A146" s="34" t="s">
        <v>114</v>
      </c>
      <c r="B146" s="48">
        <f>_xlfn.IFERROR(AVERAGE(Vertices[Eigenvector Centrality]),NoMetricMessage)</f>
        <v>0.01891500725952809</v>
      </c>
    </row>
    <row r="147" spans="1:2" ht="15">
      <c r="A147" s="34" t="s">
        <v>115</v>
      </c>
      <c r="B147" s="48">
        <f>_xlfn.IFERROR(MEDIAN(Vertices[Eigenvector Centrality]),NoMetricMessage)</f>
        <v>0</v>
      </c>
    </row>
    <row r="158" spans="1:2" ht="15">
      <c r="A158" s="34" t="s">
        <v>140</v>
      </c>
      <c r="B158" s="48">
        <f>IF(COUNT(Vertices[PageRank])&gt;0,P2,NoMetricMessage)</f>
        <v>0.001579</v>
      </c>
    </row>
    <row r="159" spans="1:2" ht="15">
      <c r="A159" s="34" t="s">
        <v>141</v>
      </c>
      <c r="B159" s="48">
        <f>IF(COUNT(Vertices[PageRank])&gt;0,P36,NoMetricMessage)</f>
        <v>0.047771</v>
      </c>
    </row>
    <row r="160" spans="1:2" ht="15">
      <c r="A160" s="34" t="s">
        <v>142</v>
      </c>
      <c r="B160" s="48">
        <f>_xlfn.IFERROR(AVERAGE(Vertices[PageRank]),NoMetricMessage)</f>
        <v>0.001814862068965525</v>
      </c>
    </row>
    <row r="161" spans="1:2" ht="15">
      <c r="A161" s="34" t="s">
        <v>143</v>
      </c>
      <c r="B161" s="48">
        <f>_xlfn.IFERROR(MEDIAN(Vertices[PageRank]),NoMetricMessage)</f>
        <v>0.00158</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3497</v>
      </c>
    </row>
    <row r="6" spans="1:18" ht="409.5">
      <c r="A6">
        <v>0</v>
      </c>
      <c r="B6" s="1" t="s">
        <v>136</v>
      </c>
      <c r="C6">
        <v>1</v>
      </c>
      <c r="D6" t="s">
        <v>59</v>
      </c>
      <c r="E6" t="s">
        <v>59</v>
      </c>
      <c r="F6">
        <v>0</v>
      </c>
      <c r="H6" t="s">
        <v>71</v>
      </c>
      <c r="J6" t="s">
        <v>173</v>
      </c>
      <c r="K6" s="13" t="s">
        <v>3498</v>
      </c>
      <c r="R6" t="s">
        <v>129</v>
      </c>
    </row>
    <row r="7" spans="1:11" ht="409.5">
      <c r="A7">
        <v>2</v>
      </c>
      <c r="B7">
        <v>1</v>
      </c>
      <c r="C7">
        <v>0</v>
      </c>
      <c r="D7" t="s">
        <v>60</v>
      </c>
      <c r="E7" t="s">
        <v>60</v>
      </c>
      <c r="F7">
        <v>2</v>
      </c>
      <c r="H7" t="s">
        <v>72</v>
      </c>
      <c r="J7" t="s">
        <v>174</v>
      </c>
      <c r="K7" s="13" t="s">
        <v>3499</v>
      </c>
    </row>
    <row r="8" spans="1:11" ht="409.5">
      <c r="A8"/>
      <c r="B8">
        <v>2</v>
      </c>
      <c r="C8">
        <v>2</v>
      </c>
      <c r="D8" t="s">
        <v>61</v>
      </c>
      <c r="E8" t="s">
        <v>61</v>
      </c>
      <c r="H8" t="s">
        <v>73</v>
      </c>
      <c r="J8" t="s">
        <v>175</v>
      </c>
      <c r="K8" s="65" t="s">
        <v>4806</v>
      </c>
    </row>
    <row r="9" spans="1:11" ht="409.5">
      <c r="A9"/>
      <c r="B9">
        <v>3</v>
      </c>
      <c r="C9">
        <v>4</v>
      </c>
      <c r="D9" t="s">
        <v>62</v>
      </c>
      <c r="E9" t="s">
        <v>62</v>
      </c>
      <c r="H9" t="s">
        <v>74</v>
      </c>
      <c r="J9" t="s">
        <v>176</v>
      </c>
      <c r="K9" s="13" t="s">
        <v>4807</v>
      </c>
    </row>
    <row r="10" spans="1:11" ht="15">
      <c r="A10"/>
      <c r="B10">
        <v>4</v>
      </c>
      <c r="D10" t="s">
        <v>63</v>
      </c>
      <c r="E10" t="s">
        <v>63</v>
      </c>
      <c r="H10" t="s">
        <v>75</v>
      </c>
      <c r="J10" t="s">
        <v>177</v>
      </c>
      <c r="K10" t="s">
        <v>4808</v>
      </c>
    </row>
    <row r="11" spans="1:11" ht="15">
      <c r="A11"/>
      <c r="B11">
        <v>5</v>
      </c>
      <c r="D11" t="s">
        <v>46</v>
      </c>
      <c r="E11">
        <v>1</v>
      </c>
      <c r="H11" t="s">
        <v>76</v>
      </c>
      <c r="J11" t="s">
        <v>178</v>
      </c>
      <c r="K11" t="s">
        <v>4809</v>
      </c>
    </row>
    <row r="12" spans="1:11" ht="15">
      <c r="A12"/>
      <c r="B12"/>
      <c r="D12" t="s">
        <v>64</v>
      </c>
      <c r="E12">
        <v>2</v>
      </c>
      <c r="H12">
        <v>0</v>
      </c>
      <c r="J12" t="s">
        <v>179</v>
      </c>
      <c r="K12" t="s">
        <v>4810</v>
      </c>
    </row>
    <row r="13" spans="1:11" ht="15">
      <c r="A13"/>
      <c r="B13"/>
      <c r="D13">
        <v>1</v>
      </c>
      <c r="E13">
        <v>3</v>
      </c>
      <c r="H13">
        <v>1</v>
      </c>
      <c r="J13" t="s">
        <v>180</v>
      </c>
      <c r="K13" t="s">
        <v>4811</v>
      </c>
    </row>
    <row r="14" spans="4:11" ht="15">
      <c r="D14">
        <v>2</v>
      </c>
      <c r="E14">
        <v>4</v>
      </c>
      <c r="H14">
        <v>2</v>
      </c>
      <c r="J14" t="s">
        <v>181</v>
      </c>
      <c r="K14" t="s">
        <v>4812</v>
      </c>
    </row>
    <row r="15" spans="4:11" ht="15">
      <c r="D15">
        <v>3</v>
      </c>
      <c r="E15">
        <v>5</v>
      </c>
      <c r="H15">
        <v>3</v>
      </c>
      <c r="J15" t="s">
        <v>182</v>
      </c>
      <c r="K15" t="s">
        <v>4813</v>
      </c>
    </row>
    <row r="16" spans="4:11" ht="15">
      <c r="D16">
        <v>4</v>
      </c>
      <c r="E16">
        <v>6</v>
      </c>
      <c r="H16">
        <v>4</v>
      </c>
      <c r="J16" t="s">
        <v>183</v>
      </c>
      <c r="K16" t="s">
        <v>4814</v>
      </c>
    </row>
    <row r="17" spans="4:11" ht="15">
      <c r="D17">
        <v>5</v>
      </c>
      <c r="E17">
        <v>7</v>
      </c>
      <c r="H17">
        <v>5</v>
      </c>
      <c r="J17" t="s">
        <v>184</v>
      </c>
      <c r="K17" t="s">
        <v>4815</v>
      </c>
    </row>
    <row r="18" spans="4:11" ht="15">
      <c r="D18">
        <v>6</v>
      </c>
      <c r="E18">
        <v>8</v>
      </c>
      <c r="H18">
        <v>6</v>
      </c>
      <c r="J18" t="s">
        <v>185</v>
      </c>
      <c r="K18" t="s">
        <v>4816</v>
      </c>
    </row>
    <row r="19" spans="4:11" ht="15">
      <c r="D19">
        <v>7</v>
      </c>
      <c r="E19">
        <v>9</v>
      </c>
      <c r="H19">
        <v>7</v>
      </c>
      <c r="J19" t="s">
        <v>186</v>
      </c>
      <c r="K19" t="s">
        <v>4817</v>
      </c>
    </row>
    <row r="20" spans="4:11" ht="409.5">
      <c r="D20">
        <v>8</v>
      </c>
      <c r="H20">
        <v>8</v>
      </c>
      <c r="J20" t="s">
        <v>187</v>
      </c>
      <c r="K20" s="13" t="s">
        <v>4818</v>
      </c>
    </row>
    <row r="21" spans="4:11" ht="409.5">
      <c r="D21">
        <v>9</v>
      </c>
      <c r="H21">
        <v>9</v>
      </c>
      <c r="J21" t="s">
        <v>188</v>
      </c>
      <c r="K21" s="13" t="s">
        <v>4819</v>
      </c>
    </row>
    <row r="22" spans="4:11" ht="409.5">
      <c r="D22">
        <v>10</v>
      </c>
      <c r="J22" t="s">
        <v>189</v>
      </c>
      <c r="K22" s="13" t="s">
        <v>4820</v>
      </c>
    </row>
    <row r="23" spans="4:11" ht="409.5">
      <c r="D23">
        <v>11</v>
      </c>
      <c r="J23" t="s">
        <v>190</v>
      </c>
      <c r="K23" s="13" t="s">
        <v>4821</v>
      </c>
    </row>
    <row r="24" spans="10:11" ht="15">
      <c r="J24" t="s">
        <v>191</v>
      </c>
      <c r="K24">
        <v>19</v>
      </c>
    </row>
    <row r="25" spans="10:11" ht="15">
      <c r="J25" t="s">
        <v>193</v>
      </c>
      <c r="K25" t="s">
        <v>4804</v>
      </c>
    </row>
    <row r="26" spans="10:11" ht="15">
      <c r="J26" t="s">
        <v>194</v>
      </c>
      <c r="K26" t="s">
        <v>4805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3B98C-97C3-4D47-BA9A-41D0CE791F83}">
  <dimension ref="A1:G16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3527</v>
      </c>
      <c r="B1" s="13" t="s">
        <v>4354</v>
      </c>
      <c r="C1" s="13" t="s">
        <v>4358</v>
      </c>
      <c r="D1" s="13" t="s">
        <v>144</v>
      </c>
      <c r="E1" s="13" t="s">
        <v>4360</v>
      </c>
      <c r="F1" s="13" t="s">
        <v>4361</v>
      </c>
      <c r="G1" s="13" t="s">
        <v>4362</v>
      </c>
    </row>
    <row r="2" spans="1:7" ht="15">
      <c r="A2" s="81" t="s">
        <v>3528</v>
      </c>
      <c r="B2" s="81" t="s">
        <v>4355</v>
      </c>
      <c r="C2" s="108"/>
      <c r="D2" s="81"/>
      <c r="E2" s="81"/>
      <c r="F2" s="81"/>
      <c r="G2" s="81"/>
    </row>
    <row r="3" spans="1:7" ht="15">
      <c r="A3" s="82" t="s">
        <v>3529</v>
      </c>
      <c r="B3" s="81" t="s">
        <v>4356</v>
      </c>
      <c r="C3" s="108"/>
      <c r="D3" s="81"/>
      <c r="E3" s="81"/>
      <c r="F3" s="81"/>
      <c r="G3" s="81"/>
    </row>
    <row r="4" spans="1:7" ht="15">
      <c r="A4" s="82" t="s">
        <v>3530</v>
      </c>
      <c r="B4" s="81" t="s">
        <v>4357</v>
      </c>
      <c r="C4" s="108"/>
      <c r="D4" s="81"/>
      <c r="E4" s="81"/>
      <c r="F4" s="81"/>
      <c r="G4" s="81"/>
    </row>
    <row r="5" spans="1:7" ht="15">
      <c r="A5" s="82" t="s">
        <v>3531</v>
      </c>
      <c r="B5" s="81">
        <v>480</v>
      </c>
      <c r="C5" s="108">
        <v>0.036832412523020254</v>
      </c>
      <c r="D5" s="81"/>
      <c r="E5" s="81"/>
      <c r="F5" s="81"/>
      <c r="G5" s="81"/>
    </row>
    <row r="6" spans="1:7" ht="15">
      <c r="A6" s="82" t="s">
        <v>3532</v>
      </c>
      <c r="B6" s="81">
        <v>450</v>
      </c>
      <c r="C6" s="108">
        <v>0.034530386740331494</v>
      </c>
      <c r="D6" s="81"/>
      <c r="E6" s="81"/>
      <c r="F6" s="81"/>
      <c r="G6" s="81"/>
    </row>
    <row r="7" spans="1:7" ht="15">
      <c r="A7" s="82" t="s">
        <v>3533</v>
      </c>
      <c r="B7" s="81">
        <v>0</v>
      </c>
      <c r="C7" s="108">
        <v>0</v>
      </c>
      <c r="D7" s="81"/>
      <c r="E7" s="81"/>
      <c r="F7" s="81"/>
      <c r="G7" s="81"/>
    </row>
    <row r="8" spans="1:7" ht="15">
      <c r="A8" s="82" t="s">
        <v>3534</v>
      </c>
      <c r="B8" s="81">
        <v>4388</v>
      </c>
      <c r="C8" s="108">
        <v>0.33670963781461016</v>
      </c>
      <c r="D8" s="81"/>
      <c r="E8" s="81"/>
      <c r="F8" s="81"/>
      <c r="G8" s="81"/>
    </row>
    <row r="9" spans="1:7" ht="15">
      <c r="A9" s="82" t="s">
        <v>3535</v>
      </c>
      <c r="B9" s="81">
        <v>13032</v>
      </c>
      <c r="C9" s="108">
        <v>1</v>
      </c>
      <c r="D9" s="81"/>
      <c r="E9" s="81"/>
      <c r="F9" s="81"/>
      <c r="G9" s="81"/>
    </row>
    <row r="10" spans="1:7" ht="15">
      <c r="A10" s="87" t="s">
        <v>3536</v>
      </c>
      <c r="B10" s="107">
        <v>52</v>
      </c>
      <c r="C10" s="109">
        <v>0.010823970531519457</v>
      </c>
      <c r="D10" s="107" t="s">
        <v>4359</v>
      </c>
      <c r="E10" s="107" t="b">
        <v>0</v>
      </c>
      <c r="F10" s="107" t="b">
        <v>0</v>
      </c>
      <c r="G10" s="107" t="b">
        <v>0</v>
      </c>
    </row>
    <row r="11" spans="1:7" ht="15">
      <c r="A11" s="87" t="s">
        <v>3537</v>
      </c>
      <c r="B11" s="107">
        <v>51</v>
      </c>
      <c r="C11" s="109">
        <v>0.010417525044952046</v>
      </c>
      <c r="D11" s="107" t="s">
        <v>4359</v>
      </c>
      <c r="E11" s="107" t="b">
        <v>0</v>
      </c>
      <c r="F11" s="107" t="b">
        <v>0</v>
      </c>
      <c r="G11" s="107" t="b">
        <v>0</v>
      </c>
    </row>
    <row r="12" spans="1:7" ht="15">
      <c r="A12" s="87" t="s">
        <v>3538</v>
      </c>
      <c r="B12" s="107">
        <v>51</v>
      </c>
      <c r="C12" s="109">
        <v>0.010515490726205052</v>
      </c>
      <c r="D12" s="107" t="s">
        <v>4359</v>
      </c>
      <c r="E12" s="107" t="b">
        <v>0</v>
      </c>
      <c r="F12" s="107" t="b">
        <v>0</v>
      </c>
      <c r="G12" s="107" t="b">
        <v>0</v>
      </c>
    </row>
    <row r="13" spans="1:7" ht="15">
      <c r="A13" s="87" t="s">
        <v>3539</v>
      </c>
      <c r="B13" s="107">
        <v>47</v>
      </c>
      <c r="C13" s="109">
        <v>0.01028219355714614</v>
      </c>
      <c r="D13" s="107" t="s">
        <v>4359</v>
      </c>
      <c r="E13" s="107" t="b">
        <v>0</v>
      </c>
      <c r="F13" s="107" t="b">
        <v>0</v>
      </c>
      <c r="G13" s="107" t="b">
        <v>0</v>
      </c>
    </row>
    <row r="14" spans="1:7" ht="15">
      <c r="A14" s="87" t="s">
        <v>2785</v>
      </c>
      <c r="B14" s="107">
        <v>46</v>
      </c>
      <c r="C14" s="109">
        <v>0.009396199060152826</v>
      </c>
      <c r="D14" s="107" t="s">
        <v>4359</v>
      </c>
      <c r="E14" s="107" t="b">
        <v>1</v>
      </c>
      <c r="F14" s="107" t="b">
        <v>0</v>
      </c>
      <c r="G14" s="107" t="b">
        <v>0</v>
      </c>
    </row>
    <row r="15" spans="1:7" ht="15">
      <c r="A15" s="87" t="s">
        <v>3540</v>
      </c>
      <c r="B15" s="107">
        <v>38</v>
      </c>
      <c r="C15" s="109">
        <v>0.008984009325050005</v>
      </c>
      <c r="D15" s="107" t="s">
        <v>4359</v>
      </c>
      <c r="E15" s="107" t="b">
        <v>0</v>
      </c>
      <c r="F15" s="107" t="b">
        <v>0</v>
      </c>
      <c r="G15" s="107" t="b">
        <v>0</v>
      </c>
    </row>
    <row r="16" spans="1:7" ht="15">
      <c r="A16" s="87" t="s">
        <v>3541</v>
      </c>
      <c r="B16" s="107">
        <v>35</v>
      </c>
      <c r="C16" s="109">
        <v>0.008698811149565258</v>
      </c>
      <c r="D16" s="107" t="s">
        <v>4359</v>
      </c>
      <c r="E16" s="107" t="b">
        <v>0</v>
      </c>
      <c r="F16" s="107" t="b">
        <v>0</v>
      </c>
      <c r="G16" s="107" t="b">
        <v>0</v>
      </c>
    </row>
    <row r="17" spans="1:7" ht="15">
      <c r="A17" s="87" t="s">
        <v>3542</v>
      </c>
      <c r="B17" s="107">
        <v>33</v>
      </c>
      <c r="C17" s="109">
        <v>0.007994408420140976</v>
      </c>
      <c r="D17" s="107" t="s">
        <v>4359</v>
      </c>
      <c r="E17" s="107" t="b">
        <v>0</v>
      </c>
      <c r="F17" s="107" t="b">
        <v>0</v>
      </c>
      <c r="G17" s="107" t="b">
        <v>0</v>
      </c>
    </row>
    <row r="18" spans="1:7" ht="15">
      <c r="A18" s="87" t="s">
        <v>3543</v>
      </c>
      <c r="B18" s="107">
        <v>32</v>
      </c>
      <c r="C18" s="109">
        <v>0.007850742589083543</v>
      </c>
      <c r="D18" s="107" t="s">
        <v>4359</v>
      </c>
      <c r="E18" s="107" t="b">
        <v>1</v>
      </c>
      <c r="F18" s="107" t="b">
        <v>0</v>
      </c>
      <c r="G18" s="107" t="b">
        <v>0</v>
      </c>
    </row>
    <row r="19" spans="1:7" ht="15">
      <c r="A19" s="87" t="s">
        <v>3544</v>
      </c>
      <c r="B19" s="107">
        <v>30</v>
      </c>
      <c r="C19" s="109">
        <v>0.007092638940828951</v>
      </c>
      <c r="D19" s="107" t="s">
        <v>4359</v>
      </c>
      <c r="E19" s="107" t="b">
        <v>1</v>
      </c>
      <c r="F19" s="107" t="b">
        <v>0</v>
      </c>
      <c r="G19" s="107" t="b">
        <v>0</v>
      </c>
    </row>
    <row r="20" spans="1:7" ht="15">
      <c r="A20" s="87" t="s">
        <v>3545</v>
      </c>
      <c r="B20" s="107">
        <v>29</v>
      </c>
      <c r="C20" s="109">
        <v>0.007114735471356961</v>
      </c>
      <c r="D20" s="107" t="s">
        <v>4359</v>
      </c>
      <c r="E20" s="107" t="b">
        <v>0</v>
      </c>
      <c r="F20" s="107" t="b">
        <v>0</v>
      </c>
      <c r="G20" s="107" t="b">
        <v>0</v>
      </c>
    </row>
    <row r="21" spans="1:7" ht="15">
      <c r="A21" s="87" t="s">
        <v>3546</v>
      </c>
      <c r="B21" s="107">
        <v>28</v>
      </c>
      <c r="C21" s="109">
        <v>0.007052358219443952</v>
      </c>
      <c r="D21" s="107" t="s">
        <v>4359</v>
      </c>
      <c r="E21" s="107" t="b">
        <v>0</v>
      </c>
      <c r="F21" s="107" t="b">
        <v>0</v>
      </c>
      <c r="G21" s="107" t="b">
        <v>0</v>
      </c>
    </row>
    <row r="22" spans="1:7" ht="15">
      <c r="A22" s="87" t="s">
        <v>3547</v>
      </c>
      <c r="B22" s="107">
        <v>24</v>
      </c>
      <c r="C22" s="109">
        <v>0.00672049796403466</v>
      </c>
      <c r="D22" s="107" t="s">
        <v>4359</v>
      </c>
      <c r="E22" s="107" t="b">
        <v>0</v>
      </c>
      <c r="F22" s="107" t="b">
        <v>0</v>
      </c>
      <c r="G22" s="107" t="b">
        <v>0</v>
      </c>
    </row>
    <row r="23" spans="1:7" ht="15">
      <c r="A23" s="87" t="s">
        <v>3548</v>
      </c>
      <c r="B23" s="107">
        <v>21</v>
      </c>
      <c r="C23" s="109">
        <v>0.006213281319977838</v>
      </c>
      <c r="D23" s="107" t="s">
        <v>4359</v>
      </c>
      <c r="E23" s="107" t="b">
        <v>0</v>
      </c>
      <c r="F23" s="107" t="b">
        <v>0</v>
      </c>
      <c r="G23" s="107" t="b">
        <v>0</v>
      </c>
    </row>
    <row r="24" spans="1:7" ht="15">
      <c r="A24" s="87" t="s">
        <v>3549</v>
      </c>
      <c r="B24" s="107">
        <v>20</v>
      </c>
      <c r="C24" s="109">
        <v>0.005699395942669293</v>
      </c>
      <c r="D24" s="107" t="s">
        <v>4359</v>
      </c>
      <c r="E24" s="107" t="b">
        <v>0</v>
      </c>
      <c r="F24" s="107" t="b">
        <v>0</v>
      </c>
      <c r="G24" s="107" t="b">
        <v>0</v>
      </c>
    </row>
    <row r="25" spans="1:7" ht="15">
      <c r="A25" s="87" t="s">
        <v>3550</v>
      </c>
      <c r="B25" s="107">
        <v>20</v>
      </c>
      <c r="C25" s="109">
        <v>0.005507093226701694</v>
      </c>
      <c r="D25" s="107" t="s">
        <v>4359</v>
      </c>
      <c r="E25" s="107" t="b">
        <v>0</v>
      </c>
      <c r="F25" s="107" t="b">
        <v>0</v>
      </c>
      <c r="G25" s="107" t="b">
        <v>0</v>
      </c>
    </row>
    <row r="26" spans="1:7" ht="15">
      <c r="A26" s="87" t="s">
        <v>3551</v>
      </c>
      <c r="B26" s="107">
        <v>19</v>
      </c>
      <c r="C26" s="109">
        <v>0.005320394221527439</v>
      </c>
      <c r="D26" s="107" t="s">
        <v>4359</v>
      </c>
      <c r="E26" s="107" t="b">
        <v>1</v>
      </c>
      <c r="F26" s="107" t="b">
        <v>0</v>
      </c>
      <c r="G26" s="107" t="b">
        <v>0</v>
      </c>
    </row>
    <row r="27" spans="1:7" ht="15">
      <c r="A27" s="87" t="s">
        <v>3552</v>
      </c>
      <c r="B27" s="107">
        <v>19</v>
      </c>
      <c r="C27" s="109">
        <v>0.005320394221527439</v>
      </c>
      <c r="D27" s="107" t="s">
        <v>4359</v>
      </c>
      <c r="E27" s="107" t="b">
        <v>0</v>
      </c>
      <c r="F27" s="107" t="b">
        <v>0</v>
      </c>
      <c r="G27" s="107" t="b">
        <v>0</v>
      </c>
    </row>
    <row r="28" spans="1:7" ht="15">
      <c r="A28" s="87" t="s">
        <v>3553</v>
      </c>
      <c r="B28" s="107">
        <v>18</v>
      </c>
      <c r="C28" s="109">
        <v>0.005974906445751762</v>
      </c>
      <c r="D28" s="107" t="s">
        <v>4359</v>
      </c>
      <c r="E28" s="107" t="b">
        <v>0</v>
      </c>
      <c r="F28" s="107" t="b">
        <v>0</v>
      </c>
      <c r="G28" s="107" t="b">
        <v>0</v>
      </c>
    </row>
    <row r="29" spans="1:7" ht="15">
      <c r="A29" s="87" t="s">
        <v>3554</v>
      </c>
      <c r="B29" s="107">
        <v>18</v>
      </c>
      <c r="C29" s="109">
        <v>0.0051294563484023635</v>
      </c>
      <c r="D29" s="107" t="s">
        <v>4359</v>
      </c>
      <c r="E29" s="107" t="b">
        <v>0</v>
      </c>
      <c r="F29" s="107" t="b">
        <v>0</v>
      </c>
      <c r="G29" s="107" t="b">
        <v>0</v>
      </c>
    </row>
    <row r="30" spans="1:7" ht="15">
      <c r="A30" s="87" t="s">
        <v>3555</v>
      </c>
      <c r="B30" s="107">
        <v>18</v>
      </c>
      <c r="C30" s="109">
        <v>0.0051294563484023635</v>
      </c>
      <c r="D30" s="107" t="s">
        <v>4359</v>
      </c>
      <c r="E30" s="107" t="b">
        <v>1</v>
      </c>
      <c r="F30" s="107" t="b">
        <v>0</v>
      </c>
      <c r="G30" s="107" t="b">
        <v>0</v>
      </c>
    </row>
    <row r="31" spans="1:7" ht="15">
      <c r="A31" s="87" t="s">
        <v>3556</v>
      </c>
      <c r="B31" s="107">
        <v>17</v>
      </c>
      <c r="C31" s="109">
        <v>0.005029799163791583</v>
      </c>
      <c r="D31" s="107" t="s">
        <v>4359</v>
      </c>
      <c r="E31" s="107" t="b">
        <v>0</v>
      </c>
      <c r="F31" s="107" t="b">
        <v>0</v>
      </c>
      <c r="G31" s="107" t="b">
        <v>0</v>
      </c>
    </row>
    <row r="32" spans="1:7" ht="15">
      <c r="A32" s="87" t="s">
        <v>3557</v>
      </c>
      <c r="B32" s="107">
        <v>17</v>
      </c>
      <c r="C32" s="109">
        <v>0.00476035272452455</v>
      </c>
      <c r="D32" s="107" t="s">
        <v>4359</v>
      </c>
      <c r="E32" s="107" t="b">
        <v>1</v>
      </c>
      <c r="F32" s="107" t="b">
        <v>0</v>
      </c>
      <c r="G32" s="107" t="b">
        <v>0</v>
      </c>
    </row>
    <row r="33" spans="1:7" ht="15">
      <c r="A33" s="87" t="s">
        <v>3558</v>
      </c>
      <c r="B33" s="107">
        <v>17</v>
      </c>
      <c r="C33" s="109">
        <v>0.004934052021420054</v>
      </c>
      <c r="D33" s="107" t="s">
        <v>4359</v>
      </c>
      <c r="E33" s="107" t="b">
        <v>0</v>
      </c>
      <c r="F33" s="107" t="b">
        <v>0</v>
      </c>
      <c r="G33" s="107" t="b">
        <v>0</v>
      </c>
    </row>
    <row r="34" spans="1:7" ht="15">
      <c r="A34" s="87" t="s">
        <v>3559</v>
      </c>
      <c r="B34" s="107">
        <v>17</v>
      </c>
      <c r="C34" s="109">
        <v>0.004934052021420054</v>
      </c>
      <c r="D34" s="107" t="s">
        <v>4359</v>
      </c>
      <c r="E34" s="107" t="b">
        <v>0</v>
      </c>
      <c r="F34" s="107" t="b">
        <v>0</v>
      </c>
      <c r="G34" s="107" t="b">
        <v>0</v>
      </c>
    </row>
    <row r="35" spans="1:7" ht="15">
      <c r="A35" s="87" t="s">
        <v>3560</v>
      </c>
      <c r="B35" s="107">
        <v>16</v>
      </c>
      <c r="C35" s="109">
        <v>0.00493527235295739</v>
      </c>
      <c r="D35" s="107" t="s">
        <v>4359</v>
      </c>
      <c r="E35" s="107" t="b">
        <v>0</v>
      </c>
      <c r="F35" s="107" t="b">
        <v>0</v>
      </c>
      <c r="G35" s="107" t="b">
        <v>0</v>
      </c>
    </row>
    <row r="36" spans="1:7" ht="15">
      <c r="A36" s="87" t="s">
        <v>3561</v>
      </c>
      <c r="B36" s="107">
        <v>16</v>
      </c>
      <c r="C36" s="109">
        <v>0.004643813667218875</v>
      </c>
      <c r="D36" s="107" t="s">
        <v>4359</v>
      </c>
      <c r="E36" s="107" t="b">
        <v>0</v>
      </c>
      <c r="F36" s="107" t="b">
        <v>0</v>
      </c>
      <c r="G36" s="107" t="b">
        <v>0</v>
      </c>
    </row>
    <row r="37" spans="1:7" ht="15">
      <c r="A37" s="87" t="s">
        <v>3562</v>
      </c>
      <c r="B37" s="107">
        <v>15</v>
      </c>
      <c r="C37" s="109">
        <v>0.004626817830897553</v>
      </c>
      <c r="D37" s="107" t="s">
        <v>4359</v>
      </c>
      <c r="E37" s="107" t="b">
        <v>0</v>
      </c>
      <c r="F37" s="107" t="b">
        <v>0</v>
      </c>
      <c r="G37" s="107" t="b">
        <v>0</v>
      </c>
    </row>
    <row r="38" spans="1:7" ht="15">
      <c r="A38" s="87" t="s">
        <v>3563</v>
      </c>
      <c r="B38" s="107">
        <v>15</v>
      </c>
      <c r="C38" s="109">
        <v>0.004528804373399775</v>
      </c>
      <c r="D38" s="107" t="s">
        <v>4359</v>
      </c>
      <c r="E38" s="107" t="b">
        <v>0</v>
      </c>
      <c r="F38" s="107" t="b">
        <v>0</v>
      </c>
      <c r="G38" s="107" t="b">
        <v>0</v>
      </c>
    </row>
    <row r="39" spans="1:7" ht="15">
      <c r="A39" s="87" t="s">
        <v>3564</v>
      </c>
      <c r="B39" s="107">
        <v>15</v>
      </c>
      <c r="C39" s="109">
        <v>0.004850073223888976</v>
      </c>
      <c r="D39" s="107" t="s">
        <v>4359</v>
      </c>
      <c r="E39" s="107" t="b">
        <v>0</v>
      </c>
      <c r="F39" s="107" t="b">
        <v>0</v>
      </c>
      <c r="G39" s="107" t="b">
        <v>0</v>
      </c>
    </row>
    <row r="40" spans="1:7" ht="15">
      <c r="A40" s="87" t="s">
        <v>3565</v>
      </c>
      <c r="B40" s="107">
        <v>15</v>
      </c>
      <c r="C40" s="109">
        <v>0.004626817830897553</v>
      </c>
      <c r="D40" s="107" t="s">
        <v>4359</v>
      </c>
      <c r="E40" s="107" t="b">
        <v>0</v>
      </c>
      <c r="F40" s="107" t="b">
        <v>0</v>
      </c>
      <c r="G40" s="107" t="b">
        <v>0</v>
      </c>
    </row>
    <row r="41" spans="1:7" ht="15">
      <c r="A41" s="87" t="s">
        <v>3566</v>
      </c>
      <c r="B41" s="107">
        <v>15</v>
      </c>
      <c r="C41" s="109">
        <v>0.004626817830897553</v>
      </c>
      <c r="D41" s="107" t="s">
        <v>4359</v>
      </c>
      <c r="E41" s="107" t="b">
        <v>0</v>
      </c>
      <c r="F41" s="107" t="b">
        <v>0</v>
      </c>
      <c r="G41" s="107" t="b">
        <v>0</v>
      </c>
    </row>
    <row r="42" spans="1:7" ht="15">
      <c r="A42" s="87" t="s">
        <v>3567</v>
      </c>
      <c r="B42" s="107">
        <v>14</v>
      </c>
      <c r="C42" s="109">
        <v>0.0042268840818397895</v>
      </c>
      <c r="D42" s="107" t="s">
        <v>4359</v>
      </c>
      <c r="E42" s="107" t="b">
        <v>0</v>
      </c>
      <c r="F42" s="107" t="b">
        <v>0</v>
      </c>
      <c r="G42" s="107" t="b">
        <v>0</v>
      </c>
    </row>
    <row r="43" spans="1:7" ht="15">
      <c r="A43" s="87" t="s">
        <v>3568</v>
      </c>
      <c r="B43" s="107">
        <v>14</v>
      </c>
      <c r="C43" s="109">
        <v>0.0042268840818397895</v>
      </c>
      <c r="D43" s="107" t="s">
        <v>4359</v>
      </c>
      <c r="E43" s="107" t="b">
        <v>0</v>
      </c>
      <c r="F43" s="107" t="b">
        <v>0</v>
      </c>
      <c r="G43" s="107" t="b">
        <v>0</v>
      </c>
    </row>
    <row r="44" spans="1:7" ht="15">
      <c r="A44" s="87" t="s">
        <v>3569</v>
      </c>
      <c r="B44" s="107">
        <v>14</v>
      </c>
      <c r="C44" s="109">
        <v>0.0042268840818397895</v>
      </c>
      <c r="D44" s="107" t="s">
        <v>4359</v>
      </c>
      <c r="E44" s="107" t="b">
        <v>0</v>
      </c>
      <c r="F44" s="107" t="b">
        <v>0</v>
      </c>
      <c r="G44" s="107" t="b">
        <v>0</v>
      </c>
    </row>
    <row r="45" spans="1:7" ht="15">
      <c r="A45" s="87" t="s">
        <v>3570</v>
      </c>
      <c r="B45" s="107">
        <v>13</v>
      </c>
      <c r="C45" s="109">
        <v>0.004102249255116638</v>
      </c>
      <c r="D45" s="107" t="s">
        <v>4359</v>
      </c>
      <c r="E45" s="107" t="b">
        <v>1</v>
      </c>
      <c r="F45" s="107" t="b">
        <v>0</v>
      </c>
      <c r="G45" s="107" t="b">
        <v>0</v>
      </c>
    </row>
    <row r="46" spans="1:7" ht="15">
      <c r="A46" s="87" t="s">
        <v>3571</v>
      </c>
      <c r="B46" s="107">
        <v>13</v>
      </c>
      <c r="C46" s="109">
        <v>0.004203396794037113</v>
      </c>
      <c r="D46" s="107" t="s">
        <v>4359</v>
      </c>
      <c r="E46" s="107" t="b">
        <v>0</v>
      </c>
      <c r="F46" s="107" t="b">
        <v>0</v>
      </c>
      <c r="G46" s="107" t="b">
        <v>0</v>
      </c>
    </row>
    <row r="47" spans="1:7" ht="15">
      <c r="A47" s="87" t="s">
        <v>2951</v>
      </c>
      <c r="B47" s="107">
        <v>13</v>
      </c>
      <c r="C47" s="109">
        <v>0.003924963790279804</v>
      </c>
      <c r="D47" s="107" t="s">
        <v>4359</v>
      </c>
      <c r="E47" s="107" t="b">
        <v>1</v>
      </c>
      <c r="F47" s="107" t="b">
        <v>0</v>
      </c>
      <c r="G47" s="107" t="b">
        <v>0</v>
      </c>
    </row>
    <row r="48" spans="1:7" ht="15">
      <c r="A48" s="87" t="s">
        <v>3572</v>
      </c>
      <c r="B48" s="107">
        <v>13</v>
      </c>
      <c r="C48" s="109">
        <v>0.004440206976199656</v>
      </c>
      <c r="D48" s="107" t="s">
        <v>4359</v>
      </c>
      <c r="E48" s="107" t="b">
        <v>0</v>
      </c>
      <c r="F48" s="107" t="b">
        <v>0</v>
      </c>
      <c r="G48" s="107" t="b">
        <v>0</v>
      </c>
    </row>
    <row r="49" spans="1:7" ht="15">
      <c r="A49" s="87" t="s">
        <v>3573</v>
      </c>
      <c r="B49" s="107">
        <v>13</v>
      </c>
      <c r="C49" s="109">
        <v>0.003924963790279804</v>
      </c>
      <c r="D49" s="107" t="s">
        <v>4359</v>
      </c>
      <c r="E49" s="107" t="b">
        <v>0</v>
      </c>
      <c r="F49" s="107" t="b">
        <v>0</v>
      </c>
      <c r="G49" s="107" t="b">
        <v>0</v>
      </c>
    </row>
    <row r="50" spans="1:7" ht="15">
      <c r="A50" s="87" t="s">
        <v>3574</v>
      </c>
      <c r="B50" s="107">
        <v>13</v>
      </c>
      <c r="C50" s="109">
        <v>0.003924963790279804</v>
      </c>
      <c r="D50" s="107" t="s">
        <v>4359</v>
      </c>
      <c r="E50" s="107" t="b">
        <v>0</v>
      </c>
      <c r="F50" s="107" t="b">
        <v>0</v>
      </c>
      <c r="G50" s="107" t="b">
        <v>0</v>
      </c>
    </row>
    <row r="51" spans="1:7" ht="15">
      <c r="A51" s="87" t="s">
        <v>3575</v>
      </c>
      <c r="B51" s="107">
        <v>13</v>
      </c>
      <c r="C51" s="109">
        <v>0.004102249255116638</v>
      </c>
      <c r="D51" s="107" t="s">
        <v>4359</v>
      </c>
      <c r="E51" s="107" t="b">
        <v>0</v>
      </c>
      <c r="F51" s="107" t="b">
        <v>0</v>
      </c>
      <c r="G51" s="107" t="b">
        <v>0</v>
      </c>
    </row>
    <row r="52" spans="1:7" ht="15">
      <c r="A52" s="87" t="s">
        <v>3576</v>
      </c>
      <c r="B52" s="107">
        <v>12</v>
      </c>
      <c r="C52" s="109">
        <v>0.003880058579111181</v>
      </c>
      <c r="D52" s="107" t="s">
        <v>4359</v>
      </c>
      <c r="E52" s="107" t="b">
        <v>0</v>
      </c>
      <c r="F52" s="107" t="b">
        <v>0</v>
      </c>
      <c r="G52" s="107" t="b">
        <v>0</v>
      </c>
    </row>
    <row r="53" spans="1:7" ht="15">
      <c r="A53" s="87" t="s">
        <v>3577</v>
      </c>
      <c r="B53" s="107">
        <v>12</v>
      </c>
      <c r="C53" s="109">
        <v>0.0040986525934150675</v>
      </c>
      <c r="D53" s="107" t="s">
        <v>4359</v>
      </c>
      <c r="E53" s="107" t="b">
        <v>0</v>
      </c>
      <c r="F53" s="107" t="b">
        <v>0</v>
      </c>
      <c r="G53" s="107" t="b">
        <v>0</v>
      </c>
    </row>
    <row r="54" spans="1:7" ht="15">
      <c r="A54" s="87" t="s">
        <v>2632</v>
      </c>
      <c r="B54" s="107">
        <v>12</v>
      </c>
      <c r="C54" s="109">
        <v>0.0037014542647180425</v>
      </c>
      <c r="D54" s="107" t="s">
        <v>4359</v>
      </c>
      <c r="E54" s="107" t="b">
        <v>1</v>
      </c>
      <c r="F54" s="107" t="b">
        <v>0</v>
      </c>
      <c r="G54" s="107" t="b">
        <v>0</v>
      </c>
    </row>
    <row r="55" spans="1:7" ht="15">
      <c r="A55" s="87" t="s">
        <v>3578</v>
      </c>
      <c r="B55" s="107">
        <v>12</v>
      </c>
      <c r="C55" s="109">
        <v>0.003786691620107666</v>
      </c>
      <c r="D55" s="107" t="s">
        <v>4359</v>
      </c>
      <c r="E55" s="107" t="b">
        <v>0</v>
      </c>
      <c r="F55" s="107" t="b">
        <v>0</v>
      </c>
      <c r="G55" s="107" t="b">
        <v>0</v>
      </c>
    </row>
    <row r="56" spans="1:7" ht="15">
      <c r="A56" s="87" t="s">
        <v>3579</v>
      </c>
      <c r="B56" s="107">
        <v>12</v>
      </c>
      <c r="C56" s="109">
        <v>0.003880058579111181</v>
      </c>
      <c r="D56" s="107" t="s">
        <v>4359</v>
      </c>
      <c r="E56" s="107" t="b">
        <v>0</v>
      </c>
      <c r="F56" s="107" t="b">
        <v>0</v>
      </c>
      <c r="G56" s="107" t="b">
        <v>0</v>
      </c>
    </row>
    <row r="57" spans="1:7" ht="15">
      <c r="A57" s="87" t="s">
        <v>3580</v>
      </c>
      <c r="B57" s="107">
        <v>12</v>
      </c>
      <c r="C57" s="109">
        <v>0.0037014542647180425</v>
      </c>
      <c r="D57" s="107" t="s">
        <v>4359</v>
      </c>
      <c r="E57" s="107" t="b">
        <v>0</v>
      </c>
      <c r="F57" s="107" t="b">
        <v>0</v>
      </c>
      <c r="G57" s="107" t="b">
        <v>0</v>
      </c>
    </row>
    <row r="58" spans="1:7" ht="15">
      <c r="A58" s="87" t="s">
        <v>3581</v>
      </c>
      <c r="B58" s="107">
        <v>12</v>
      </c>
      <c r="C58" s="109">
        <v>0.003786691620107666</v>
      </c>
      <c r="D58" s="107" t="s">
        <v>4359</v>
      </c>
      <c r="E58" s="107" t="b">
        <v>0</v>
      </c>
      <c r="F58" s="107" t="b">
        <v>0</v>
      </c>
      <c r="G58" s="107" t="b">
        <v>0</v>
      </c>
    </row>
    <row r="59" spans="1:7" ht="15">
      <c r="A59" s="87" t="s">
        <v>3582</v>
      </c>
      <c r="B59" s="107">
        <v>12</v>
      </c>
      <c r="C59" s="109">
        <v>0.0037014542647180425</v>
      </c>
      <c r="D59" s="107" t="s">
        <v>4359</v>
      </c>
      <c r="E59" s="107" t="b">
        <v>0</v>
      </c>
      <c r="F59" s="107" t="b">
        <v>0</v>
      </c>
      <c r="G59" s="107" t="b">
        <v>0</v>
      </c>
    </row>
    <row r="60" spans="1:7" ht="15">
      <c r="A60" s="87" t="s">
        <v>3583</v>
      </c>
      <c r="B60" s="107">
        <v>12</v>
      </c>
      <c r="C60" s="109">
        <v>0.0037014542647180425</v>
      </c>
      <c r="D60" s="107" t="s">
        <v>4359</v>
      </c>
      <c r="E60" s="107" t="b">
        <v>0</v>
      </c>
      <c r="F60" s="107" t="b">
        <v>0</v>
      </c>
      <c r="G60" s="107" t="b">
        <v>0</v>
      </c>
    </row>
    <row r="61" spans="1:7" ht="15">
      <c r="A61" s="87" t="s">
        <v>3584</v>
      </c>
      <c r="B61" s="107">
        <v>11</v>
      </c>
      <c r="C61" s="109">
        <v>0.0035567203641852486</v>
      </c>
      <c r="D61" s="107" t="s">
        <v>4359</v>
      </c>
      <c r="E61" s="107" t="b">
        <v>0</v>
      </c>
      <c r="F61" s="107" t="b">
        <v>0</v>
      </c>
      <c r="G61" s="107" t="b">
        <v>0</v>
      </c>
    </row>
    <row r="62" spans="1:7" ht="15">
      <c r="A62" s="87" t="s">
        <v>2596</v>
      </c>
      <c r="B62" s="107">
        <v>11</v>
      </c>
      <c r="C62" s="109">
        <v>0.0034711339850986935</v>
      </c>
      <c r="D62" s="107" t="s">
        <v>4359</v>
      </c>
      <c r="E62" s="107" t="b">
        <v>0</v>
      </c>
      <c r="F62" s="107" t="b">
        <v>0</v>
      </c>
      <c r="G62" s="107" t="b">
        <v>0</v>
      </c>
    </row>
    <row r="63" spans="1:7" ht="15">
      <c r="A63" s="87" t="s">
        <v>3585</v>
      </c>
      <c r="B63" s="107">
        <v>11</v>
      </c>
      <c r="C63" s="109">
        <v>0.0035567203641852486</v>
      </c>
      <c r="D63" s="107" t="s">
        <v>4359</v>
      </c>
      <c r="E63" s="107" t="b">
        <v>0</v>
      </c>
      <c r="F63" s="107" t="b">
        <v>0</v>
      </c>
      <c r="G63" s="107" t="b">
        <v>0</v>
      </c>
    </row>
    <row r="64" spans="1:7" ht="15">
      <c r="A64" s="87" t="s">
        <v>3586</v>
      </c>
      <c r="B64" s="107">
        <v>11</v>
      </c>
      <c r="C64" s="109">
        <v>0.0034711339850986935</v>
      </c>
      <c r="D64" s="107" t="s">
        <v>4359</v>
      </c>
      <c r="E64" s="107" t="b">
        <v>0</v>
      </c>
      <c r="F64" s="107" t="b">
        <v>0</v>
      </c>
      <c r="G64" s="107" t="b">
        <v>0</v>
      </c>
    </row>
    <row r="65" spans="1:7" ht="15">
      <c r="A65" s="87" t="s">
        <v>3587</v>
      </c>
      <c r="B65" s="107">
        <v>11</v>
      </c>
      <c r="C65" s="109">
        <v>0.0038770063716745675</v>
      </c>
      <c r="D65" s="107" t="s">
        <v>4359</v>
      </c>
      <c r="E65" s="107" t="b">
        <v>1</v>
      </c>
      <c r="F65" s="107" t="b">
        <v>0</v>
      </c>
      <c r="G65" s="107" t="b">
        <v>0</v>
      </c>
    </row>
    <row r="66" spans="1:7" ht="15">
      <c r="A66" s="87" t="s">
        <v>3588</v>
      </c>
      <c r="B66" s="107">
        <v>11</v>
      </c>
      <c r="C66" s="109">
        <v>0.0034711339850986935</v>
      </c>
      <c r="D66" s="107" t="s">
        <v>4359</v>
      </c>
      <c r="E66" s="107" t="b">
        <v>0</v>
      </c>
      <c r="F66" s="107" t="b">
        <v>0</v>
      </c>
      <c r="G66" s="107" t="b">
        <v>0</v>
      </c>
    </row>
    <row r="67" spans="1:7" ht="15">
      <c r="A67" s="87" t="s">
        <v>3589</v>
      </c>
      <c r="B67" s="107">
        <v>11</v>
      </c>
      <c r="C67" s="109">
        <v>0.0034711339850986935</v>
      </c>
      <c r="D67" s="107" t="s">
        <v>4359</v>
      </c>
      <c r="E67" s="107" t="b">
        <v>0</v>
      </c>
      <c r="F67" s="107" t="b">
        <v>1</v>
      </c>
      <c r="G67" s="107" t="b">
        <v>0</v>
      </c>
    </row>
    <row r="68" spans="1:7" ht="15">
      <c r="A68" s="87" t="s">
        <v>3590</v>
      </c>
      <c r="B68" s="107">
        <v>11</v>
      </c>
      <c r="C68" s="109">
        <v>0.003651331716848299</v>
      </c>
      <c r="D68" s="107" t="s">
        <v>4359</v>
      </c>
      <c r="E68" s="107" t="b">
        <v>0</v>
      </c>
      <c r="F68" s="107" t="b">
        <v>0</v>
      </c>
      <c r="G68" s="107" t="b">
        <v>0</v>
      </c>
    </row>
    <row r="69" spans="1:7" ht="15">
      <c r="A69" s="87" t="s">
        <v>3591</v>
      </c>
      <c r="B69" s="107">
        <v>10</v>
      </c>
      <c r="C69" s="109">
        <v>0.003650391077109611</v>
      </c>
      <c r="D69" s="107" t="s">
        <v>4359</v>
      </c>
      <c r="E69" s="107" t="b">
        <v>0</v>
      </c>
      <c r="F69" s="107" t="b">
        <v>0</v>
      </c>
      <c r="G69" s="107" t="b">
        <v>0</v>
      </c>
    </row>
    <row r="70" spans="1:7" ht="15">
      <c r="A70" s="87" t="s">
        <v>3592</v>
      </c>
      <c r="B70" s="107">
        <v>10</v>
      </c>
      <c r="C70" s="109">
        <v>0.00352455124697688</v>
      </c>
      <c r="D70" s="107" t="s">
        <v>4359</v>
      </c>
      <c r="E70" s="107" t="b">
        <v>0</v>
      </c>
      <c r="F70" s="107" t="b">
        <v>0</v>
      </c>
      <c r="G70" s="107" t="b">
        <v>0</v>
      </c>
    </row>
    <row r="71" spans="1:7" ht="15">
      <c r="A71" s="87" t="s">
        <v>3593</v>
      </c>
      <c r="B71" s="107">
        <v>10</v>
      </c>
      <c r="C71" s="109">
        <v>0.003650391077109611</v>
      </c>
      <c r="D71" s="107" t="s">
        <v>4359</v>
      </c>
      <c r="E71" s="107" t="b">
        <v>0</v>
      </c>
      <c r="F71" s="107" t="b">
        <v>0</v>
      </c>
      <c r="G71" s="107" t="b">
        <v>0</v>
      </c>
    </row>
    <row r="72" spans="1:7" ht="15">
      <c r="A72" s="87" t="s">
        <v>3594</v>
      </c>
      <c r="B72" s="107">
        <v>10</v>
      </c>
      <c r="C72" s="109">
        <v>0.0037992280057705607</v>
      </c>
      <c r="D72" s="107" t="s">
        <v>4359</v>
      </c>
      <c r="E72" s="107" t="b">
        <v>0</v>
      </c>
      <c r="F72" s="107" t="b">
        <v>0</v>
      </c>
      <c r="G72" s="107" t="b">
        <v>0</v>
      </c>
    </row>
    <row r="73" spans="1:7" ht="15">
      <c r="A73" s="87" t="s">
        <v>3595</v>
      </c>
      <c r="B73" s="107">
        <v>10</v>
      </c>
      <c r="C73" s="109">
        <v>0.003233382149259317</v>
      </c>
      <c r="D73" s="107" t="s">
        <v>4359</v>
      </c>
      <c r="E73" s="107" t="b">
        <v>0</v>
      </c>
      <c r="F73" s="107" t="b">
        <v>0</v>
      </c>
      <c r="G73" s="107" t="b">
        <v>0</v>
      </c>
    </row>
    <row r="74" spans="1:7" ht="15">
      <c r="A74" s="87" t="s">
        <v>3596</v>
      </c>
      <c r="B74" s="107">
        <v>10</v>
      </c>
      <c r="C74" s="109">
        <v>0.00331939246986209</v>
      </c>
      <c r="D74" s="107" t="s">
        <v>4359</v>
      </c>
      <c r="E74" s="107" t="b">
        <v>0</v>
      </c>
      <c r="F74" s="107" t="b">
        <v>0</v>
      </c>
      <c r="G74" s="107" t="b">
        <v>0</v>
      </c>
    </row>
    <row r="75" spans="1:7" ht="15">
      <c r="A75" s="87" t="s">
        <v>3597</v>
      </c>
      <c r="B75" s="107">
        <v>10</v>
      </c>
      <c r="C75" s="109">
        <v>0.00331939246986209</v>
      </c>
      <c r="D75" s="107" t="s">
        <v>4359</v>
      </c>
      <c r="E75" s="107" t="b">
        <v>0</v>
      </c>
      <c r="F75" s="107" t="b">
        <v>0</v>
      </c>
      <c r="G75" s="107" t="b">
        <v>0</v>
      </c>
    </row>
    <row r="76" spans="1:7" ht="15">
      <c r="A76" s="87" t="s">
        <v>3598</v>
      </c>
      <c r="B76" s="107">
        <v>10</v>
      </c>
      <c r="C76" s="109">
        <v>0.003233382149259317</v>
      </c>
      <c r="D76" s="107" t="s">
        <v>4359</v>
      </c>
      <c r="E76" s="107" t="b">
        <v>0</v>
      </c>
      <c r="F76" s="107" t="b">
        <v>1</v>
      </c>
      <c r="G76" s="107" t="b">
        <v>0</v>
      </c>
    </row>
    <row r="77" spans="1:7" ht="15">
      <c r="A77" s="87" t="s">
        <v>3599</v>
      </c>
      <c r="B77" s="107">
        <v>10</v>
      </c>
      <c r="C77" s="109">
        <v>0.003233382149259317</v>
      </c>
      <c r="D77" s="107" t="s">
        <v>4359</v>
      </c>
      <c r="E77" s="107" t="b">
        <v>0</v>
      </c>
      <c r="F77" s="107" t="b">
        <v>0</v>
      </c>
      <c r="G77" s="107" t="b">
        <v>0</v>
      </c>
    </row>
    <row r="78" spans="1:7" ht="15">
      <c r="A78" s="87" t="s">
        <v>3600</v>
      </c>
      <c r="B78" s="107">
        <v>9</v>
      </c>
      <c r="C78" s="109">
        <v>0.002987453222875881</v>
      </c>
      <c r="D78" s="107" t="s">
        <v>4359</v>
      </c>
      <c r="E78" s="107" t="b">
        <v>0</v>
      </c>
      <c r="F78" s="107" t="b">
        <v>0</v>
      </c>
      <c r="G78" s="107" t="b">
        <v>0</v>
      </c>
    </row>
    <row r="79" spans="1:7" ht="15">
      <c r="A79" s="87" t="s">
        <v>3601</v>
      </c>
      <c r="B79" s="107">
        <v>9</v>
      </c>
      <c r="C79" s="109">
        <v>0.0031720961222791917</v>
      </c>
      <c r="D79" s="107" t="s">
        <v>4359</v>
      </c>
      <c r="E79" s="107" t="b">
        <v>0</v>
      </c>
      <c r="F79" s="107" t="b">
        <v>0</v>
      </c>
      <c r="G79" s="107" t="b">
        <v>0</v>
      </c>
    </row>
    <row r="80" spans="1:7" ht="15">
      <c r="A80" s="87" t="s">
        <v>3602</v>
      </c>
      <c r="B80" s="107">
        <v>9</v>
      </c>
      <c r="C80" s="109">
        <v>0.003073989445061301</v>
      </c>
      <c r="D80" s="107" t="s">
        <v>4359</v>
      </c>
      <c r="E80" s="107" t="b">
        <v>0</v>
      </c>
      <c r="F80" s="107" t="b">
        <v>0</v>
      </c>
      <c r="G80" s="107" t="b">
        <v>0</v>
      </c>
    </row>
    <row r="81" spans="1:7" ht="15">
      <c r="A81" s="87" t="s">
        <v>3603</v>
      </c>
      <c r="B81" s="107">
        <v>9</v>
      </c>
      <c r="C81" s="109">
        <v>0.003073989445061301</v>
      </c>
      <c r="D81" s="107" t="s">
        <v>4359</v>
      </c>
      <c r="E81" s="107" t="b">
        <v>0</v>
      </c>
      <c r="F81" s="107" t="b">
        <v>0</v>
      </c>
      <c r="G81" s="107" t="b">
        <v>0</v>
      </c>
    </row>
    <row r="82" spans="1:7" ht="15">
      <c r="A82" s="87" t="s">
        <v>3604</v>
      </c>
      <c r="B82" s="107">
        <v>9</v>
      </c>
      <c r="C82" s="109">
        <v>0.002987453222875881</v>
      </c>
      <c r="D82" s="107" t="s">
        <v>4359</v>
      </c>
      <c r="E82" s="107" t="b">
        <v>0</v>
      </c>
      <c r="F82" s="107" t="b">
        <v>0</v>
      </c>
      <c r="G82" s="107" t="b">
        <v>0</v>
      </c>
    </row>
    <row r="83" spans="1:7" ht="15">
      <c r="A83" s="87" t="s">
        <v>2658</v>
      </c>
      <c r="B83" s="107">
        <v>9</v>
      </c>
      <c r="C83" s="109">
        <v>0.002987453222875881</v>
      </c>
      <c r="D83" s="107" t="s">
        <v>4359</v>
      </c>
      <c r="E83" s="107" t="b">
        <v>0</v>
      </c>
      <c r="F83" s="107" t="b">
        <v>0</v>
      </c>
      <c r="G83" s="107" t="b">
        <v>0</v>
      </c>
    </row>
    <row r="84" spans="1:7" ht="15">
      <c r="A84" s="87" t="s">
        <v>2941</v>
      </c>
      <c r="B84" s="107">
        <v>9</v>
      </c>
      <c r="C84" s="109">
        <v>0.003073989445061301</v>
      </c>
      <c r="D84" s="107" t="s">
        <v>4359</v>
      </c>
      <c r="E84" s="107" t="b">
        <v>0</v>
      </c>
      <c r="F84" s="107" t="b">
        <v>0</v>
      </c>
      <c r="G84" s="107" t="b">
        <v>0</v>
      </c>
    </row>
    <row r="85" spans="1:7" ht="15">
      <c r="A85" s="87" t="s">
        <v>3605</v>
      </c>
      <c r="B85" s="107">
        <v>9</v>
      </c>
      <c r="C85" s="109">
        <v>0.002987453222875881</v>
      </c>
      <c r="D85" s="107" t="s">
        <v>4359</v>
      </c>
      <c r="E85" s="107" t="b">
        <v>0</v>
      </c>
      <c r="F85" s="107" t="b">
        <v>0</v>
      </c>
      <c r="G85" s="107" t="b">
        <v>0</v>
      </c>
    </row>
    <row r="86" spans="1:7" ht="15">
      <c r="A86" s="87" t="s">
        <v>3606</v>
      </c>
      <c r="B86" s="107">
        <v>9</v>
      </c>
      <c r="C86" s="109">
        <v>0.002987453222875881</v>
      </c>
      <c r="D86" s="107" t="s">
        <v>4359</v>
      </c>
      <c r="E86" s="107" t="b">
        <v>0</v>
      </c>
      <c r="F86" s="107" t="b">
        <v>0</v>
      </c>
      <c r="G86" s="107" t="b">
        <v>0</v>
      </c>
    </row>
    <row r="87" spans="1:7" ht="15">
      <c r="A87" s="87" t="s">
        <v>3607</v>
      </c>
      <c r="B87" s="107">
        <v>9</v>
      </c>
      <c r="C87" s="109">
        <v>0.003073989445061301</v>
      </c>
      <c r="D87" s="107" t="s">
        <v>4359</v>
      </c>
      <c r="E87" s="107" t="b">
        <v>0</v>
      </c>
      <c r="F87" s="107" t="b">
        <v>0</v>
      </c>
      <c r="G87" s="107" t="b">
        <v>0</v>
      </c>
    </row>
    <row r="88" spans="1:7" ht="15">
      <c r="A88" s="87" t="s">
        <v>3608</v>
      </c>
      <c r="B88" s="107">
        <v>9</v>
      </c>
      <c r="C88" s="109">
        <v>0.00328535196939865</v>
      </c>
      <c r="D88" s="107" t="s">
        <v>4359</v>
      </c>
      <c r="E88" s="107" t="b">
        <v>0</v>
      </c>
      <c r="F88" s="107" t="b">
        <v>0</v>
      </c>
      <c r="G88" s="107" t="b">
        <v>0</v>
      </c>
    </row>
    <row r="89" spans="1:7" ht="15">
      <c r="A89" s="87" t="s">
        <v>3609</v>
      </c>
      <c r="B89" s="107">
        <v>9</v>
      </c>
      <c r="C89" s="109">
        <v>0.002987453222875881</v>
      </c>
      <c r="D89" s="107" t="s">
        <v>4359</v>
      </c>
      <c r="E89" s="107" t="b">
        <v>0</v>
      </c>
      <c r="F89" s="107" t="b">
        <v>0</v>
      </c>
      <c r="G89" s="107" t="b">
        <v>0</v>
      </c>
    </row>
    <row r="90" spans="1:7" ht="15">
      <c r="A90" s="87" t="s">
        <v>3610</v>
      </c>
      <c r="B90" s="107">
        <v>8</v>
      </c>
      <c r="C90" s="109">
        <v>0.002819640997581504</v>
      </c>
      <c r="D90" s="107" t="s">
        <v>4359</v>
      </c>
      <c r="E90" s="107" t="b">
        <v>0</v>
      </c>
      <c r="F90" s="107" t="b">
        <v>1</v>
      </c>
      <c r="G90" s="107" t="b">
        <v>0</v>
      </c>
    </row>
    <row r="91" spans="1:7" ht="15">
      <c r="A91" s="87" t="s">
        <v>3611</v>
      </c>
      <c r="B91" s="107">
        <v>8</v>
      </c>
      <c r="C91" s="109">
        <v>0.0027324350622767116</v>
      </c>
      <c r="D91" s="107" t="s">
        <v>4359</v>
      </c>
      <c r="E91" s="107" t="b">
        <v>0</v>
      </c>
      <c r="F91" s="107" t="b">
        <v>0</v>
      </c>
      <c r="G91" s="107" t="b">
        <v>0</v>
      </c>
    </row>
    <row r="92" spans="1:7" ht="15">
      <c r="A92" s="87" t="s">
        <v>3612</v>
      </c>
      <c r="B92" s="107">
        <v>8</v>
      </c>
      <c r="C92" s="109">
        <v>0.0027324350622767116</v>
      </c>
      <c r="D92" s="107" t="s">
        <v>4359</v>
      </c>
      <c r="E92" s="107" t="b">
        <v>0</v>
      </c>
      <c r="F92" s="107" t="b">
        <v>0</v>
      </c>
      <c r="G92" s="107" t="b">
        <v>0</v>
      </c>
    </row>
    <row r="93" spans="1:7" ht="15">
      <c r="A93" s="87" t="s">
        <v>3613</v>
      </c>
      <c r="B93" s="107">
        <v>8</v>
      </c>
      <c r="C93" s="109">
        <v>0.002819640997581504</v>
      </c>
      <c r="D93" s="107" t="s">
        <v>4359</v>
      </c>
      <c r="E93" s="107" t="b">
        <v>0</v>
      </c>
      <c r="F93" s="107" t="b">
        <v>0</v>
      </c>
      <c r="G93" s="107" t="b">
        <v>0</v>
      </c>
    </row>
    <row r="94" spans="1:7" ht="15">
      <c r="A94" s="87" t="s">
        <v>3614</v>
      </c>
      <c r="B94" s="107">
        <v>8</v>
      </c>
      <c r="C94" s="109">
        <v>0.0027324350622767116</v>
      </c>
      <c r="D94" s="107" t="s">
        <v>4359</v>
      </c>
      <c r="E94" s="107" t="b">
        <v>0</v>
      </c>
      <c r="F94" s="107" t="b">
        <v>1</v>
      </c>
      <c r="G94" s="107" t="b">
        <v>0</v>
      </c>
    </row>
    <row r="95" spans="1:7" ht="15">
      <c r="A95" s="87" t="s">
        <v>3615</v>
      </c>
      <c r="B95" s="107">
        <v>8</v>
      </c>
      <c r="C95" s="109">
        <v>0.0027324350622767116</v>
      </c>
      <c r="D95" s="107" t="s">
        <v>4359</v>
      </c>
      <c r="E95" s="107" t="b">
        <v>0</v>
      </c>
      <c r="F95" s="107" t="b">
        <v>0</v>
      </c>
      <c r="G95" s="107" t="b">
        <v>0</v>
      </c>
    </row>
    <row r="96" spans="1:7" ht="15">
      <c r="A96" s="87" t="s">
        <v>3616</v>
      </c>
      <c r="B96" s="107">
        <v>8</v>
      </c>
      <c r="C96" s="109">
        <v>0.0027324350622767116</v>
      </c>
      <c r="D96" s="107" t="s">
        <v>4359</v>
      </c>
      <c r="E96" s="107" t="b">
        <v>0</v>
      </c>
      <c r="F96" s="107" t="b">
        <v>0</v>
      </c>
      <c r="G96" s="107" t="b">
        <v>0</v>
      </c>
    </row>
    <row r="97" spans="1:7" ht="15">
      <c r="A97" s="87" t="s">
        <v>3617</v>
      </c>
      <c r="B97" s="107">
        <v>8</v>
      </c>
      <c r="C97" s="109">
        <v>0.0027324350622767116</v>
      </c>
      <c r="D97" s="107" t="s">
        <v>4359</v>
      </c>
      <c r="E97" s="107" t="b">
        <v>0</v>
      </c>
      <c r="F97" s="107" t="b">
        <v>0</v>
      </c>
      <c r="G97" s="107" t="b">
        <v>0</v>
      </c>
    </row>
    <row r="98" spans="1:7" ht="15">
      <c r="A98" s="87" t="s">
        <v>3618</v>
      </c>
      <c r="B98" s="107">
        <v>8</v>
      </c>
      <c r="C98" s="109">
        <v>0.002819640997581504</v>
      </c>
      <c r="D98" s="107" t="s">
        <v>4359</v>
      </c>
      <c r="E98" s="107" t="b">
        <v>0</v>
      </c>
      <c r="F98" s="107" t="b">
        <v>0</v>
      </c>
      <c r="G98" s="107" t="b">
        <v>0</v>
      </c>
    </row>
    <row r="99" spans="1:7" ht="15">
      <c r="A99" s="87" t="s">
        <v>2719</v>
      </c>
      <c r="B99" s="107">
        <v>8</v>
      </c>
      <c r="C99" s="109">
        <v>0.002819640997581504</v>
      </c>
      <c r="D99" s="107" t="s">
        <v>4359</v>
      </c>
      <c r="E99" s="107" t="b">
        <v>0</v>
      </c>
      <c r="F99" s="107" t="b">
        <v>0</v>
      </c>
      <c r="G99" s="107" t="b">
        <v>0</v>
      </c>
    </row>
    <row r="100" spans="1:7" ht="15">
      <c r="A100" s="87" t="s">
        <v>3619</v>
      </c>
      <c r="B100" s="107">
        <v>8</v>
      </c>
      <c r="C100" s="109">
        <v>0.0027324350622767116</v>
      </c>
      <c r="D100" s="107" t="s">
        <v>4359</v>
      </c>
      <c r="E100" s="107" t="b">
        <v>0</v>
      </c>
      <c r="F100" s="107" t="b">
        <v>0</v>
      </c>
      <c r="G100" s="107" t="b">
        <v>0</v>
      </c>
    </row>
    <row r="101" spans="1:7" ht="15">
      <c r="A101" s="87" t="s">
        <v>3620</v>
      </c>
      <c r="B101" s="107">
        <v>8</v>
      </c>
      <c r="C101" s="109">
        <v>0.0030393824046164486</v>
      </c>
      <c r="D101" s="107" t="s">
        <v>4359</v>
      </c>
      <c r="E101" s="107" t="b">
        <v>0</v>
      </c>
      <c r="F101" s="107" t="b">
        <v>0</v>
      </c>
      <c r="G101" s="107" t="b">
        <v>0</v>
      </c>
    </row>
    <row r="102" spans="1:7" ht="15">
      <c r="A102" s="87" t="s">
        <v>3621</v>
      </c>
      <c r="B102" s="107">
        <v>8</v>
      </c>
      <c r="C102" s="109">
        <v>0.0030393824046164486</v>
      </c>
      <c r="D102" s="107" t="s">
        <v>4359</v>
      </c>
      <c r="E102" s="107" t="b">
        <v>0</v>
      </c>
      <c r="F102" s="107" t="b">
        <v>0</v>
      </c>
      <c r="G102" s="107" t="b">
        <v>0</v>
      </c>
    </row>
    <row r="103" spans="1:7" ht="15">
      <c r="A103" s="87" t="s">
        <v>3622</v>
      </c>
      <c r="B103" s="107">
        <v>8</v>
      </c>
      <c r="C103" s="109">
        <v>0.0027324350622767116</v>
      </c>
      <c r="D103" s="107" t="s">
        <v>4359</v>
      </c>
      <c r="E103" s="107" t="b">
        <v>0</v>
      </c>
      <c r="F103" s="107" t="b">
        <v>0</v>
      </c>
      <c r="G103" s="107" t="b">
        <v>0</v>
      </c>
    </row>
    <row r="104" spans="1:7" ht="15">
      <c r="A104" s="87" t="s">
        <v>2893</v>
      </c>
      <c r="B104" s="107">
        <v>8</v>
      </c>
      <c r="C104" s="109">
        <v>0.002819640997581504</v>
      </c>
      <c r="D104" s="107" t="s">
        <v>4359</v>
      </c>
      <c r="E104" s="107" t="b">
        <v>0</v>
      </c>
      <c r="F104" s="107" t="b">
        <v>0</v>
      </c>
      <c r="G104" s="107" t="b">
        <v>0</v>
      </c>
    </row>
    <row r="105" spans="1:7" ht="15">
      <c r="A105" s="87" t="s">
        <v>3623</v>
      </c>
      <c r="B105" s="107">
        <v>7</v>
      </c>
      <c r="C105" s="109">
        <v>0.0025552737539767277</v>
      </c>
      <c r="D105" s="107" t="s">
        <v>4359</v>
      </c>
      <c r="E105" s="107" t="b">
        <v>0</v>
      </c>
      <c r="F105" s="107" t="b">
        <v>0</v>
      </c>
      <c r="G105" s="107" t="b">
        <v>0</v>
      </c>
    </row>
    <row r="106" spans="1:7" ht="15">
      <c r="A106" s="87" t="s">
        <v>3624</v>
      </c>
      <c r="B106" s="107">
        <v>7</v>
      </c>
      <c r="C106" s="109">
        <v>0.0026594596040393926</v>
      </c>
      <c r="D106" s="107" t="s">
        <v>4359</v>
      </c>
      <c r="E106" s="107" t="b">
        <v>0</v>
      </c>
      <c r="F106" s="107" t="b">
        <v>0</v>
      </c>
      <c r="G106" s="107" t="b">
        <v>0</v>
      </c>
    </row>
    <row r="107" spans="1:7" ht="15">
      <c r="A107" s="87" t="s">
        <v>3625</v>
      </c>
      <c r="B107" s="107">
        <v>7</v>
      </c>
      <c r="C107" s="109">
        <v>0.0025552737539767277</v>
      </c>
      <c r="D107" s="107" t="s">
        <v>4359</v>
      </c>
      <c r="E107" s="107" t="b">
        <v>1</v>
      </c>
      <c r="F107" s="107" t="b">
        <v>0</v>
      </c>
      <c r="G107" s="107" t="b">
        <v>0</v>
      </c>
    </row>
    <row r="108" spans="1:7" ht="15">
      <c r="A108" s="87" t="s">
        <v>3626</v>
      </c>
      <c r="B108" s="107">
        <v>7</v>
      </c>
      <c r="C108" s="109">
        <v>0.002467185872883816</v>
      </c>
      <c r="D108" s="107" t="s">
        <v>4359</v>
      </c>
      <c r="E108" s="107" t="b">
        <v>0</v>
      </c>
      <c r="F108" s="107" t="b">
        <v>0</v>
      </c>
      <c r="G108" s="107" t="b">
        <v>0</v>
      </c>
    </row>
    <row r="109" spans="1:7" ht="15">
      <c r="A109" s="87" t="s">
        <v>3627</v>
      </c>
      <c r="B109" s="107">
        <v>7</v>
      </c>
      <c r="C109" s="109">
        <v>0.0026594596040393926</v>
      </c>
      <c r="D109" s="107" t="s">
        <v>4359</v>
      </c>
      <c r="E109" s="107" t="b">
        <v>0</v>
      </c>
      <c r="F109" s="107" t="b">
        <v>0</v>
      </c>
      <c r="G109" s="107" t="b">
        <v>0</v>
      </c>
    </row>
    <row r="110" spans="1:7" ht="15">
      <c r="A110" s="87" t="s">
        <v>2927</v>
      </c>
      <c r="B110" s="107">
        <v>7</v>
      </c>
      <c r="C110" s="109">
        <v>0.002467185872883816</v>
      </c>
      <c r="D110" s="107" t="s">
        <v>4359</v>
      </c>
      <c r="E110" s="107" t="b">
        <v>0</v>
      </c>
      <c r="F110" s="107" t="b">
        <v>0</v>
      </c>
      <c r="G110" s="107" t="b">
        <v>0</v>
      </c>
    </row>
    <row r="111" spans="1:7" ht="15">
      <c r="A111" s="87" t="s">
        <v>3628</v>
      </c>
      <c r="B111" s="107">
        <v>7</v>
      </c>
      <c r="C111" s="109">
        <v>0.0025552737539767277</v>
      </c>
      <c r="D111" s="107" t="s">
        <v>4359</v>
      </c>
      <c r="E111" s="107" t="b">
        <v>0</v>
      </c>
      <c r="F111" s="107" t="b">
        <v>0</v>
      </c>
      <c r="G111" s="107" t="b">
        <v>0</v>
      </c>
    </row>
    <row r="112" spans="1:7" ht="15">
      <c r="A112" s="87" t="s">
        <v>3629</v>
      </c>
      <c r="B112" s="107">
        <v>7</v>
      </c>
      <c r="C112" s="109">
        <v>0.0026594596040393926</v>
      </c>
      <c r="D112" s="107" t="s">
        <v>4359</v>
      </c>
      <c r="E112" s="107" t="b">
        <v>0</v>
      </c>
      <c r="F112" s="107" t="b">
        <v>0</v>
      </c>
      <c r="G112" s="107" t="b">
        <v>0</v>
      </c>
    </row>
    <row r="113" spans="1:7" ht="15">
      <c r="A113" s="87" t="s">
        <v>3630</v>
      </c>
      <c r="B113" s="107">
        <v>7</v>
      </c>
      <c r="C113" s="109">
        <v>0.0025552737539767277</v>
      </c>
      <c r="D113" s="107" t="s">
        <v>4359</v>
      </c>
      <c r="E113" s="107" t="b">
        <v>0</v>
      </c>
      <c r="F113" s="107" t="b">
        <v>0</v>
      </c>
      <c r="G113" s="107" t="b">
        <v>0</v>
      </c>
    </row>
    <row r="114" spans="1:7" ht="15">
      <c r="A114" s="87" t="s">
        <v>3631</v>
      </c>
      <c r="B114" s="107">
        <v>7</v>
      </c>
      <c r="C114" s="109">
        <v>0.002467185872883816</v>
      </c>
      <c r="D114" s="107" t="s">
        <v>4359</v>
      </c>
      <c r="E114" s="107" t="b">
        <v>0</v>
      </c>
      <c r="F114" s="107" t="b">
        <v>0</v>
      </c>
      <c r="G114" s="107" t="b">
        <v>0</v>
      </c>
    </row>
    <row r="115" spans="1:7" ht="15">
      <c r="A115" s="87" t="s">
        <v>3632</v>
      </c>
      <c r="B115" s="107">
        <v>7</v>
      </c>
      <c r="C115" s="109">
        <v>0.0026594596040393926</v>
      </c>
      <c r="D115" s="107" t="s">
        <v>4359</v>
      </c>
      <c r="E115" s="107" t="b">
        <v>0</v>
      </c>
      <c r="F115" s="107" t="b">
        <v>0</v>
      </c>
      <c r="G115" s="107" t="b">
        <v>0</v>
      </c>
    </row>
    <row r="116" spans="1:7" ht="15">
      <c r="A116" s="87" t="s">
        <v>3633</v>
      </c>
      <c r="B116" s="107">
        <v>7</v>
      </c>
      <c r="C116" s="109">
        <v>0.002467185872883816</v>
      </c>
      <c r="D116" s="107" t="s">
        <v>4359</v>
      </c>
      <c r="E116" s="107" t="b">
        <v>0</v>
      </c>
      <c r="F116" s="107" t="b">
        <v>0</v>
      </c>
      <c r="G116" s="107" t="b">
        <v>0</v>
      </c>
    </row>
    <row r="117" spans="1:7" ht="15">
      <c r="A117" s="87" t="s">
        <v>3634</v>
      </c>
      <c r="B117" s="107">
        <v>7</v>
      </c>
      <c r="C117" s="109">
        <v>0.0026594596040393926</v>
      </c>
      <c r="D117" s="107" t="s">
        <v>4359</v>
      </c>
      <c r="E117" s="107" t="b">
        <v>0</v>
      </c>
      <c r="F117" s="107" t="b">
        <v>0</v>
      </c>
      <c r="G117" s="107" t="b">
        <v>0</v>
      </c>
    </row>
    <row r="118" spans="1:7" ht="15">
      <c r="A118" s="87" t="s">
        <v>3635</v>
      </c>
      <c r="B118" s="107">
        <v>7</v>
      </c>
      <c r="C118" s="109">
        <v>0.0026594596040393926</v>
      </c>
      <c r="D118" s="107" t="s">
        <v>4359</v>
      </c>
      <c r="E118" s="107" t="b">
        <v>0</v>
      </c>
      <c r="F118" s="107" t="b">
        <v>0</v>
      </c>
      <c r="G118" s="107" t="b">
        <v>0</v>
      </c>
    </row>
    <row r="119" spans="1:7" ht="15">
      <c r="A119" s="87" t="s">
        <v>3636</v>
      </c>
      <c r="B119" s="107">
        <v>7</v>
      </c>
      <c r="C119" s="109">
        <v>0.002467185872883816</v>
      </c>
      <c r="D119" s="107" t="s">
        <v>4359</v>
      </c>
      <c r="E119" s="107" t="b">
        <v>0</v>
      </c>
      <c r="F119" s="107" t="b">
        <v>0</v>
      </c>
      <c r="G119" s="107" t="b">
        <v>0</v>
      </c>
    </row>
    <row r="120" spans="1:7" ht="15">
      <c r="A120" s="87" t="s">
        <v>3637</v>
      </c>
      <c r="B120" s="107">
        <v>7</v>
      </c>
      <c r="C120" s="109">
        <v>0.0025552737539767277</v>
      </c>
      <c r="D120" s="107" t="s">
        <v>4359</v>
      </c>
      <c r="E120" s="107" t="b">
        <v>0</v>
      </c>
      <c r="F120" s="107" t="b">
        <v>0</v>
      </c>
      <c r="G120" s="107" t="b">
        <v>0</v>
      </c>
    </row>
    <row r="121" spans="1:7" ht="15">
      <c r="A121" s="87" t="s">
        <v>3638</v>
      </c>
      <c r="B121" s="107">
        <v>7</v>
      </c>
      <c r="C121" s="109">
        <v>0.002467185872883816</v>
      </c>
      <c r="D121" s="107" t="s">
        <v>4359</v>
      </c>
      <c r="E121" s="107" t="b">
        <v>0</v>
      </c>
      <c r="F121" s="107" t="b">
        <v>0</v>
      </c>
      <c r="G121" s="107" t="b">
        <v>0</v>
      </c>
    </row>
    <row r="122" spans="1:7" ht="15">
      <c r="A122" s="87" t="s">
        <v>3639</v>
      </c>
      <c r="B122" s="107">
        <v>7</v>
      </c>
      <c r="C122" s="109">
        <v>0.0025552737539767277</v>
      </c>
      <c r="D122" s="107" t="s">
        <v>4359</v>
      </c>
      <c r="E122" s="107" t="b">
        <v>0</v>
      </c>
      <c r="F122" s="107" t="b">
        <v>0</v>
      </c>
      <c r="G122" s="107" t="b">
        <v>0</v>
      </c>
    </row>
    <row r="123" spans="1:7" ht="15">
      <c r="A123" s="87" t="s">
        <v>3640</v>
      </c>
      <c r="B123" s="107">
        <v>6</v>
      </c>
      <c r="C123" s="109">
        <v>0.0021902346462657667</v>
      </c>
      <c r="D123" s="107" t="s">
        <v>4359</v>
      </c>
      <c r="E123" s="107" t="b">
        <v>0</v>
      </c>
      <c r="F123" s="107" t="b">
        <v>0</v>
      </c>
      <c r="G123" s="107" t="b">
        <v>0</v>
      </c>
    </row>
    <row r="124" spans="1:7" ht="15">
      <c r="A124" s="87" t="s">
        <v>3641</v>
      </c>
      <c r="B124" s="107">
        <v>6</v>
      </c>
      <c r="C124" s="109">
        <v>0.0021902346462657667</v>
      </c>
      <c r="D124" s="107" t="s">
        <v>4359</v>
      </c>
      <c r="E124" s="107" t="b">
        <v>0</v>
      </c>
      <c r="F124" s="107" t="b">
        <v>0</v>
      </c>
      <c r="G124" s="107" t="b">
        <v>0</v>
      </c>
    </row>
    <row r="125" spans="1:7" ht="15">
      <c r="A125" s="87" t="s">
        <v>3642</v>
      </c>
      <c r="B125" s="107">
        <v>6</v>
      </c>
      <c r="C125" s="109">
        <v>0.0022795368034623366</v>
      </c>
      <c r="D125" s="107" t="s">
        <v>4359</v>
      </c>
      <c r="E125" s="107" t="b">
        <v>0</v>
      </c>
      <c r="F125" s="107" t="b">
        <v>0</v>
      </c>
      <c r="G125" s="107" t="b">
        <v>0</v>
      </c>
    </row>
    <row r="126" spans="1:7" ht="15">
      <c r="A126" s="87" t="s">
        <v>3643</v>
      </c>
      <c r="B126" s="107">
        <v>6</v>
      </c>
      <c r="C126" s="109">
        <v>0.0021902346462657667</v>
      </c>
      <c r="D126" s="107" t="s">
        <v>4359</v>
      </c>
      <c r="E126" s="107" t="b">
        <v>0</v>
      </c>
      <c r="F126" s="107" t="b">
        <v>0</v>
      </c>
      <c r="G126" s="107" t="b">
        <v>0</v>
      </c>
    </row>
    <row r="127" spans="1:7" ht="15">
      <c r="A127" s="87" t="s">
        <v>3644</v>
      </c>
      <c r="B127" s="107">
        <v>6</v>
      </c>
      <c r="C127" s="109">
        <v>0.0030678488384277714</v>
      </c>
      <c r="D127" s="107" t="s">
        <v>4359</v>
      </c>
      <c r="E127" s="107" t="b">
        <v>0</v>
      </c>
      <c r="F127" s="107" t="b">
        <v>0</v>
      </c>
      <c r="G127" s="107" t="b">
        <v>0</v>
      </c>
    </row>
    <row r="128" spans="1:7" ht="15">
      <c r="A128" s="87" t="s">
        <v>3645</v>
      </c>
      <c r="B128" s="107">
        <v>6</v>
      </c>
      <c r="C128" s="109">
        <v>0.0021902346462657667</v>
      </c>
      <c r="D128" s="107" t="s">
        <v>4359</v>
      </c>
      <c r="E128" s="107" t="b">
        <v>0</v>
      </c>
      <c r="F128" s="107" t="b">
        <v>0</v>
      </c>
      <c r="G128" s="107" t="b">
        <v>0</v>
      </c>
    </row>
    <row r="129" spans="1:7" ht="15">
      <c r="A129" s="87" t="s">
        <v>3646</v>
      </c>
      <c r="B129" s="107">
        <v>6</v>
      </c>
      <c r="C129" s="109">
        <v>0.0022795368034623366</v>
      </c>
      <c r="D129" s="107" t="s">
        <v>4359</v>
      </c>
      <c r="E129" s="107" t="b">
        <v>0</v>
      </c>
      <c r="F129" s="107" t="b">
        <v>0</v>
      </c>
      <c r="G129" s="107" t="b">
        <v>0</v>
      </c>
    </row>
    <row r="130" spans="1:7" ht="15">
      <c r="A130" s="87" t="s">
        <v>3647</v>
      </c>
      <c r="B130" s="107">
        <v>6</v>
      </c>
      <c r="C130" s="109">
        <v>0.0022795368034623366</v>
      </c>
      <c r="D130" s="107" t="s">
        <v>4359</v>
      </c>
      <c r="E130" s="107" t="b">
        <v>0</v>
      </c>
      <c r="F130" s="107" t="b">
        <v>0</v>
      </c>
      <c r="G130" s="107" t="b">
        <v>0</v>
      </c>
    </row>
    <row r="131" spans="1:7" ht="15">
      <c r="A131" s="87" t="s">
        <v>3648</v>
      </c>
      <c r="B131" s="107">
        <v>6</v>
      </c>
      <c r="C131" s="109">
        <v>0.0022795368034623366</v>
      </c>
      <c r="D131" s="107" t="s">
        <v>4359</v>
      </c>
      <c r="E131" s="107" t="b">
        <v>1</v>
      </c>
      <c r="F131" s="107" t="b">
        <v>0</v>
      </c>
      <c r="G131" s="107" t="b">
        <v>0</v>
      </c>
    </row>
    <row r="132" spans="1:7" ht="15">
      <c r="A132" s="87" t="s">
        <v>3649</v>
      </c>
      <c r="B132" s="107">
        <v>6</v>
      </c>
      <c r="C132" s="109">
        <v>0.0022795368034623366</v>
      </c>
      <c r="D132" s="107" t="s">
        <v>4359</v>
      </c>
      <c r="E132" s="107" t="b">
        <v>1</v>
      </c>
      <c r="F132" s="107" t="b">
        <v>0</v>
      </c>
      <c r="G132" s="107" t="b">
        <v>0</v>
      </c>
    </row>
    <row r="133" spans="1:7" ht="15">
      <c r="A133" s="87" t="s">
        <v>3650</v>
      </c>
      <c r="B133" s="107">
        <v>6</v>
      </c>
      <c r="C133" s="109">
        <v>0.0021902346462657667</v>
      </c>
      <c r="D133" s="107" t="s">
        <v>4359</v>
      </c>
      <c r="E133" s="107" t="b">
        <v>0</v>
      </c>
      <c r="F133" s="107" t="b">
        <v>0</v>
      </c>
      <c r="G133" s="107" t="b">
        <v>0</v>
      </c>
    </row>
    <row r="134" spans="1:7" ht="15">
      <c r="A134" s="87" t="s">
        <v>3651</v>
      </c>
      <c r="B134" s="107">
        <v>6</v>
      </c>
      <c r="C134" s="109">
        <v>0.0023888338106142796</v>
      </c>
      <c r="D134" s="107" t="s">
        <v>4359</v>
      </c>
      <c r="E134" s="107" t="b">
        <v>0</v>
      </c>
      <c r="F134" s="107" t="b">
        <v>1</v>
      </c>
      <c r="G134" s="107" t="b">
        <v>0</v>
      </c>
    </row>
    <row r="135" spans="1:7" ht="15">
      <c r="A135" s="87" t="s">
        <v>3652</v>
      </c>
      <c r="B135" s="107">
        <v>6</v>
      </c>
      <c r="C135" s="109">
        <v>0.0021902346462657667</v>
      </c>
      <c r="D135" s="107" t="s">
        <v>4359</v>
      </c>
      <c r="E135" s="107" t="b">
        <v>0</v>
      </c>
      <c r="F135" s="107" t="b">
        <v>0</v>
      </c>
      <c r="G135" s="107" t="b">
        <v>0</v>
      </c>
    </row>
    <row r="136" spans="1:7" ht="15">
      <c r="A136" s="87" t="s">
        <v>3653</v>
      </c>
      <c r="B136" s="107">
        <v>6</v>
      </c>
      <c r="C136" s="109">
        <v>0.0022795368034623366</v>
      </c>
      <c r="D136" s="107" t="s">
        <v>4359</v>
      </c>
      <c r="E136" s="107" t="b">
        <v>0</v>
      </c>
      <c r="F136" s="107" t="b">
        <v>0</v>
      </c>
      <c r="G136" s="107" t="b">
        <v>0</v>
      </c>
    </row>
    <row r="137" spans="1:7" ht="15">
      <c r="A137" s="87" t="s">
        <v>3654</v>
      </c>
      <c r="B137" s="107">
        <v>6</v>
      </c>
      <c r="C137" s="109">
        <v>0.0022795368034623366</v>
      </c>
      <c r="D137" s="107" t="s">
        <v>4359</v>
      </c>
      <c r="E137" s="107" t="b">
        <v>0</v>
      </c>
      <c r="F137" s="107" t="b">
        <v>1</v>
      </c>
      <c r="G137" s="107" t="b">
        <v>0</v>
      </c>
    </row>
    <row r="138" spans="1:7" ht="15">
      <c r="A138" s="87" t="s">
        <v>3655</v>
      </c>
      <c r="B138" s="107">
        <v>6</v>
      </c>
      <c r="C138" s="109">
        <v>0.0022795368034623366</v>
      </c>
      <c r="D138" s="107" t="s">
        <v>4359</v>
      </c>
      <c r="E138" s="107" t="b">
        <v>0</v>
      </c>
      <c r="F138" s="107" t="b">
        <v>0</v>
      </c>
      <c r="G138" s="107" t="b">
        <v>0</v>
      </c>
    </row>
    <row r="139" spans="1:7" ht="15">
      <c r="A139" s="87" t="s">
        <v>2681</v>
      </c>
      <c r="B139" s="107">
        <v>6</v>
      </c>
      <c r="C139" s="109">
        <v>0.0025297421601725126</v>
      </c>
      <c r="D139" s="107" t="s">
        <v>4359</v>
      </c>
      <c r="E139" s="107" t="b">
        <v>0</v>
      </c>
      <c r="F139" s="107" t="b">
        <v>1</v>
      </c>
      <c r="G139" s="107" t="b">
        <v>0</v>
      </c>
    </row>
    <row r="140" spans="1:7" ht="15">
      <c r="A140" s="87" t="s">
        <v>3656</v>
      </c>
      <c r="B140" s="107">
        <v>6</v>
      </c>
      <c r="C140" s="109">
        <v>0.0022795368034623366</v>
      </c>
      <c r="D140" s="107" t="s">
        <v>4359</v>
      </c>
      <c r="E140" s="107" t="b">
        <v>0</v>
      </c>
      <c r="F140" s="107" t="b">
        <v>0</v>
      </c>
      <c r="G140" s="107" t="b">
        <v>0</v>
      </c>
    </row>
    <row r="141" spans="1:7" ht="15">
      <c r="A141" s="87" t="s">
        <v>3657</v>
      </c>
      <c r="B141" s="107">
        <v>6</v>
      </c>
      <c r="C141" s="109">
        <v>0.0022795368034623366</v>
      </c>
      <c r="D141" s="107" t="s">
        <v>4359</v>
      </c>
      <c r="E141" s="107" t="b">
        <v>1</v>
      </c>
      <c r="F141" s="107" t="b">
        <v>0</v>
      </c>
      <c r="G141" s="107" t="b">
        <v>0</v>
      </c>
    </row>
    <row r="142" spans="1:7" ht="15">
      <c r="A142" s="87" t="s">
        <v>3658</v>
      </c>
      <c r="B142" s="107">
        <v>6</v>
      </c>
      <c r="C142" s="109">
        <v>0.0023888338106142796</v>
      </c>
      <c r="D142" s="107" t="s">
        <v>4359</v>
      </c>
      <c r="E142" s="107" t="b">
        <v>0</v>
      </c>
      <c r="F142" s="107" t="b">
        <v>0</v>
      </c>
      <c r="G142" s="107" t="b">
        <v>0</v>
      </c>
    </row>
    <row r="143" spans="1:7" ht="15">
      <c r="A143" s="87" t="s">
        <v>3659</v>
      </c>
      <c r="B143" s="107">
        <v>6</v>
      </c>
      <c r="C143" s="109">
        <v>0.0021902346462657667</v>
      </c>
      <c r="D143" s="107" t="s">
        <v>4359</v>
      </c>
      <c r="E143" s="107" t="b">
        <v>0</v>
      </c>
      <c r="F143" s="107" t="b">
        <v>0</v>
      </c>
      <c r="G143" s="107" t="b">
        <v>0</v>
      </c>
    </row>
    <row r="144" spans="1:7" ht="15">
      <c r="A144" s="87" t="s">
        <v>3660</v>
      </c>
      <c r="B144" s="107">
        <v>6</v>
      </c>
      <c r="C144" s="109">
        <v>0.0025297421601725126</v>
      </c>
      <c r="D144" s="107" t="s">
        <v>4359</v>
      </c>
      <c r="E144" s="107" t="b">
        <v>0</v>
      </c>
      <c r="F144" s="107" t="b">
        <v>0</v>
      </c>
      <c r="G144" s="107" t="b">
        <v>0</v>
      </c>
    </row>
    <row r="145" spans="1:7" ht="15">
      <c r="A145" s="87" t="s">
        <v>3661</v>
      </c>
      <c r="B145" s="107">
        <v>6</v>
      </c>
      <c r="C145" s="109">
        <v>0.0021902346462657667</v>
      </c>
      <c r="D145" s="107" t="s">
        <v>4359</v>
      </c>
      <c r="E145" s="107" t="b">
        <v>0</v>
      </c>
      <c r="F145" s="107" t="b">
        <v>0</v>
      </c>
      <c r="G145" s="107" t="b">
        <v>0</v>
      </c>
    </row>
    <row r="146" spans="1:7" ht="15">
      <c r="A146" s="87" t="s">
        <v>3662</v>
      </c>
      <c r="B146" s="107">
        <v>6</v>
      </c>
      <c r="C146" s="109">
        <v>0.0021902346462657667</v>
      </c>
      <c r="D146" s="107" t="s">
        <v>4359</v>
      </c>
      <c r="E146" s="107" t="b">
        <v>0</v>
      </c>
      <c r="F146" s="107" t="b">
        <v>1</v>
      </c>
      <c r="G146" s="107" t="b">
        <v>0</v>
      </c>
    </row>
    <row r="147" spans="1:7" ht="15">
      <c r="A147" s="87" t="s">
        <v>3663</v>
      </c>
      <c r="B147" s="107">
        <v>6</v>
      </c>
      <c r="C147" s="109">
        <v>0.0021902346462657667</v>
      </c>
      <c r="D147" s="107" t="s">
        <v>4359</v>
      </c>
      <c r="E147" s="107" t="b">
        <v>0</v>
      </c>
      <c r="F147" s="107" t="b">
        <v>0</v>
      </c>
      <c r="G147" s="107" t="b">
        <v>0</v>
      </c>
    </row>
    <row r="148" spans="1:7" ht="15">
      <c r="A148" s="87" t="s">
        <v>3664</v>
      </c>
      <c r="B148" s="107">
        <v>6</v>
      </c>
      <c r="C148" s="109">
        <v>0.0022795368034623366</v>
      </c>
      <c r="D148" s="107" t="s">
        <v>4359</v>
      </c>
      <c r="E148" s="107" t="b">
        <v>0</v>
      </c>
      <c r="F148" s="107" t="b">
        <v>0</v>
      </c>
      <c r="G148" s="107" t="b">
        <v>0</v>
      </c>
    </row>
    <row r="149" spans="1:7" ht="15">
      <c r="A149" s="87" t="s">
        <v>2881</v>
      </c>
      <c r="B149" s="107">
        <v>6</v>
      </c>
      <c r="C149" s="109">
        <v>0.0022795368034623366</v>
      </c>
      <c r="D149" s="107" t="s">
        <v>4359</v>
      </c>
      <c r="E149" s="107" t="b">
        <v>0</v>
      </c>
      <c r="F149" s="107" t="b">
        <v>0</v>
      </c>
      <c r="G149" s="107" t="b">
        <v>0</v>
      </c>
    </row>
    <row r="150" spans="1:7" ht="15">
      <c r="A150" s="87" t="s">
        <v>3665</v>
      </c>
      <c r="B150" s="107">
        <v>6</v>
      </c>
      <c r="C150" s="109">
        <v>0.0021902346462657667</v>
      </c>
      <c r="D150" s="107" t="s">
        <v>4359</v>
      </c>
      <c r="E150" s="107" t="b">
        <v>0</v>
      </c>
      <c r="F150" s="107" t="b">
        <v>0</v>
      </c>
      <c r="G150" s="107" t="b">
        <v>0</v>
      </c>
    </row>
    <row r="151" spans="1:7" ht="15">
      <c r="A151" s="87" t="s">
        <v>3666</v>
      </c>
      <c r="B151" s="107">
        <v>6</v>
      </c>
      <c r="C151" s="109">
        <v>0.0022795368034623366</v>
      </c>
      <c r="D151" s="107" t="s">
        <v>4359</v>
      </c>
      <c r="E151" s="107" t="b">
        <v>0</v>
      </c>
      <c r="F151" s="107" t="b">
        <v>0</v>
      </c>
      <c r="G151" s="107" t="b">
        <v>0</v>
      </c>
    </row>
    <row r="152" spans="1:7" ht="15">
      <c r="A152" s="87" t="s">
        <v>3667</v>
      </c>
      <c r="B152" s="107">
        <v>6</v>
      </c>
      <c r="C152" s="109">
        <v>0.0022795368034623366</v>
      </c>
      <c r="D152" s="107" t="s">
        <v>4359</v>
      </c>
      <c r="E152" s="107" t="b">
        <v>0</v>
      </c>
      <c r="F152" s="107" t="b">
        <v>0</v>
      </c>
      <c r="G152" s="107" t="b">
        <v>0</v>
      </c>
    </row>
    <row r="153" spans="1:7" ht="15">
      <c r="A153" s="87" t="s">
        <v>3668</v>
      </c>
      <c r="B153" s="107">
        <v>6</v>
      </c>
      <c r="C153" s="109">
        <v>0.0021902346462657667</v>
      </c>
      <c r="D153" s="107" t="s">
        <v>4359</v>
      </c>
      <c r="E153" s="107" t="b">
        <v>0</v>
      </c>
      <c r="F153" s="107" t="b">
        <v>0</v>
      </c>
      <c r="G153" s="107" t="b">
        <v>0</v>
      </c>
    </row>
    <row r="154" spans="1:7" ht="15">
      <c r="A154" s="87" t="s">
        <v>3669</v>
      </c>
      <c r="B154" s="107">
        <v>6</v>
      </c>
      <c r="C154" s="109">
        <v>0.0025297421601725126</v>
      </c>
      <c r="D154" s="107" t="s">
        <v>4359</v>
      </c>
      <c r="E154" s="107" t="b">
        <v>0</v>
      </c>
      <c r="F154" s="107" t="b">
        <v>0</v>
      </c>
      <c r="G154" s="107" t="b">
        <v>0</v>
      </c>
    </row>
    <row r="155" spans="1:7" ht="15">
      <c r="A155" s="87" t="s">
        <v>3670</v>
      </c>
      <c r="B155" s="107">
        <v>6</v>
      </c>
      <c r="C155" s="109">
        <v>0.0025297421601725126</v>
      </c>
      <c r="D155" s="107" t="s">
        <v>4359</v>
      </c>
      <c r="E155" s="107" t="b">
        <v>1</v>
      </c>
      <c r="F155" s="107" t="b">
        <v>0</v>
      </c>
      <c r="G155" s="107" t="b">
        <v>0</v>
      </c>
    </row>
    <row r="156" spans="1:7" ht="15">
      <c r="A156" s="87" t="s">
        <v>3671</v>
      </c>
      <c r="B156" s="107">
        <v>6</v>
      </c>
      <c r="C156" s="109">
        <v>0.0021902346462657667</v>
      </c>
      <c r="D156" s="107" t="s">
        <v>4359</v>
      </c>
      <c r="E156" s="107" t="b">
        <v>0</v>
      </c>
      <c r="F156" s="107" t="b">
        <v>0</v>
      </c>
      <c r="G156" s="107" t="b">
        <v>0</v>
      </c>
    </row>
    <row r="157" spans="1:7" ht="15">
      <c r="A157" s="87" t="s">
        <v>3672</v>
      </c>
      <c r="B157" s="107">
        <v>6</v>
      </c>
      <c r="C157" s="109">
        <v>0.0021902346462657667</v>
      </c>
      <c r="D157" s="107" t="s">
        <v>4359</v>
      </c>
      <c r="E157" s="107" t="b">
        <v>0</v>
      </c>
      <c r="F157" s="107" t="b">
        <v>0</v>
      </c>
      <c r="G157" s="107" t="b">
        <v>0</v>
      </c>
    </row>
    <row r="158" spans="1:7" ht="15">
      <c r="A158" s="87" t="s">
        <v>3673</v>
      </c>
      <c r="B158" s="107">
        <v>6</v>
      </c>
      <c r="C158" s="109">
        <v>0.0021902346462657667</v>
      </c>
      <c r="D158" s="107" t="s">
        <v>4359</v>
      </c>
      <c r="E158" s="107" t="b">
        <v>0</v>
      </c>
      <c r="F158" s="107" t="b">
        <v>0</v>
      </c>
      <c r="G158" s="107" t="b">
        <v>0</v>
      </c>
    </row>
    <row r="159" spans="1:7" ht="15">
      <c r="A159" s="87" t="s">
        <v>3674</v>
      </c>
      <c r="B159" s="107">
        <v>6</v>
      </c>
      <c r="C159" s="109">
        <v>0.0021902346462657667</v>
      </c>
      <c r="D159" s="107" t="s">
        <v>4359</v>
      </c>
      <c r="E159" s="107" t="b">
        <v>0</v>
      </c>
      <c r="F159" s="107" t="b">
        <v>0</v>
      </c>
      <c r="G159" s="107" t="b">
        <v>0</v>
      </c>
    </row>
    <row r="160" spans="1:7" ht="15">
      <c r="A160" s="87" t="s">
        <v>3675</v>
      </c>
      <c r="B160" s="107">
        <v>6</v>
      </c>
      <c r="C160" s="109">
        <v>0.0022795368034623366</v>
      </c>
      <c r="D160" s="107" t="s">
        <v>4359</v>
      </c>
      <c r="E160" s="107" t="b">
        <v>0</v>
      </c>
      <c r="F160" s="107" t="b">
        <v>0</v>
      </c>
      <c r="G160" s="107" t="b">
        <v>0</v>
      </c>
    </row>
    <row r="161" spans="1:7" ht="15">
      <c r="A161" s="87" t="s">
        <v>3676</v>
      </c>
      <c r="B161" s="107">
        <v>6</v>
      </c>
      <c r="C161" s="109">
        <v>0.0023888338106142796</v>
      </c>
      <c r="D161" s="107" t="s">
        <v>4359</v>
      </c>
      <c r="E161" s="107" t="b">
        <v>0</v>
      </c>
      <c r="F161" s="107" t="b">
        <v>0</v>
      </c>
      <c r="G161" s="107" t="b">
        <v>0</v>
      </c>
    </row>
    <row r="162" spans="1:7" ht="15">
      <c r="A162" s="87" t="s">
        <v>3677</v>
      </c>
      <c r="B162" s="107">
        <v>6</v>
      </c>
      <c r="C162" s="109">
        <v>0.0021902346462657667</v>
      </c>
      <c r="D162" s="107" t="s">
        <v>4359</v>
      </c>
      <c r="E162" s="107" t="b">
        <v>0</v>
      </c>
      <c r="F162" s="107" t="b">
        <v>0</v>
      </c>
      <c r="G162" s="107" t="b">
        <v>0</v>
      </c>
    </row>
    <row r="163" spans="1:7" ht="15">
      <c r="A163" s="87" t="s">
        <v>2731</v>
      </c>
      <c r="B163" s="107">
        <v>5</v>
      </c>
      <c r="C163" s="109">
        <v>0.0018996140028852803</v>
      </c>
      <c r="D163" s="107" t="s">
        <v>4359</v>
      </c>
      <c r="E163" s="107" t="b">
        <v>0</v>
      </c>
      <c r="F163" s="107" t="b">
        <v>0</v>
      </c>
      <c r="G163" s="107" t="b">
        <v>0</v>
      </c>
    </row>
    <row r="164" spans="1:7" ht="15">
      <c r="A164" s="87" t="s">
        <v>3678</v>
      </c>
      <c r="B164" s="107">
        <v>5</v>
      </c>
      <c r="C164" s="109">
        <v>0.0018996140028852803</v>
      </c>
      <c r="D164" s="107" t="s">
        <v>4359</v>
      </c>
      <c r="E164" s="107" t="b">
        <v>0</v>
      </c>
      <c r="F164" s="107" t="b">
        <v>0</v>
      </c>
      <c r="G164" s="107" t="b">
        <v>0</v>
      </c>
    </row>
    <row r="165" spans="1:7" ht="15">
      <c r="A165" s="87" t="s">
        <v>3679</v>
      </c>
      <c r="B165" s="107">
        <v>5</v>
      </c>
      <c r="C165" s="109">
        <v>0.002108118466810427</v>
      </c>
      <c r="D165" s="107" t="s">
        <v>4359</v>
      </c>
      <c r="E165" s="107" t="b">
        <v>0</v>
      </c>
      <c r="F165" s="107" t="b">
        <v>0</v>
      </c>
      <c r="G165" s="107" t="b">
        <v>0</v>
      </c>
    </row>
    <row r="166" spans="1:7" ht="15">
      <c r="A166" s="87" t="s">
        <v>3680</v>
      </c>
      <c r="B166" s="107">
        <v>5</v>
      </c>
      <c r="C166" s="109">
        <v>0.0019906948421785664</v>
      </c>
      <c r="D166" s="107" t="s">
        <v>4359</v>
      </c>
      <c r="E166" s="107" t="b">
        <v>0</v>
      </c>
      <c r="F166" s="107" t="b">
        <v>0</v>
      </c>
      <c r="G166" s="107" t="b">
        <v>0</v>
      </c>
    </row>
    <row r="167" spans="1:7" ht="15">
      <c r="A167" s="87" t="s">
        <v>3681</v>
      </c>
      <c r="B167" s="107">
        <v>5</v>
      </c>
      <c r="C167" s="109">
        <v>0.0018996140028852803</v>
      </c>
      <c r="D167" s="107" t="s">
        <v>4359</v>
      </c>
      <c r="E167" s="107" t="b">
        <v>0</v>
      </c>
      <c r="F167" s="107" t="b">
        <v>0</v>
      </c>
      <c r="G167" s="107" t="b">
        <v>0</v>
      </c>
    </row>
    <row r="168" spans="1:7" ht="15">
      <c r="A168" s="87" t="s">
        <v>3682</v>
      </c>
      <c r="B168" s="107">
        <v>5</v>
      </c>
      <c r="C168" s="109">
        <v>0.0018996140028852803</v>
      </c>
      <c r="D168" s="107" t="s">
        <v>4359</v>
      </c>
      <c r="E168" s="107" t="b">
        <v>0</v>
      </c>
      <c r="F168" s="107" t="b">
        <v>0</v>
      </c>
      <c r="G168" s="107" t="b">
        <v>0</v>
      </c>
    </row>
    <row r="169" spans="1:7" ht="15">
      <c r="A169" s="87" t="s">
        <v>3683</v>
      </c>
      <c r="B169" s="107">
        <v>5</v>
      </c>
      <c r="C169" s="109">
        <v>0.0022736177704341877</v>
      </c>
      <c r="D169" s="107" t="s">
        <v>4359</v>
      </c>
      <c r="E169" s="107" t="b">
        <v>0</v>
      </c>
      <c r="F169" s="107" t="b">
        <v>0</v>
      </c>
      <c r="G169" s="107" t="b">
        <v>0</v>
      </c>
    </row>
    <row r="170" spans="1:7" ht="15">
      <c r="A170" s="87" t="s">
        <v>3684</v>
      </c>
      <c r="B170" s="107">
        <v>5</v>
      </c>
      <c r="C170" s="109">
        <v>0.0018996140028852803</v>
      </c>
      <c r="D170" s="107" t="s">
        <v>4359</v>
      </c>
      <c r="E170" s="107" t="b">
        <v>0</v>
      </c>
      <c r="F170" s="107" t="b">
        <v>0</v>
      </c>
      <c r="G170" s="107" t="b">
        <v>0</v>
      </c>
    </row>
    <row r="171" spans="1:7" ht="15">
      <c r="A171" s="87" t="s">
        <v>3685</v>
      </c>
      <c r="B171" s="107">
        <v>5</v>
      </c>
      <c r="C171" s="109">
        <v>0.0018996140028852803</v>
      </c>
      <c r="D171" s="107" t="s">
        <v>4359</v>
      </c>
      <c r="E171" s="107" t="b">
        <v>0</v>
      </c>
      <c r="F171" s="107" t="b">
        <v>0</v>
      </c>
      <c r="G171" s="107" t="b">
        <v>0</v>
      </c>
    </row>
    <row r="172" spans="1:7" ht="15">
      <c r="A172" s="87" t="s">
        <v>3686</v>
      </c>
      <c r="B172" s="107">
        <v>5</v>
      </c>
      <c r="C172" s="109">
        <v>0.0019906948421785664</v>
      </c>
      <c r="D172" s="107" t="s">
        <v>4359</v>
      </c>
      <c r="E172" s="107" t="b">
        <v>0</v>
      </c>
      <c r="F172" s="107" t="b">
        <v>0</v>
      </c>
      <c r="G172" s="107" t="b">
        <v>0</v>
      </c>
    </row>
    <row r="173" spans="1:7" ht="15">
      <c r="A173" s="87" t="s">
        <v>3687</v>
      </c>
      <c r="B173" s="107">
        <v>5</v>
      </c>
      <c r="C173" s="109">
        <v>0.0019906948421785664</v>
      </c>
      <c r="D173" s="107" t="s">
        <v>4359</v>
      </c>
      <c r="E173" s="107" t="b">
        <v>0</v>
      </c>
      <c r="F173" s="107" t="b">
        <v>0</v>
      </c>
      <c r="G173" s="107" t="b">
        <v>0</v>
      </c>
    </row>
    <row r="174" spans="1:7" ht="15">
      <c r="A174" s="87" t="s">
        <v>2737</v>
      </c>
      <c r="B174" s="107">
        <v>5</v>
      </c>
      <c r="C174" s="109">
        <v>0.0019906948421785664</v>
      </c>
      <c r="D174" s="107" t="s">
        <v>4359</v>
      </c>
      <c r="E174" s="107" t="b">
        <v>0</v>
      </c>
      <c r="F174" s="107" t="b">
        <v>0</v>
      </c>
      <c r="G174" s="107" t="b">
        <v>0</v>
      </c>
    </row>
    <row r="175" spans="1:7" ht="15">
      <c r="A175" s="87" t="s">
        <v>3688</v>
      </c>
      <c r="B175" s="107">
        <v>5</v>
      </c>
      <c r="C175" s="109">
        <v>0.0019906948421785664</v>
      </c>
      <c r="D175" s="107" t="s">
        <v>4359</v>
      </c>
      <c r="E175" s="107" t="b">
        <v>0</v>
      </c>
      <c r="F175" s="107" t="b">
        <v>0</v>
      </c>
      <c r="G175" s="107" t="b">
        <v>0</v>
      </c>
    </row>
    <row r="176" spans="1:7" ht="15">
      <c r="A176" s="87" t="s">
        <v>3689</v>
      </c>
      <c r="B176" s="107">
        <v>5</v>
      </c>
      <c r="C176" s="109">
        <v>0.0019906948421785664</v>
      </c>
      <c r="D176" s="107" t="s">
        <v>4359</v>
      </c>
      <c r="E176" s="107" t="b">
        <v>0</v>
      </c>
      <c r="F176" s="107" t="b">
        <v>0</v>
      </c>
      <c r="G176" s="107" t="b">
        <v>0</v>
      </c>
    </row>
    <row r="177" spans="1:7" ht="15">
      <c r="A177" s="87" t="s">
        <v>3690</v>
      </c>
      <c r="B177" s="107">
        <v>5</v>
      </c>
      <c r="C177" s="109">
        <v>0.0018996140028852803</v>
      </c>
      <c r="D177" s="107" t="s">
        <v>4359</v>
      </c>
      <c r="E177" s="107" t="b">
        <v>0</v>
      </c>
      <c r="F177" s="107" t="b">
        <v>0</v>
      </c>
      <c r="G177" s="107" t="b">
        <v>0</v>
      </c>
    </row>
    <row r="178" spans="1:7" ht="15">
      <c r="A178" s="87" t="s">
        <v>3691</v>
      </c>
      <c r="B178" s="107">
        <v>5</v>
      </c>
      <c r="C178" s="109">
        <v>0.0018996140028852803</v>
      </c>
      <c r="D178" s="107" t="s">
        <v>4359</v>
      </c>
      <c r="E178" s="107" t="b">
        <v>0</v>
      </c>
      <c r="F178" s="107" t="b">
        <v>0</v>
      </c>
      <c r="G178" s="107" t="b">
        <v>0</v>
      </c>
    </row>
    <row r="179" spans="1:7" ht="15">
      <c r="A179" s="87" t="s">
        <v>3692</v>
      </c>
      <c r="B179" s="107">
        <v>5</v>
      </c>
      <c r="C179" s="109">
        <v>0.0018996140028852803</v>
      </c>
      <c r="D179" s="107" t="s">
        <v>4359</v>
      </c>
      <c r="E179" s="107" t="b">
        <v>0</v>
      </c>
      <c r="F179" s="107" t="b">
        <v>0</v>
      </c>
      <c r="G179" s="107" t="b">
        <v>0</v>
      </c>
    </row>
    <row r="180" spans="1:7" ht="15">
      <c r="A180" s="87" t="s">
        <v>3693</v>
      </c>
      <c r="B180" s="107">
        <v>5</v>
      </c>
      <c r="C180" s="109">
        <v>0.0019906948421785664</v>
      </c>
      <c r="D180" s="107" t="s">
        <v>4359</v>
      </c>
      <c r="E180" s="107" t="b">
        <v>0</v>
      </c>
      <c r="F180" s="107" t="b">
        <v>0</v>
      </c>
      <c r="G180" s="107" t="b">
        <v>0</v>
      </c>
    </row>
    <row r="181" spans="1:7" ht="15">
      <c r="A181" s="87" t="s">
        <v>3694</v>
      </c>
      <c r="B181" s="107">
        <v>5</v>
      </c>
      <c r="C181" s="109">
        <v>0.002108118466810427</v>
      </c>
      <c r="D181" s="107" t="s">
        <v>4359</v>
      </c>
      <c r="E181" s="107" t="b">
        <v>0</v>
      </c>
      <c r="F181" s="107" t="b">
        <v>0</v>
      </c>
      <c r="G181" s="107" t="b">
        <v>0</v>
      </c>
    </row>
    <row r="182" spans="1:7" ht="15">
      <c r="A182" s="87" t="s">
        <v>3695</v>
      </c>
      <c r="B182" s="107">
        <v>5</v>
      </c>
      <c r="C182" s="109">
        <v>0.0019906948421785664</v>
      </c>
      <c r="D182" s="107" t="s">
        <v>4359</v>
      </c>
      <c r="E182" s="107" t="b">
        <v>0</v>
      </c>
      <c r="F182" s="107" t="b">
        <v>1</v>
      </c>
      <c r="G182" s="107" t="b">
        <v>0</v>
      </c>
    </row>
    <row r="183" spans="1:7" ht="15">
      <c r="A183" s="87" t="s">
        <v>3696</v>
      </c>
      <c r="B183" s="107">
        <v>5</v>
      </c>
      <c r="C183" s="109">
        <v>0.002108118466810427</v>
      </c>
      <c r="D183" s="107" t="s">
        <v>4359</v>
      </c>
      <c r="E183" s="107" t="b">
        <v>0</v>
      </c>
      <c r="F183" s="107" t="b">
        <v>0</v>
      </c>
      <c r="G183" s="107" t="b">
        <v>0</v>
      </c>
    </row>
    <row r="184" spans="1:7" ht="15">
      <c r="A184" s="87" t="s">
        <v>3697</v>
      </c>
      <c r="B184" s="107">
        <v>5</v>
      </c>
      <c r="C184" s="109">
        <v>0.002108118466810427</v>
      </c>
      <c r="D184" s="107" t="s">
        <v>4359</v>
      </c>
      <c r="E184" s="107" t="b">
        <v>1</v>
      </c>
      <c r="F184" s="107" t="b">
        <v>0</v>
      </c>
      <c r="G184" s="107" t="b">
        <v>0</v>
      </c>
    </row>
    <row r="185" spans="1:7" ht="15">
      <c r="A185" s="87" t="s">
        <v>3698</v>
      </c>
      <c r="B185" s="107">
        <v>5</v>
      </c>
      <c r="C185" s="109">
        <v>0.0019906948421785664</v>
      </c>
      <c r="D185" s="107" t="s">
        <v>4359</v>
      </c>
      <c r="E185" s="107" t="b">
        <v>0</v>
      </c>
      <c r="F185" s="107" t="b">
        <v>0</v>
      </c>
      <c r="G185" s="107" t="b">
        <v>0</v>
      </c>
    </row>
    <row r="186" spans="1:7" ht="15">
      <c r="A186" s="87" t="s">
        <v>3699</v>
      </c>
      <c r="B186" s="107">
        <v>5</v>
      </c>
      <c r="C186" s="109">
        <v>0.0018996140028852803</v>
      </c>
      <c r="D186" s="107" t="s">
        <v>4359</v>
      </c>
      <c r="E186" s="107" t="b">
        <v>0</v>
      </c>
      <c r="F186" s="107" t="b">
        <v>0</v>
      </c>
      <c r="G186" s="107" t="b">
        <v>0</v>
      </c>
    </row>
    <row r="187" spans="1:7" ht="15">
      <c r="A187" s="87" t="s">
        <v>3700</v>
      </c>
      <c r="B187" s="107">
        <v>5</v>
      </c>
      <c r="C187" s="109">
        <v>0.0018996140028852803</v>
      </c>
      <c r="D187" s="107" t="s">
        <v>4359</v>
      </c>
      <c r="E187" s="107" t="b">
        <v>0</v>
      </c>
      <c r="F187" s="107" t="b">
        <v>0</v>
      </c>
      <c r="G187" s="107" t="b">
        <v>0</v>
      </c>
    </row>
    <row r="188" spans="1:7" ht="15">
      <c r="A188" s="87" t="s">
        <v>3701</v>
      </c>
      <c r="B188" s="107">
        <v>5</v>
      </c>
      <c r="C188" s="109">
        <v>0.0019906948421785664</v>
      </c>
      <c r="D188" s="107" t="s">
        <v>4359</v>
      </c>
      <c r="E188" s="107" t="b">
        <v>0</v>
      </c>
      <c r="F188" s="107" t="b">
        <v>0</v>
      </c>
      <c r="G188" s="107" t="b">
        <v>0</v>
      </c>
    </row>
    <row r="189" spans="1:7" ht="15">
      <c r="A189" s="87" t="s">
        <v>3702</v>
      </c>
      <c r="B189" s="107">
        <v>5</v>
      </c>
      <c r="C189" s="109">
        <v>0.0018996140028852803</v>
      </c>
      <c r="D189" s="107" t="s">
        <v>4359</v>
      </c>
      <c r="E189" s="107" t="b">
        <v>0</v>
      </c>
      <c r="F189" s="107" t="b">
        <v>0</v>
      </c>
      <c r="G189" s="107" t="b">
        <v>0</v>
      </c>
    </row>
    <row r="190" spans="1:7" ht="15">
      <c r="A190" s="87" t="s">
        <v>3703</v>
      </c>
      <c r="B190" s="107">
        <v>5</v>
      </c>
      <c r="C190" s="109">
        <v>0.0018996140028852803</v>
      </c>
      <c r="D190" s="107" t="s">
        <v>4359</v>
      </c>
      <c r="E190" s="107" t="b">
        <v>0</v>
      </c>
      <c r="F190" s="107" t="b">
        <v>0</v>
      </c>
      <c r="G190" s="107" t="b">
        <v>0</v>
      </c>
    </row>
    <row r="191" spans="1:7" ht="15">
      <c r="A191" s="87" t="s">
        <v>3704</v>
      </c>
      <c r="B191" s="107">
        <v>5</v>
      </c>
      <c r="C191" s="109">
        <v>0.0018996140028852803</v>
      </c>
      <c r="D191" s="107" t="s">
        <v>4359</v>
      </c>
      <c r="E191" s="107" t="b">
        <v>0</v>
      </c>
      <c r="F191" s="107" t="b">
        <v>0</v>
      </c>
      <c r="G191" s="107" t="b">
        <v>0</v>
      </c>
    </row>
    <row r="192" spans="1:7" ht="15">
      <c r="A192" s="87" t="s">
        <v>3705</v>
      </c>
      <c r="B192" s="107">
        <v>5</v>
      </c>
      <c r="C192" s="109">
        <v>0.0018996140028852803</v>
      </c>
      <c r="D192" s="107" t="s">
        <v>4359</v>
      </c>
      <c r="E192" s="107" t="b">
        <v>0</v>
      </c>
      <c r="F192" s="107" t="b">
        <v>0</v>
      </c>
      <c r="G192" s="107" t="b">
        <v>0</v>
      </c>
    </row>
    <row r="193" spans="1:7" ht="15">
      <c r="A193" s="87" t="s">
        <v>3706</v>
      </c>
      <c r="B193" s="107">
        <v>5</v>
      </c>
      <c r="C193" s="109">
        <v>0.0019906948421785664</v>
      </c>
      <c r="D193" s="107" t="s">
        <v>4359</v>
      </c>
      <c r="E193" s="107" t="b">
        <v>0</v>
      </c>
      <c r="F193" s="107" t="b">
        <v>0</v>
      </c>
      <c r="G193" s="107" t="b">
        <v>0</v>
      </c>
    </row>
    <row r="194" spans="1:7" ht="15">
      <c r="A194" s="87" t="s">
        <v>3707</v>
      </c>
      <c r="B194" s="107">
        <v>5</v>
      </c>
      <c r="C194" s="109">
        <v>0.0019906948421785664</v>
      </c>
      <c r="D194" s="107" t="s">
        <v>4359</v>
      </c>
      <c r="E194" s="107" t="b">
        <v>0</v>
      </c>
      <c r="F194" s="107" t="b">
        <v>0</v>
      </c>
      <c r="G194" s="107" t="b">
        <v>0</v>
      </c>
    </row>
    <row r="195" spans="1:7" ht="15">
      <c r="A195" s="87" t="s">
        <v>3708</v>
      </c>
      <c r="B195" s="107">
        <v>5</v>
      </c>
      <c r="C195" s="109">
        <v>0.0019906948421785664</v>
      </c>
      <c r="D195" s="107" t="s">
        <v>4359</v>
      </c>
      <c r="E195" s="107" t="b">
        <v>0</v>
      </c>
      <c r="F195" s="107" t="b">
        <v>0</v>
      </c>
      <c r="G195" s="107" t="b">
        <v>0</v>
      </c>
    </row>
    <row r="196" spans="1:7" ht="15">
      <c r="A196" s="87" t="s">
        <v>3709</v>
      </c>
      <c r="B196" s="107">
        <v>5</v>
      </c>
      <c r="C196" s="109">
        <v>0.002108118466810427</v>
      </c>
      <c r="D196" s="107" t="s">
        <v>4359</v>
      </c>
      <c r="E196" s="107" t="b">
        <v>0</v>
      </c>
      <c r="F196" s="107" t="b">
        <v>0</v>
      </c>
      <c r="G196" s="107" t="b">
        <v>0</v>
      </c>
    </row>
    <row r="197" spans="1:7" ht="15">
      <c r="A197" s="87" t="s">
        <v>3710</v>
      </c>
      <c r="B197" s="107">
        <v>5</v>
      </c>
      <c r="C197" s="109">
        <v>0.0018996140028852803</v>
      </c>
      <c r="D197" s="107" t="s">
        <v>4359</v>
      </c>
      <c r="E197" s="107" t="b">
        <v>0</v>
      </c>
      <c r="F197" s="107" t="b">
        <v>0</v>
      </c>
      <c r="G197" s="107" t="b">
        <v>0</v>
      </c>
    </row>
    <row r="198" spans="1:7" ht="15">
      <c r="A198" s="87" t="s">
        <v>3711</v>
      </c>
      <c r="B198" s="107">
        <v>5</v>
      </c>
      <c r="C198" s="109">
        <v>0.0019906948421785664</v>
      </c>
      <c r="D198" s="107" t="s">
        <v>4359</v>
      </c>
      <c r="E198" s="107" t="b">
        <v>1</v>
      </c>
      <c r="F198" s="107" t="b">
        <v>0</v>
      </c>
      <c r="G198" s="107" t="b">
        <v>0</v>
      </c>
    </row>
    <row r="199" spans="1:7" ht="15">
      <c r="A199" s="87" t="s">
        <v>3712</v>
      </c>
      <c r="B199" s="107">
        <v>5</v>
      </c>
      <c r="C199" s="109">
        <v>0.0019906948421785664</v>
      </c>
      <c r="D199" s="107" t="s">
        <v>4359</v>
      </c>
      <c r="E199" s="107" t="b">
        <v>0</v>
      </c>
      <c r="F199" s="107" t="b">
        <v>0</v>
      </c>
      <c r="G199" s="107" t="b">
        <v>0</v>
      </c>
    </row>
    <row r="200" spans="1:7" ht="15">
      <c r="A200" s="87" t="s">
        <v>3713</v>
      </c>
      <c r="B200" s="107">
        <v>5</v>
      </c>
      <c r="C200" s="109">
        <v>0.0018996140028852803</v>
      </c>
      <c r="D200" s="107" t="s">
        <v>4359</v>
      </c>
      <c r="E200" s="107" t="b">
        <v>0</v>
      </c>
      <c r="F200" s="107" t="b">
        <v>0</v>
      </c>
      <c r="G200" s="107" t="b">
        <v>0</v>
      </c>
    </row>
    <row r="201" spans="1:7" ht="15">
      <c r="A201" s="87" t="s">
        <v>3714</v>
      </c>
      <c r="B201" s="107">
        <v>4</v>
      </c>
      <c r="C201" s="109">
        <v>0.0016864947734483418</v>
      </c>
      <c r="D201" s="107" t="s">
        <v>4359</v>
      </c>
      <c r="E201" s="107" t="b">
        <v>0</v>
      </c>
      <c r="F201" s="107" t="b">
        <v>0</v>
      </c>
      <c r="G201" s="107" t="b">
        <v>0</v>
      </c>
    </row>
    <row r="202" spans="1:7" ht="15">
      <c r="A202" s="87" t="s">
        <v>3715</v>
      </c>
      <c r="B202" s="107">
        <v>4</v>
      </c>
      <c r="C202" s="109">
        <v>0.001592555873742853</v>
      </c>
      <c r="D202" s="107" t="s">
        <v>4359</v>
      </c>
      <c r="E202" s="107" t="b">
        <v>0</v>
      </c>
      <c r="F202" s="107" t="b">
        <v>0</v>
      </c>
      <c r="G202" s="107" t="b">
        <v>0</v>
      </c>
    </row>
    <row r="203" spans="1:7" ht="15">
      <c r="A203" s="87" t="s">
        <v>2942</v>
      </c>
      <c r="B203" s="107">
        <v>4</v>
      </c>
      <c r="C203" s="109">
        <v>0.0016864947734483418</v>
      </c>
      <c r="D203" s="107" t="s">
        <v>4359</v>
      </c>
      <c r="E203" s="107" t="b">
        <v>0</v>
      </c>
      <c r="F203" s="107" t="b">
        <v>1</v>
      </c>
      <c r="G203" s="107" t="b">
        <v>0</v>
      </c>
    </row>
    <row r="204" spans="1:7" ht="15">
      <c r="A204" s="87" t="s">
        <v>3716</v>
      </c>
      <c r="B204" s="107">
        <v>4</v>
      </c>
      <c r="C204" s="109">
        <v>0.001592555873742853</v>
      </c>
      <c r="D204" s="107" t="s">
        <v>4359</v>
      </c>
      <c r="E204" s="107" t="b">
        <v>0</v>
      </c>
      <c r="F204" s="107" t="b">
        <v>0</v>
      </c>
      <c r="G204" s="107" t="b">
        <v>0</v>
      </c>
    </row>
    <row r="205" spans="1:7" ht="15">
      <c r="A205" s="87" t="s">
        <v>3717</v>
      </c>
      <c r="B205" s="107">
        <v>4</v>
      </c>
      <c r="C205" s="109">
        <v>0.0016864947734483418</v>
      </c>
      <c r="D205" s="107" t="s">
        <v>4359</v>
      </c>
      <c r="E205" s="107" t="b">
        <v>0</v>
      </c>
      <c r="F205" s="107" t="b">
        <v>0</v>
      </c>
      <c r="G205" s="107" t="b">
        <v>0</v>
      </c>
    </row>
    <row r="206" spans="1:7" ht="15">
      <c r="A206" s="87" t="s">
        <v>3718</v>
      </c>
      <c r="B206" s="107">
        <v>4</v>
      </c>
      <c r="C206" s="109">
        <v>0.001592555873742853</v>
      </c>
      <c r="D206" s="107" t="s">
        <v>4359</v>
      </c>
      <c r="E206" s="107" t="b">
        <v>0</v>
      </c>
      <c r="F206" s="107" t="b">
        <v>0</v>
      </c>
      <c r="G206" s="107" t="b">
        <v>0</v>
      </c>
    </row>
    <row r="207" spans="1:7" ht="15">
      <c r="A207" s="87" t="s">
        <v>3719</v>
      </c>
      <c r="B207" s="107">
        <v>4</v>
      </c>
      <c r="C207" s="109">
        <v>0.001592555873742853</v>
      </c>
      <c r="D207" s="107" t="s">
        <v>4359</v>
      </c>
      <c r="E207" s="107" t="b">
        <v>1</v>
      </c>
      <c r="F207" s="107" t="b">
        <v>0</v>
      </c>
      <c r="G207" s="107" t="b">
        <v>0</v>
      </c>
    </row>
    <row r="208" spans="1:7" ht="15">
      <c r="A208" s="87" t="s">
        <v>3720</v>
      </c>
      <c r="B208" s="107">
        <v>4</v>
      </c>
      <c r="C208" s="109">
        <v>0.001592555873742853</v>
      </c>
      <c r="D208" s="107" t="s">
        <v>4359</v>
      </c>
      <c r="E208" s="107" t="b">
        <v>0</v>
      </c>
      <c r="F208" s="107" t="b">
        <v>0</v>
      </c>
      <c r="G208" s="107" t="b">
        <v>0</v>
      </c>
    </row>
    <row r="209" spans="1:7" ht="15">
      <c r="A209" s="87" t="s">
        <v>3721</v>
      </c>
      <c r="B209" s="107">
        <v>4</v>
      </c>
      <c r="C209" s="109">
        <v>0.0016864947734483418</v>
      </c>
      <c r="D209" s="107" t="s">
        <v>4359</v>
      </c>
      <c r="E209" s="107" t="b">
        <v>0</v>
      </c>
      <c r="F209" s="107" t="b">
        <v>0</v>
      </c>
      <c r="G209" s="107" t="b">
        <v>0</v>
      </c>
    </row>
    <row r="210" spans="1:7" ht="15">
      <c r="A210" s="87" t="s">
        <v>3722</v>
      </c>
      <c r="B210" s="107">
        <v>4</v>
      </c>
      <c r="C210" s="109">
        <v>0.001592555873742853</v>
      </c>
      <c r="D210" s="107" t="s">
        <v>4359</v>
      </c>
      <c r="E210" s="107" t="b">
        <v>0</v>
      </c>
      <c r="F210" s="107" t="b">
        <v>0</v>
      </c>
      <c r="G210" s="107" t="b">
        <v>0</v>
      </c>
    </row>
    <row r="211" spans="1:7" ht="15">
      <c r="A211" s="87" t="s">
        <v>3723</v>
      </c>
      <c r="B211" s="107">
        <v>4</v>
      </c>
      <c r="C211" s="109">
        <v>0.001592555873742853</v>
      </c>
      <c r="D211" s="107" t="s">
        <v>4359</v>
      </c>
      <c r="E211" s="107" t="b">
        <v>0</v>
      </c>
      <c r="F211" s="107" t="b">
        <v>0</v>
      </c>
      <c r="G211" s="107" t="b">
        <v>0</v>
      </c>
    </row>
    <row r="212" spans="1:7" ht="15">
      <c r="A212" s="87" t="s">
        <v>3724</v>
      </c>
      <c r="B212" s="107">
        <v>4</v>
      </c>
      <c r="C212" s="109">
        <v>0.0016864947734483418</v>
      </c>
      <c r="D212" s="107" t="s">
        <v>4359</v>
      </c>
      <c r="E212" s="107" t="b">
        <v>0</v>
      </c>
      <c r="F212" s="107" t="b">
        <v>0</v>
      </c>
      <c r="G212" s="107" t="b">
        <v>0</v>
      </c>
    </row>
    <row r="213" spans="1:7" ht="15">
      <c r="A213" s="87" t="s">
        <v>3725</v>
      </c>
      <c r="B213" s="107">
        <v>4</v>
      </c>
      <c r="C213" s="109">
        <v>0.0018188942163473503</v>
      </c>
      <c r="D213" s="107" t="s">
        <v>4359</v>
      </c>
      <c r="E213" s="107" t="b">
        <v>0</v>
      </c>
      <c r="F213" s="107" t="b">
        <v>0</v>
      </c>
      <c r="G213" s="107" t="b">
        <v>0</v>
      </c>
    </row>
    <row r="214" spans="1:7" ht="15">
      <c r="A214" s="87" t="s">
        <v>3726</v>
      </c>
      <c r="B214" s="107">
        <v>4</v>
      </c>
      <c r="C214" s="109">
        <v>0.001592555873742853</v>
      </c>
      <c r="D214" s="107" t="s">
        <v>4359</v>
      </c>
      <c r="E214" s="107" t="b">
        <v>0</v>
      </c>
      <c r="F214" s="107" t="b">
        <v>0</v>
      </c>
      <c r="G214" s="107" t="b">
        <v>0</v>
      </c>
    </row>
    <row r="215" spans="1:7" ht="15">
      <c r="A215" s="87" t="s">
        <v>3727</v>
      </c>
      <c r="B215" s="107">
        <v>4</v>
      </c>
      <c r="C215" s="109">
        <v>0.001592555873742853</v>
      </c>
      <c r="D215" s="107" t="s">
        <v>4359</v>
      </c>
      <c r="E215" s="107" t="b">
        <v>0</v>
      </c>
      <c r="F215" s="107" t="b">
        <v>0</v>
      </c>
      <c r="G215" s="107" t="b">
        <v>0</v>
      </c>
    </row>
    <row r="216" spans="1:7" ht="15">
      <c r="A216" s="87" t="s">
        <v>3728</v>
      </c>
      <c r="B216" s="107">
        <v>4</v>
      </c>
      <c r="C216" s="109">
        <v>0.001592555873742853</v>
      </c>
      <c r="D216" s="107" t="s">
        <v>4359</v>
      </c>
      <c r="E216" s="107" t="b">
        <v>0</v>
      </c>
      <c r="F216" s="107" t="b">
        <v>0</v>
      </c>
      <c r="G216" s="107" t="b">
        <v>0</v>
      </c>
    </row>
    <row r="217" spans="1:7" ht="15">
      <c r="A217" s="87" t="s">
        <v>3729</v>
      </c>
      <c r="B217" s="107">
        <v>4</v>
      </c>
      <c r="C217" s="109">
        <v>0.0018188942163473503</v>
      </c>
      <c r="D217" s="107" t="s">
        <v>4359</v>
      </c>
      <c r="E217" s="107" t="b">
        <v>0</v>
      </c>
      <c r="F217" s="107" t="b">
        <v>0</v>
      </c>
      <c r="G217" s="107" t="b">
        <v>0</v>
      </c>
    </row>
    <row r="218" spans="1:7" ht="15">
      <c r="A218" s="87" t="s">
        <v>3730</v>
      </c>
      <c r="B218" s="107">
        <v>4</v>
      </c>
      <c r="C218" s="109">
        <v>0.001592555873742853</v>
      </c>
      <c r="D218" s="107" t="s">
        <v>4359</v>
      </c>
      <c r="E218" s="107" t="b">
        <v>0</v>
      </c>
      <c r="F218" s="107" t="b">
        <v>1</v>
      </c>
      <c r="G218" s="107" t="b">
        <v>0</v>
      </c>
    </row>
    <row r="219" spans="1:7" ht="15">
      <c r="A219" s="87" t="s">
        <v>3731</v>
      </c>
      <c r="B219" s="107">
        <v>4</v>
      </c>
      <c r="C219" s="109">
        <v>0.0016864947734483418</v>
      </c>
      <c r="D219" s="107" t="s">
        <v>4359</v>
      </c>
      <c r="E219" s="107" t="b">
        <v>1</v>
      </c>
      <c r="F219" s="107" t="b">
        <v>0</v>
      </c>
      <c r="G219" s="107" t="b">
        <v>0</v>
      </c>
    </row>
    <row r="220" spans="1:7" ht="15">
      <c r="A220" s="87" t="s">
        <v>3732</v>
      </c>
      <c r="B220" s="107">
        <v>4</v>
      </c>
      <c r="C220" s="109">
        <v>0.0016864947734483418</v>
      </c>
      <c r="D220" s="107" t="s">
        <v>4359</v>
      </c>
      <c r="E220" s="107" t="b">
        <v>0</v>
      </c>
      <c r="F220" s="107" t="b">
        <v>0</v>
      </c>
      <c r="G220" s="107" t="b">
        <v>0</v>
      </c>
    </row>
    <row r="221" spans="1:7" ht="15">
      <c r="A221" s="87" t="s">
        <v>3733</v>
      </c>
      <c r="B221" s="107">
        <v>4</v>
      </c>
      <c r="C221" s="109">
        <v>0.001592555873742853</v>
      </c>
      <c r="D221" s="107" t="s">
        <v>4359</v>
      </c>
      <c r="E221" s="107" t="b">
        <v>0</v>
      </c>
      <c r="F221" s="107" t="b">
        <v>0</v>
      </c>
      <c r="G221" s="107" t="b">
        <v>0</v>
      </c>
    </row>
    <row r="222" spans="1:7" ht="15">
      <c r="A222" s="87" t="s">
        <v>3734</v>
      </c>
      <c r="B222" s="107">
        <v>4</v>
      </c>
      <c r="C222" s="109">
        <v>0.0016864947734483418</v>
      </c>
      <c r="D222" s="107" t="s">
        <v>4359</v>
      </c>
      <c r="E222" s="107" t="b">
        <v>0</v>
      </c>
      <c r="F222" s="107" t="b">
        <v>0</v>
      </c>
      <c r="G222" s="107" t="b">
        <v>0</v>
      </c>
    </row>
    <row r="223" spans="1:7" ht="15">
      <c r="A223" s="87" t="s">
        <v>3735</v>
      </c>
      <c r="B223" s="107">
        <v>4</v>
      </c>
      <c r="C223" s="109">
        <v>0.001592555873742853</v>
      </c>
      <c r="D223" s="107" t="s">
        <v>4359</v>
      </c>
      <c r="E223" s="107" t="b">
        <v>1</v>
      </c>
      <c r="F223" s="107" t="b">
        <v>0</v>
      </c>
      <c r="G223" s="107" t="b">
        <v>0</v>
      </c>
    </row>
    <row r="224" spans="1:7" ht="15">
      <c r="A224" s="87" t="s">
        <v>3736</v>
      </c>
      <c r="B224" s="107">
        <v>4</v>
      </c>
      <c r="C224" s="109">
        <v>0.001592555873742853</v>
      </c>
      <c r="D224" s="107" t="s">
        <v>4359</v>
      </c>
      <c r="E224" s="107" t="b">
        <v>0</v>
      </c>
      <c r="F224" s="107" t="b">
        <v>0</v>
      </c>
      <c r="G224" s="107" t="b">
        <v>0</v>
      </c>
    </row>
    <row r="225" spans="1:7" ht="15">
      <c r="A225" s="87" t="s">
        <v>3737</v>
      </c>
      <c r="B225" s="107">
        <v>4</v>
      </c>
      <c r="C225" s="109">
        <v>0.0016864947734483418</v>
      </c>
      <c r="D225" s="107" t="s">
        <v>4359</v>
      </c>
      <c r="E225" s="107" t="b">
        <v>1</v>
      </c>
      <c r="F225" s="107" t="b">
        <v>0</v>
      </c>
      <c r="G225" s="107" t="b">
        <v>0</v>
      </c>
    </row>
    <row r="226" spans="1:7" ht="15">
      <c r="A226" s="87" t="s">
        <v>3738</v>
      </c>
      <c r="B226" s="107">
        <v>4</v>
      </c>
      <c r="C226" s="109">
        <v>0.001592555873742853</v>
      </c>
      <c r="D226" s="107" t="s">
        <v>4359</v>
      </c>
      <c r="E226" s="107" t="b">
        <v>0</v>
      </c>
      <c r="F226" s="107" t="b">
        <v>1</v>
      </c>
      <c r="G226" s="107" t="b">
        <v>0</v>
      </c>
    </row>
    <row r="227" spans="1:7" ht="15">
      <c r="A227" s="87" t="s">
        <v>3022</v>
      </c>
      <c r="B227" s="107">
        <v>4</v>
      </c>
      <c r="C227" s="109">
        <v>0.001592555873742853</v>
      </c>
      <c r="D227" s="107" t="s">
        <v>4359</v>
      </c>
      <c r="E227" s="107" t="b">
        <v>1</v>
      </c>
      <c r="F227" s="107" t="b">
        <v>0</v>
      </c>
      <c r="G227" s="107" t="b">
        <v>0</v>
      </c>
    </row>
    <row r="228" spans="1:7" ht="15">
      <c r="A228" s="87" t="s">
        <v>3739</v>
      </c>
      <c r="B228" s="107">
        <v>4</v>
      </c>
      <c r="C228" s="109">
        <v>0.001592555873742853</v>
      </c>
      <c r="D228" s="107" t="s">
        <v>4359</v>
      </c>
      <c r="E228" s="107" t="b">
        <v>0</v>
      </c>
      <c r="F228" s="107" t="b">
        <v>0</v>
      </c>
      <c r="G228" s="107" t="b">
        <v>0</v>
      </c>
    </row>
    <row r="229" spans="1:7" ht="15">
      <c r="A229" s="87" t="s">
        <v>3740</v>
      </c>
      <c r="B229" s="107">
        <v>4</v>
      </c>
      <c r="C229" s="109">
        <v>0.001592555873742853</v>
      </c>
      <c r="D229" s="107" t="s">
        <v>4359</v>
      </c>
      <c r="E229" s="107" t="b">
        <v>0</v>
      </c>
      <c r="F229" s="107" t="b">
        <v>0</v>
      </c>
      <c r="G229" s="107" t="b">
        <v>0</v>
      </c>
    </row>
    <row r="230" spans="1:7" ht="15">
      <c r="A230" s="87" t="s">
        <v>3741</v>
      </c>
      <c r="B230" s="107">
        <v>4</v>
      </c>
      <c r="C230" s="109">
        <v>0.001592555873742853</v>
      </c>
      <c r="D230" s="107" t="s">
        <v>4359</v>
      </c>
      <c r="E230" s="107" t="b">
        <v>1</v>
      </c>
      <c r="F230" s="107" t="b">
        <v>0</v>
      </c>
      <c r="G230" s="107" t="b">
        <v>0</v>
      </c>
    </row>
    <row r="231" spans="1:7" ht="15">
      <c r="A231" s="87" t="s">
        <v>3742</v>
      </c>
      <c r="B231" s="107">
        <v>4</v>
      </c>
      <c r="C231" s="109">
        <v>0.001592555873742853</v>
      </c>
      <c r="D231" s="107" t="s">
        <v>4359</v>
      </c>
      <c r="E231" s="107" t="b">
        <v>0</v>
      </c>
      <c r="F231" s="107" t="b">
        <v>1</v>
      </c>
      <c r="G231" s="107" t="b">
        <v>0</v>
      </c>
    </row>
    <row r="232" spans="1:7" ht="15">
      <c r="A232" s="87" t="s">
        <v>3743</v>
      </c>
      <c r="B232" s="107">
        <v>4</v>
      </c>
      <c r="C232" s="109">
        <v>0.001592555873742853</v>
      </c>
      <c r="D232" s="107" t="s">
        <v>4359</v>
      </c>
      <c r="E232" s="107" t="b">
        <v>0</v>
      </c>
      <c r="F232" s="107" t="b">
        <v>0</v>
      </c>
      <c r="G232" s="107" t="b">
        <v>0</v>
      </c>
    </row>
    <row r="233" spans="1:7" ht="15">
      <c r="A233" s="87" t="s">
        <v>3744</v>
      </c>
      <c r="B233" s="107">
        <v>4</v>
      </c>
      <c r="C233" s="109">
        <v>0.001592555873742853</v>
      </c>
      <c r="D233" s="107" t="s">
        <v>4359</v>
      </c>
      <c r="E233" s="107" t="b">
        <v>0</v>
      </c>
      <c r="F233" s="107" t="b">
        <v>0</v>
      </c>
      <c r="G233" s="107" t="b">
        <v>0</v>
      </c>
    </row>
    <row r="234" spans="1:7" ht="15">
      <c r="A234" s="87" t="s">
        <v>3745</v>
      </c>
      <c r="B234" s="107">
        <v>4</v>
      </c>
      <c r="C234" s="109">
        <v>0.0016864947734483418</v>
      </c>
      <c r="D234" s="107" t="s">
        <v>4359</v>
      </c>
      <c r="E234" s="107" t="b">
        <v>0</v>
      </c>
      <c r="F234" s="107" t="b">
        <v>0</v>
      </c>
      <c r="G234" s="107" t="b">
        <v>0</v>
      </c>
    </row>
    <row r="235" spans="1:7" ht="15">
      <c r="A235" s="87" t="s">
        <v>3746</v>
      </c>
      <c r="B235" s="107">
        <v>4</v>
      </c>
      <c r="C235" s="109">
        <v>0.001592555873742853</v>
      </c>
      <c r="D235" s="107" t="s">
        <v>4359</v>
      </c>
      <c r="E235" s="107" t="b">
        <v>0</v>
      </c>
      <c r="F235" s="107" t="b">
        <v>0</v>
      </c>
      <c r="G235" s="107" t="b">
        <v>0</v>
      </c>
    </row>
    <row r="236" spans="1:7" ht="15">
      <c r="A236" s="87" t="s">
        <v>3747</v>
      </c>
      <c r="B236" s="107">
        <v>4</v>
      </c>
      <c r="C236" s="109">
        <v>0.0018188942163473503</v>
      </c>
      <c r="D236" s="107" t="s">
        <v>4359</v>
      </c>
      <c r="E236" s="107" t="b">
        <v>0</v>
      </c>
      <c r="F236" s="107" t="b">
        <v>0</v>
      </c>
      <c r="G236" s="107" t="b">
        <v>0</v>
      </c>
    </row>
    <row r="237" spans="1:7" ht="15">
      <c r="A237" s="87" t="s">
        <v>3748</v>
      </c>
      <c r="B237" s="107">
        <v>4</v>
      </c>
      <c r="C237" s="109">
        <v>0.0016864947734483418</v>
      </c>
      <c r="D237" s="107" t="s">
        <v>4359</v>
      </c>
      <c r="E237" s="107" t="b">
        <v>0</v>
      </c>
      <c r="F237" s="107" t="b">
        <v>0</v>
      </c>
      <c r="G237" s="107" t="b">
        <v>0</v>
      </c>
    </row>
    <row r="238" spans="1:7" ht="15">
      <c r="A238" s="87" t="s">
        <v>3749</v>
      </c>
      <c r="B238" s="107">
        <v>4</v>
      </c>
      <c r="C238" s="109">
        <v>0.001592555873742853</v>
      </c>
      <c r="D238" s="107" t="s">
        <v>4359</v>
      </c>
      <c r="E238" s="107" t="b">
        <v>0</v>
      </c>
      <c r="F238" s="107" t="b">
        <v>0</v>
      </c>
      <c r="G238" s="107" t="b">
        <v>0</v>
      </c>
    </row>
    <row r="239" spans="1:7" ht="15">
      <c r="A239" s="87" t="s">
        <v>3750</v>
      </c>
      <c r="B239" s="107">
        <v>4</v>
      </c>
      <c r="C239" s="109">
        <v>0.0016864947734483418</v>
      </c>
      <c r="D239" s="107" t="s">
        <v>4359</v>
      </c>
      <c r="E239" s="107" t="b">
        <v>0</v>
      </c>
      <c r="F239" s="107" t="b">
        <v>0</v>
      </c>
      <c r="G239" s="107" t="b">
        <v>0</v>
      </c>
    </row>
    <row r="240" spans="1:7" ht="15">
      <c r="A240" s="87" t="s">
        <v>3751</v>
      </c>
      <c r="B240" s="107">
        <v>4</v>
      </c>
      <c r="C240" s="109">
        <v>0.0016864947734483418</v>
      </c>
      <c r="D240" s="107" t="s">
        <v>4359</v>
      </c>
      <c r="E240" s="107" t="b">
        <v>0</v>
      </c>
      <c r="F240" s="107" t="b">
        <v>0</v>
      </c>
      <c r="G240" s="107" t="b">
        <v>0</v>
      </c>
    </row>
    <row r="241" spans="1:7" ht="15">
      <c r="A241" s="87" t="s">
        <v>3752</v>
      </c>
      <c r="B241" s="107">
        <v>4</v>
      </c>
      <c r="C241" s="109">
        <v>0.0016864947734483418</v>
      </c>
      <c r="D241" s="107" t="s">
        <v>4359</v>
      </c>
      <c r="E241" s="107" t="b">
        <v>0</v>
      </c>
      <c r="F241" s="107" t="b">
        <v>0</v>
      </c>
      <c r="G241" s="107" t="b">
        <v>0</v>
      </c>
    </row>
    <row r="242" spans="1:7" ht="15">
      <c r="A242" s="87" t="s">
        <v>3753</v>
      </c>
      <c r="B242" s="107">
        <v>4</v>
      </c>
      <c r="C242" s="109">
        <v>0.0016864947734483418</v>
      </c>
      <c r="D242" s="107" t="s">
        <v>4359</v>
      </c>
      <c r="E242" s="107" t="b">
        <v>0</v>
      </c>
      <c r="F242" s="107" t="b">
        <v>0</v>
      </c>
      <c r="G242" s="107" t="b">
        <v>0</v>
      </c>
    </row>
    <row r="243" spans="1:7" ht="15">
      <c r="A243" s="87" t="s">
        <v>3754</v>
      </c>
      <c r="B243" s="107">
        <v>4</v>
      </c>
      <c r="C243" s="109">
        <v>0.001592555873742853</v>
      </c>
      <c r="D243" s="107" t="s">
        <v>4359</v>
      </c>
      <c r="E243" s="107" t="b">
        <v>0</v>
      </c>
      <c r="F243" s="107" t="b">
        <v>0</v>
      </c>
      <c r="G243" s="107" t="b">
        <v>0</v>
      </c>
    </row>
    <row r="244" spans="1:7" ht="15">
      <c r="A244" s="87" t="s">
        <v>3755</v>
      </c>
      <c r="B244" s="107">
        <v>4</v>
      </c>
      <c r="C244" s="109">
        <v>0.001592555873742853</v>
      </c>
      <c r="D244" s="107" t="s">
        <v>4359</v>
      </c>
      <c r="E244" s="107" t="b">
        <v>0</v>
      </c>
      <c r="F244" s="107" t="b">
        <v>0</v>
      </c>
      <c r="G244" s="107" t="b">
        <v>0</v>
      </c>
    </row>
    <row r="245" spans="1:7" ht="15">
      <c r="A245" s="87" t="s">
        <v>3756</v>
      </c>
      <c r="B245" s="107">
        <v>4</v>
      </c>
      <c r="C245" s="109">
        <v>0.001592555873742853</v>
      </c>
      <c r="D245" s="107" t="s">
        <v>4359</v>
      </c>
      <c r="E245" s="107" t="b">
        <v>0</v>
      </c>
      <c r="F245" s="107" t="b">
        <v>1</v>
      </c>
      <c r="G245" s="107" t="b">
        <v>0</v>
      </c>
    </row>
    <row r="246" spans="1:7" ht="15">
      <c r="A246" s="87" t="s">
        <v>3757</v>
      </c>
      <c r="B246" s="107">
        <v>4</v>
      </c>
      <c r="C246" s="109">
        <v>0.0016864947734483418</v>
      </c>
      <c r="D246" s="107" t="s">
        <v>4359</v>
      </c>
      <c r="E246" s="107" t="b">
        <v>1</v>
      </c>
      <c r="F246" s="107" t="b">
        <v>0</v>
      </c>
      <c r="G246" s="107" t="b">
        <v>0</v>
      </c>
    </row>
    <row r="247" spans="1:7" ht="15">
      <c r="A247" s="87" t="s">
        <v>3758</v>
      </c>
      <c r="B247" s="107">
        <v>4</v>
      </c>
      <c r="C247" s="109">
        <v>0.0018188942163473503</v>
      </c>
      <c r="D247" s="107" t="s">
        <v>4359</v>
      </c>
      <c r="E247" s="107" t="b">
        <v>0</v>
      </c>
      <c r="F247" s="107" t="b">
        <v>0</v>
      </c>
      <c r="G247" s="107" t="b">
        <v>0</v>
      </c>
    </row>
    <row r="248" spans="1:7" ht="15">
      <c r="A248" s="87" t="s">
        <v>2644</v>
      </c>
      <c r="B248" s="107">
        <v>4</v>
      </c>
      <c r="C248" s="109">
        <v>0.001592555873742853</v>
      </c>
      <c r="D248" s="107" t="s">
        <v>4359</v>
      </c>
      <c r="E248" s="107" t="b">
        <v>0</v>
      </c>
      <c r="F248" s="107" t="b">
        <v>0</v>
      </c>
      <c r="G248" s="107" t="b">
        <v>0</v>
      </c>
    </row>
    <row r="249" spans="1:7" ht="15">
      <c r="A249" s="87" t="s">
        <v>3759</v>
      </c>
      <c r="B249" s="107">
        <v>4</v>
      </c>
      <c r="C249" s="109">
        <v>0.001592555873742853</v>
      </c>
      <c r="D249" s="107" t="s">
        <v>4359</v>
      </c>
      <c r="E249" s="107" t="b">
        <v>0</v>
      </c>
      <c r="F249" s="107" t="b">
        <v>1</v>
      </c>
      <c r="G249" s="107" t="b">
        <v>0</v>
      </c>
    </row>
    <row r="250" spans="1:7" ht="15">
      <c r="A250" s="87" t="s">
        <v>3760</v>
      </c>
      <c r="B250" s="107">
        <v>4</v>
      </c>
      <c r="C250" s="109">
        <v>0.001592555873742853</v>
      </c>
      <c r="D250" s="107" t="s">
        <v>4359</v>
      </c>
      <c r="E250" s="107" t="b">
        <v>0</v>
      </c>
      <c r="F250" s="107" t="b">
        <v>0</v>
      </c>
      <c r="G250" s="107" t="b">
        <v>0</v>
      </c>
    </row>
    <row r="251" spans="1:7" ht="15">
      <c r="A251" s="87" t="s">
        <v>3761</v>
      </c>
      <c r="B251" s="107">
        <v>4</v>
      </c>
      <c r="C251" s="109">
        <v>0.0016864947734483418</v>
      </c>
      <c r="D251" s="107" t="s">
        <v>4359</v>
      </c>
      <c r="E251" s="107" t="b">
        <v>1</v>
      </c>
      <c r="F251" s="107" t="b">
        <v>0</v>
      </c>
      <c r="G251" s="107" t="b">
        <v>0</v>
      </c>
    </row>
    <row r="252" spans="1:7" ht="15">
      <c r="A252" s="87" t="s">
        <v>3762</v>
      </c>
      <c r="B252" s="107">
        <v>4</v>
      </c>
      <c r="C252" s="109">
        <v>0.001592555873742853</v>
      </c>
      <c r="D252" s="107" t="s">
        <v>4359</v>
      </c>
      <c r="E252" s="107" t="b">
        <v>0</v>
      </c>
      <c r="F252" s="107" t="b">
        <v>0</v>
      </c>
      <c r="G252" s="107" t="b">
        <v>0</v>
      </c>
    </row>
    <row r="253" spans="1:7" ht="15">
      <c r="A253" s="87" t="s">
        <v>3763</v>
      </c>
      <c r="B253" s="107">
        <v>4</v>
      </c>
      <c r="C253" s="109">
        <v>0.0016864947734483418</v>
      </c>
      <c r="D253" s="107" t="s">
        <v>4359</v>
      </c>
      <c r="E253" s="107" t="b">
        <v>0</v>
      </c>
      <c r="F253" s="107" t="b">
        <v>1</v>
      </c>
      <c r="G253" s="107" t="b">
        <v>0</v>
      </c>
    </row>
    <row r="254" spans="1:7" ht="15">
      <c r="A254" s="87" t="s">
        <v>3764</v>
      </c>
      <c r="B254" s="107">
        <v>4</v>
      </c>
      <c r="C254" s="109">
        <v>0.0016864947734483418</v>
      </c>
      <c r="D254" s="107" t="s">
        <v>4359</v>
      </c>
      <c r="E254" s="107" t="b">
        <v>0</v>
      </c>
      <c r="F254" s="107" t="b">
        <v>1</v>
      </c>
      <c r="G254" s="107" t="b">
        <v>0</v>
      </c>
    </row>
    <row r="255" spans="1:7" ht="15">
      <c r="A255" s="87" t="s">
        <v>3765</v>
      </c>
      <c r="B255" s="107">
        <v>4</v>
      </c>
      <c r="C255" s="109">
        <v>0.0020452325589518476</v>
      </c>
      <c r="D255" s="107" t="s">
        <v>4359</v>
      </c>
      <c r="E255" s="107" t="b">
        <v>0</v>
      </c>
      <c r="F255" s="107" t="b">
        <v>0</v>
      </c>
      <c r="G255" s="107" t="b">
        <v>0</v>
      </c>
    </row>
    <row r="256" spans="1:7" ht="15">
      <c r="A256" s="87" t="s">
        <v>3766</v>
      </c>
      <c r="B256" s="107">
        <v>4</v>
      </c>
      <c r="C256" s="109">
        <v>0.001592555873742853</v>
      </c>
      <c r="D256" s="107" t="s">
        <v>4359</v>
      </c>
      <c r="E256" s="107" t="b">
        <v>0</v>
      </c>
      <c r="F256" s="107" t="b">
        <v>0</v>
      </c>
      <c r="G256" s="107" t="b">
        <v>0</v>
      </c>
    </row>
    <row r="257" spans="1:7" ht="15">
      <c r="A257" s="87" t="s">
        <v>3767</v>
      </c>
      <c r="B257" s="107">
        <v>4</v>
      </c>
      <c r="C257" s="109">
        <v>0.001592555873742853</v>
      </c>
      <c r="D257" s="107" t="s">
        <v>4359</v>
      </c>
      <c r="E257" s="107" t="b">
        <v>0</v>
      </c>
      <c r="F257" s="107" t="b">
        <v>1</v>
      </c>
      <c r="G257" s="107" t="b">
        <v>0</v>
      </c>
    </row>
    <row r="258" spans="1:7" ht="15">
      <c r="A258" s="87" t="s">
        <v>3768</v>
      </c>
      <c r="B258" s="107">
        <v>4</v>
      </c>
      <c r="C258" s="109">
        <v>0.001592555873742853</v>
      </c>
      <c r="D258" s="107" t="s">
        <v>4359</v>
      </c>
      <c r="E258" s="107" t="b">
        <v>0</v>
      </c>
      <c r="F258" s="107" t="b">
        <v>0</v>
      </c>
      <c r="G258" s="107" t="b">
        <v>0</v>
      </c>
    </row>
    <row r="259" spans="1:7" ht="15">
      <c r="A259" s="87" t="s">
        <v>3769</v>
      </c>
      <c r="B259" s="107">
        <v>4</v>
      </c>
      <c r="C259" s="109">
        <v>0.001592555873742853</v>
      </c>
      <c r="D259" s="107" t="s">
        <v>4359</v>
      </c>
      <c r="E259" s="107" t="b">
        <v>0</v>
      </c>
      <c r="F259" s="107" t="b">
        <v>0</v>
      </c>
      <c r="G259" s="107" t="b">
        <v>0</v>
      </c>
    </row>
    <row r="260" spans="1:7" ht="15">
      <c r="A260" s="87" t="s">
        <v>3770</v>
      </c>
      <c r="B260" s="107">
        <v>4</v>
      </c>
      <c r="C260" s="109">
        <v>0.001592555873742853</v>
      </c>
      <c r="D260" s="107" t="s">
        <v>4359</v>
      </c>
      <c r="E260" s="107" t="b">
        <v>0</v>
      </c>
      <c r="F260" s="107" t="b">
        <v>0</v>
      </c>
      <c r="G260" s="107" t="b">
        <v>0</v>
      </c>
    </row>
    <row r="261" spans="1:7" ht="15">
      <c r="A261" s="87" t="s">
        <v>3771</v>
      </c>
      <c r="B261" s="107">
        <v>4</v>
      </c>
      <c r="C261" s="109">
        <v>0.0020452325589518476</v>
      </c>
      <c r="D261" s="107" t="s">
        <v>4359</v>
      </c>
      <c r="E261" s="107" t="b">
        <v>0</v>
      </c>
      <c r="F261" s="107" t="b">
        <v>0</v>
      </c>
      <c r="G261" s="107" t="b">
        <v>0</v>
      </c>
    </row>
    <row r="262" spans="1:7" ht="15">
      <c r="A262" s="87" t="s">
        <v>3772</v>
      </c>
      <c r="B262" s="107">
        <v>4</v>
      </c>
      <c r="C262" s="109">
        <v>0.001592555873742853</v>
      </c>
      <c r="D262" s="107" t="s">
        <v>4359</v>
      </c>
      <c r="E262" s="107" t="b">
        <v>0</v>
      </c>
      <c r="F262" s="107" t="b">
        <v>0</v>
      </c>
      <c r="G262" s="107" t="b">
        <v>0</v>
      </c>
    </row>
    <row r="263" spans="1:7" ht="15">
      <c r="A263" s="87" t="s">
        <v>3773</v>
      </c>
      <c r="B263" s="107">
        <v>4</v>
      </c>
      <c r="C263" s="109">
        <v>0.001592555873742853</v>
      </c>
      <c r="D263" s="107" t="s">
        <v>4359</v>
      </c>
      <c r="E263" s="107" t="b">
        <v>1</v>
      </c>
      <c r="F263" s="107" t="b">
        <v>0</v>
      </c>
      <c r="G263" s="107" t="b">
        <v>0</v>
      </c>
    </row>
    <row r="264" spans="1:7" ht="15">
      <c r="A264" s="87" t="s">
        <v>3774</v>
      </c>
      <c r="B264" s="107">
        <v>4</v>
      </c>
      <c r="C264" s="109">
        <v>0.0016864947734483418</v>
      </c>
      <c r="D264" s="107" t="s">
        <v>4359</v>
      </c>
      <c r="E264" s="107" t="b">
        <v>0</v>
      </c>
      <c r="F264" s="107" t="b">
        <v>0</v>
      </c>
      <c r="G264" s="107" t="b">
        <v>0</v>
      </c>
    </row>
    <row r="265" spans="1:7" ht="15">
      <c r="A265" s="87" t="s">
        <v>3775</v>
      </c>
      <c r="B265" s="107">
        <v>4</v>
      </c>
      <c r="C265" s="109">
        <v>0.001592555873742853</v>
      </c>
      <c r="D265" s="107" t="s">
        <v>4359</v>
      </c>
      <c r="E265" s="107" t="b">
        <v>0</v>
      </c>
      <c r="F265" s="107" t="b">
        <v>0</v>
      </c>
      <c r="G265" s="107" t="b">
        <v>0</v>
      </c>
    </row>
    <row r="266" spans="1:7" ht="15">
      <c r="A266" s="87" t="s">
        <v>3776</v>
      </c>
      <c r="B266" s="107">
        <v>4</v>
      </c>
      <c r="C266" s="109">
        <v>0.001592555873742853</v>
      </c>
      <c r="D266" s="107" t="s">
        <v>4359</v>
      </c>
      <c r="E266" s="107" t="b">
        <v>0</v>
      </c>
      <c r="F266" s="107" t="b">
        <v>0</v>
      </c>
      <c r="G266" s="107" t="b">
        <v>0</v>
      </c>
    </row>
    <row r="267" spans="1:7" ht="15">
      <c r="A267" s="87" t="s">
        <v>3777</v>
      </c>
      <c r="B267" s="107">
        <v>4</v>
      </c>
      <c r="C267" s="109">
        <v>0.001592555873742853</v>
      </c>
      <c r="D267" s="107" t="s">
        <v>4359</v>
      </c>
      <c r="E267" s="107" t="b">
        <v>0</v>
      </c>
      <c r="F267" s="107" t="b">
        <v>1</v>
      </c>
      <c r="G267" s="107" t="b">
        <v>0</v>
      </c>
    </row>
    <row r="268" spans="1:7" ht="15">
      <c r="A268" s="87" t="s">
        <v>3778</v>
      </c>
      <c r="B268" s="107">
        <v>4</v>
      </c>
      <c r="C268" s="109">
        <v>0.001592555873742853</v>
      </c>
      <c r="D268" s="107" t="s">
        <v>4359</v>
      </c>
      <c r="E268" s="107" t="b">
        <v>0</v>
      </c>
      <c r="F268" s="107" t="b">
        <v>0</v>
      </c>
      <c r="G268" s="107" t="b">
        <v>0</v>
      </c>
    </row>
    <row r="269" spans="1:7" ht="15">
      <c r="A269" s="87" t="s">
        <v>3779</v>
      </c>
      <c r="B269" s="107">
        <v>4</v>
      </c>
      <c r="C269" s="109">
        <v>0.001592555873742853</v>
      </c>
      <c r="D269" s="107" t="s">
        <v>4359</v>
      </c>
      <c r="E269" s="107" t="b">
        <v>0</v>
      </c>
      <c r="F269" s="107" t="b">
        <v>0</v>
      </c>
      <c r="G269" s="107" t="b">
        <v>0</v>
      </c>
    </row>
    <row r="270" spans="1:7" ht="15">
      <c r="A270" s="87" t="s">
        <v>3780</v>
      </c>
      <c r="B270" s="107">
        <v>4</v>
      </c>
      <c r="C270" s="109">
        <v>0.001592555873742853</v>
      </c>
      <c r="D270" s="107" t="s">
        <v>4359</v>
      </c>
      <c r="E270" s="107" t="b">
        <v>0</v>
      </c>
      <c r="F270" s="107" t="b">
        <v>0</v>
      </c>
      <c r="G270" s="107" t="b">
        <v>0</v>
      </c>
    </row>
    <row r="271" spans="1:7" ht="15">
      <c r="A271" s="87" t="s">
        <v>3781</v>
      </c>
      <c r="B271" s="107">
        <v>4</v>
      </c>
      <c r="C271" s="109">
        <v>0.0018188942163473503</v>
      </c>
      <c r="D271" s="107" t="s">
        <v>4359</v>
      </c>
      <c r="E271" s="107" t="b">
        <v>0</v>
      </c>
      <c r="F271" s="107" t="b">
        <v>0</v>
      </c>
      <c r="G271" s="107" t="b">
        <v>0</v>
      </c>
    </row>
    <row r="272" spans="1:7" ht="15">
      <c r="A272" s="87" t="s">
        <v>3782</v>
      </c>
      <c r="B272" s="107">
        <v>4</v>
      </c>
      <c r="C272" s="109">
        <v>0.001592555873742853</v>
      </c>
      <c r="D272" s="107" t="s">
        <v>4359</v>
      </c>
      <c r="E272" s="107" t="b">
        <v>0</v>
      </c>
      <c r="F272" s="107" t="b">
        <v>1</v>
      </c>
      <c r="G272" s="107" t="b">
        <v>0</v>
      </c>
    </row>
    <row r="273" spans="1:7" ht="15">
      <c r="A273" s="87" t="s">
        <v>3783</v>
      </c>
      <c r="B273" s="107">
        <v>4</v>
      </c>
      <c r="C273" s="109">
        <v>0.001592555873742853</v>
      </c>
      <c r="D273" s="107" t="s">
        <v>4359</v>
      </c>
      <c r="E273" s="107" t="b">
        <v>0</v>
      </c>
      <c r="F273" s="107" t="b">
        <v>0</v>
      </c>
      <c r="G273" s="107" t="b">
        <v>0</v>
      </c>
    </row>
    <row r="274" spans="1:7" ht="15">
      <c r="A274" s="87" t="s">
        <v>3784</v>
      </c>
      <c r="B274" s="107">
        <v>4</v>
      </c>
      <c r="C274" s="109">
        <v>0.0016864947734483418</v>
      </c>
      <c r="D274" s="107" t="s">
        <v>4359</v>
      </c>
      <c r="E274" s="107" t="b">
        <v>0</v>
      </c>
      <c r="F274" s="107" t="b">
        <v>0</v>
      </c>
      <c r="G274" s="107" t="b">
        <v>0</v>
      </c>
    </row>
    <row r="275" spans="1:7" ht="15">
      <c r="A275" s="87" t="s">
        <v>3785</v>
      </c>
      <c r="B275" s="107">
        <v>4</v>
      </c>
      <c r="C275" s="109">
        <v>0.001592555873742853</v>
      </c>
      <c r="D275" s="107" t="s">
        <v>4359</v>
      </c>
      <c r="E275" s="107" t="b">
        <v>0</v>
      </c>
      <c r="F275" s="107" t="b">
        <v>0</v>
      </c>
      <c r="G275" s="107" t="b">
        <v>0</v>
      </c>
    </row>
    <row r="276" spans="1:7" ht="15">
      <c r="A276" s="87" t="s">
        <v>3786</v>
      </c>
      <c r="B276" s="107">
        <v>4</v>
      </c>
      <c r="C276" s="109">
        <v>0.0016864947734483418</v>
      </c>
      <c r="D276" s="107" t="s">
        <v>4359</v>
      </c>
      <c r="E276" s="107" t="b">
        <v>0</v>
      </c>
      <c r="F276" s="107" t="b">
        <v>0</v>
      </c>
      <c r="G276" s="107" t="b">
        <v>0</v>
      </c>
    </row>
    <row r="277" spans="1:7" ht="15">
      <c r="A277" s="87" t="s">
        <v>3787</v>
      </c>
      <c r="B277" s="107">
        <v>4</v>
      </c>
      <c r="C277" s="109">
        <v>0.0016864947734483418</v>
      </c>
      <c r="D277" s="107" t="s">
        <v>4359</v>
      </c>
      <c r="E277" s="107" t="b">
        <v>0</v>
      </c>
      <c r="F277" s="107" t="b">
        <v>0</v>
      </c>
      <c r="G277" s="107" t="b">
        <v>0</v>
      </c>
    </row>
    <row r="278" spans="1:7" ht="15">
      <c r="A278" s="87" t="s">
        <v>3788</v>
      </c>
      <c r="B278" s="107">
        <v>4</v>
      </c>
      <c r="C278" s="109">
        <v>0.0018188942163473503</v>
      </c>
      <c r="D278" s="107" t="s">
        <v>4359</v>
      </c>
      <c r="E278" s="107" t="b">
        <v>0</v>
      </c>
      <c r="F278" s="107" t="b">
        <v>0</v>
      </c>
      <c r="G278" s="107" t="b">
        <v>0</v>
      </c>
    </row>
    <row r="279" spans="1:7" ht="15">
      <c r="A279" s="87" t="s">
        <v>3789</v>
      </c>
      <c r="B279" s="107">
        <v>4</v>
      </c>
      <c r="C279" s="109">
        <v>0.001592555873742853</v>
      </c>
      <c r="D279" s="107" t="s">
        <v>4359</v>
      </c>
      <c r="E279" s="107" t="b">
        <v>0</v>
      </c>
      <c r="F279" s="107" t="b">
        <v>0</v>
      </c>
      <c r="G279" s="107" t="b">
        <v>0</v>
      </c>
    </row>
    <row r="280" spans="1:7" ht="15">
      <c r="A280" s="87" t="s">
        <v>3790</v>
      </c>
      <c r="B280" s="107">
        <v>4</v>
      </c>
      <c r="C280" s="109">
        <v>0.001592555873742853</v>
      </c>
      <c r="D280" s="107" t="s">
        <v>4359</v>
      </c>
      <c r="E280" s="107" t="b">
        <v>0</v>
      </c>
      <c r="F280" s="107" t="b">
        <v>0</v>
      </c>
      <c r="G280" s="107" t="b">
        <v>0</v>
      </c>
    </row>
    <row r="281" spans="1:7" ht="15">
      <c r="A281" s="87" t="s">
        <v>3791</v>
      </c>
      <c r="B281" s="107">
        <v>4</v>
      </c>
      <c r="C281" s="109">
        <v>0.001592555873742853</v>
      </c>
      <c r="D281" s="107" t="s">
        <v>4359</v>
      </c>
      <c r="E281" s="107" t="b">
        <v>0</v>
      </c>
      <c r="F281" s="107" t="b">
        <v>1</v>
      </c>
      <c r="G281" s="107" t="b">
        <v>0</v>
      </c>
    </row>
    <row r="282" spans="1:7" ht="15">
      <c r="A282" s="87" t="s">
        <v>3792</v>
      </c>
      <c r="B282" s="107">
        <v>4</v>
      </c>
      <c r="C282" s="109">
        <v>0.001592555873742853</v>
      </c>
      <c r="D282" s="107" t="s">
        <v>4359</v>
      </c>
      <c r="E282" s="107" t="b">
        <v>1</v>
      </c>
      <c r="F282" s="107" t="b">
        <v>0</v>
      </c>
      <c r="G282" s="107" t="b">
        <v>0</v>
      </c>
    </row>
    <row r="283" spans="1:7" ht="15">
      <c r="A283" s="87" t="s">
        <v>3793</v>
      </c>
      <c r="B283" s="107">
        <v>4</v>
      </c>
      <c r="C283" s="109">
        <v>0.001592555873742853</v>
      </c>
      <c r="D283" s="107" t="s">
        <v>4359</v>
      </c>
      <c r="E283" s="107" t="b">
        <v>0</v>
      </c>
      <c r="F283" s="107" t="b">
        <v>0</v>
      </c>
      <c r="G283" s="107" t="b">
        <v>0</v>
      </c>
    </row>
    <row r="284" spans="1:7" ht="15">
      <c r="A284" s="87" t="s">
        <v>3794</v>
      </c>
      <c r="B284" s="107">
        <v>4</v>
      </c>
      <c r="C284" s="109">
        <v>0.0016864947734483418</v>
      </c>
      <c r="D284" s="107" t="s">
        <v>4359</v>
      </c>
      <c r="E284" s="107" t="b">
        <v>0</v>
      </c>
      <c r="F284" s="107" t="b">
        <v>1</v>
      </c>
      <c r="G284" s="107" t="b">
        <v>0</v>
      </c>
    </row>
    <row r="285" spans="1:7" ht="15">
      <c r="A285" s="87" t="s">
        <v>3795</v>
      </c>
      <c r="B285" s="107">
        <v>3</v>
      </c>
      <c r="C285" s="109">
        <v>0.0012648710800862563</v>
      </c>
      <c r="D285" s="107" t="s">
        <v>4359</v>
      </c>
      <c r="E285" s="107" t="b">
        <v>0</v>
      </c>
      <c r="F285" s="107" t="b">
        <v>0</v>
      </c>
      <c r="G285" s="107" t="b">
        <v>0</v>
      </c>
    </row>
    <row r="286" spans="1:7" ht="15">
      <c r="A286" s="87" t="s">
        <v>3796</v>
      </c>
      <c r="B286" s="107">
        <v>3</v>
      </c>
      <c r="C286" s="109">
        <v>0.0012648710800862563</v>
      </c>
      <c r="D286" s="107" t="s">
        <v>4359</v>
      </c>
      <c r="E286" s="107" t="b">
        <v>0</v>
      </c>
      <c r="F286" s="107" t="b">
        <v>1</v>
      </c>
      <c r="G286" s="107" t="b">
        <v>0</v>
      </c>
    </row>
    <row r="287" spans="1:7" ht="15">
      <c r="A287" s="87" t="s">
        <v>3797</v>
      </c>
      <c r="B287" s="107">
        <v>3</v>
      </c>
      <c r="C287" s="109">
        <v>0.0012648710800862563</v>
      </c>
      <c r="D287" s="107" t="s">
        <v>4359</v>
      </c>
      <c r="E287" s="107" t="b">
        <v>0</v>
      </c>
      <c r="F287" s="107" t="b">
        <v>0</v>
      </c>
      <c r="G287" s="107" t="b">
        <v>0</v>
      </c>
    </row>
    <row r="288" spans="1:7" ht="15">
      <c r="A288" s="87" t="s">
        <v>3798</v>
      </c>
      <c r="B288" s="107">
        <v>3</v>
      </c>
      <c r="C288" s="109">
        <v>0.0012648710800862563</v>
      </c>
      <c r="D288" s="107" t="s">
        <v>4359</v>
      </c>
      <c r="E288" s="107" t="b">
        <v>0</v>
      </c>
      <c r="F288" s="107" t="b">
        <v>0</v>
      </c>
      <c r="G288" s="107" t="b">
        <v>0</v>
      </c>
    </row>
    <row r="289" spans="1:7" ht="15">
      <c r="A289" s="87" t="s">
        <v>3799</v>
      </c>
      <c r="B289" s="107">
        <v>3</v>
      </c>
      <c r="C289" s="109">
        <v>0.0012648710800862563</v>
      </c>
      <c r="D289" s="107" t="s">
        <v>4359</v>
      </c>
      <c r="E289" s="107" t="b">
        <v>0</v>
      </c>
      <c r="F289" s="107" t="b">
        <v>0</v>
      </c>
      <c r="G289" s="107" t="b">
        <v>0</v>
      </c>
    </row>
    <row r="290" spans="1:7" ht="15">
      <c r="A290" s="87" t="s">
        <v>3800</v>
      </c>
      <c r="B290" s="107">
        <v>3</v>
      </c>
      <c r="C290" s="109">
        <v>0.0013641706622605128</v>
      </c>
      <c r="D290" s="107" t="s">
        <v>4359</v>
      </c>
      <c r="E290" s="107" t="b">
        <v>0</v>
      </c>
      <c r="F290" s="107" t="b">
        <v>0</v>
      </c>
      <c r="G290" s="107" t="b">
        <v>0</v>
      </c>
    </row>
    <row r="291" spans="1:7" ht="15">
      <c r="A291" s="87" t="s">
        <v>2718</v>
      </c>
      <c r="B291" s="107">
        <v>3</v>
      </c>
      <c r="C291" s="109">
        <v>0.0012648710800862563</v>
      </c>
      <c r="D291" s="107" t="s">
        <v>4359</v>
      </c>
      <c r="E291" s="107" t="b">
        <v>0</v>
      </c>
      <c r="F291" s="107" t="b">
        <v>0</v>
      </c>
      <c r="G291" s="107" t="b">
        <v>0</v>
      </c>
    </row>
    <row r="292" spans="1:7" ht="15">
      <c r="A292" s="87" t="s">
        <v>3801</v>
      </c>
      <c r="B292" s="107">
        <v>3</v>
      </c>
      <c r="C292" s="109">
        <v>0.0012648710800862563</v>
      </c>
      <c r="D292" s="107" t="s">
        <v>4359</v>
      </c>
      <c r="E292" s="107" t="b">
        <v>0</v>
      </c>
      <c r="F292" s="107" t="b">
        <v>0</v>
      </c>
      <c r="G292" s="107" t="b">
        <v>0</v>
      </c>
    </row>
    <row r="293" spans="1:7" ht="15">
      <c r="A293" s="87" t="s">
        <v>3802</v>
      </c>
      <c r="B293" s="107">
        <v>3</v>
      </c>
      <c r="C293" s="109">
        <v>0.0013641706622605128</v>
      </c>
      <c r="D293" s="107" t="s">
        <v>4359</v>
      </c>
      <c r="E293" s="107" t="b">
        <v>0</v>
      </c>
      <c r="F293" s="107" t="b">
        <v>0</v>
      </c>
      <c r="G293" s="107" t="b">
        <v>0</v>
      </c>
    </row>
    <row r="294" spans="1:7" ht="15">
      <c r="A294" s="87" t="s">
        <v>3803</v>
      </c>
      <c r="B294" s="107">
        <v>3</v>
      </c>
      <c r="C294" s="109">
        <v>0.0012648710800862563</v>
      </c>
      <c r="D294" s="107" t="s">
        <v>4359</v>
      </c>
      <c r="E294" s="107" t="b">
        <v>0</v>
      </c>
      <c r="F294" s="107" t="b">
        <v>0</v>
      </c>
      <c r="G294" s="107" t="b">
        <v>0</v>
      </c>
    </row>
    <row r="295" spans="1:7" ht="15">
      <c r="A295" s="87" t="s">
        <v>3804</v>
      </c>
      <c r="B295" s="107">
        <v>3</v>
      </c>
      <c r="C295" s="109">
        <v>0.0012648710800862563</v>
      </c>
      <c r="D295" s="107" t="s">
        <v>4359</v>
      </c>
      <c r="E295" s="107" t="b">
        <v>0</v>
      </c>
      <c r="F295" s="107" t="b">
        <v>0</v>
      </c>
      <c r="G295" s="107" t="b">
        <v>0</v>
      </c>
    </row>
    <row r="296" spans="1:7" ht="15">
      <c r="A296" s="87" t="s">
        <v>3805</v>
      </c>
      <c r="B296" s="107">
        <v>3</v>
      </c>
      <c r="C296" s="109">
        <v>0.0012648710800862563</v>
      </c>
      <c r="D296" s="107" t="s">
        <v>4359</v>
      </c>
      <c r="E296" s="107" t="b">
        <v>0</v>
      </c>
      <c r="F296" s="107" t="b">
        <v>0</v>
      </c>
      <c r="G296" s="107" t="b">
        <v>0</v>
      </c>
    </row>
    <row r="297" spans="1:7" ht="15">
      <c r="A297" s="87" t="s">
        <v>3806</v>
      </c>
      <c r="B297" s="107">
        <v>3</v>
      </c>
      <c r="C297" s="109">
        <v>0.0013641706622605128</v>
      </c>
      <c r="D297" s="107" t="s">
        <v>4359</v>
      </c>
      <c r="E297" s="107" t="b">
        <v>0</v>
      </c>
      <c r="F297" s="107" t="b">
        <v>0</v>
      </c>
      <c r="G297" s="107" t="b">
        <v>0</v>
      </c>
    </row>
    <row r="298" spans="1:7" ht="15">
      <c r="A298" s="87" t="s">
        <v>3807</v>
      </c>
      <c r="B298" s="107">
        <v>3</v>
      </c>
      <c r="C298" s="109">
        <v>0.0012648710800862563</v>
      </c>
      <c r="D298" s="107" t="s">
        <v>4359</v>
      </c>
      <c r="E298" s="107" t="b">
        <v>0</v>
      </c>
      <c r="F298" s="107" t="b">
        <v>0</v>
      </c>
      <c r="G298" s="107" t="b">
        <v>0</v>
      </c>
    </row>
    <row r="299" spans="1:7" ht="15">
      <c r="A299" s="87" t="s">
        <v>3808</v>
      </c>
      <c r="B299" s="107">
        <v>3</v>
      </c>
      <c r="C299" s="109">
        <v>0.0012648710800862563</v>
      </c>
      <c r="D299" s="107" t="s">
        <v>4359</v>
      </c>
      <c r="E299" s="107" t="b">
        <v>0</v>
      </c>
      <c r="F299" s="107" t="b">
        <v>1</v>
      </c>
      <c r="G299" s="107" t="b">
        <v>0</v>
      </c>
    </row>
    <row r="300" spans="1:7" ht="15">
      <c r="A300" s="87" t="s">
        <v>3809</v>
      </c>
      <c r="B300" s="107">
        <v>3</v>
      </c>
      <c r="C300" s="109">
        <v>0.0012648710800862563</v>
      </c>
      <c r="D300" s="107" t="s">
        <v>4359</v>
      </c>
      <c r="E300" s="107" t="b">
        <v>0</v>
      </c>
      <c r="F300" s="107" t="b">
        <v>1</v>
      </c>
      <c r="G300" s="107" t="b">
        <v>0</v>
      </c>
    </row>
    <row r="301" spans="1:7" ht="15">
      <c r="A301" s="87" t="s">
        <v>3810</v>
      </c>
      <c r="B301" s="107">
        <v>3</v>
      </c>
      <c r="C301" s="109">
        <v>0.0013641706622605128</v>
      </c>
      <c r="D301" s="107" t="s">
        <v>4359</v>
      </c>
      <c r="E301" s="107" t="b">
        <v>0</v>
      </c>
      <c r="F301" s="107" t="b">
        <v>0</v>
      </c>
      <c r="G301" s="107" t="b">
        <v>0</v>
      </c>
    </row>
    <row r="302" spans="1:7" ht="15">
      <c r="A302" s="87" t="s">
        <v>3811</v>
      </c>
      <c r="B302" s="107">
        <v>3</v>
      </c>
      <c r="C302" s="109">
        <v>0.0012648710800862563</v>
      </c>
      <c r="D302" s="107" t="s">
        <v>4359</v>
      </c>
      <c r="E302" s="107" t="b">
        <v>0</v>
      </c>
      <c r="F302" s="107" t="b">
        <v>0</v>
      </c>
      <c r="G302" s="107" t="b">
        <v>0</v>
      </c>
    </row>
    <row r="303" spans="1:7" ht="15">
      <c r="A303" s="87" t="s">
        <v>3812</v>
      </c>
      <c r="B303" s="107">
        <v>3</v>
      </c>
      <c r="C303" s="109">
        <v>0.0012648710800862563</v>
      </c>
      <c r="D303" s="107" t="s">
        <v>4359</v>
      </c>
      <c r="E303" s="107" t="b">
        <v>0</v>
      </c>
      <c r="F303" s="107" t="b">
        <v>0</v>
      </c>
      <c r="G303" s="107" t="b">
        <v>0</v>
      </c>
    </row>
    <row r="304" spans="1:7" ht="15">
      <c r="A304" s="87" t="s">
        <v>3813</v>
      </c>
      <c r="B304" s="107">
        <v>3</v>
      </c>
      <c r="C304" s="109">
        <v>0.0012648710800862563</v>
      </c>
      <c r="D304" s="107" t="s">
        <v>4359</v>
      </c>
      <c r="E304" s="107" t="b">
        <v>0</v>
      </c>
      <c r="F304" s="107" t="b">
        <v>0</v>
      </c>
      <c r="G304" s="107" t="b">
        <v>0</v>
      </c>
    </row>
    <row r="305" spans="1:7" ht="15">
      <c r="A305" s="87" t="s">
        <v>3814</v>
      </c>
      <c r="B305" s="107">
        <v>3</v>
      </c>
      <c r="C305" s="109">
        <v>0.0012648710800862563</v>
      </c>
      <c r="D305" s="107" t="s">
        <v>4359</v>
      </c>
      <c r="E305" s="107" t="b">
        <v>0</v>
      </c>
      <c r="F305" s="107" t="b">
        <v>0</v>
      </c>
      <c r="G305" s="107" t="b">
        <v>0</v>
      </c>
    </row>
    <row r="306" spans="1:7" ht="15">
      <c r="A306" s="87" t="s">
        <v>3815</v>
      </c>
      <c r="B306" s="107">
        <v>3</v>
      </c>
      <c r="C306" s="109">
        <v>0.0012648710800862563</v>
      </c>
      <c r="D306" s="107" t="s">
        <v>4359</v>
      </c>
      <c r="E306" s="107" t="b">
        <v>0</v>
      </c>
      <c r="F306" s="107" t="b">
        <v>0</v>
      </c>
      <c r="G306" s="107" t="b">
        <v>0</v>
      </c>
    </row>
    <row r="307" spans="1:7" ht="15">
      <c r="A307" s="87" t="s">
        <v>3816</v>
      </c>
      <c r="B307" s="107">
        <v>3</v>
      </c>
      <c r="C307" s="109">
        <v>0.0012648710800862563</v>
      </c>
      <c r="D307" s="107" t="s">
        <v>4359</v>
      </c>
      <c r="E307" s="107" t="b">
        <v>1</v>
      </c>
      <c r="F307" s="107" t="b">
        <v>0</v>
      </c>
      <c r="G307" s="107" t="b">
        <v>0</v>
      </c>
    </row>
    <row r="308" spans="1:7" ht="15">
      <c r="A308" s="87" t="s">
        <v>3817</v>
      </c>
      <c r="B308" s="107">
        <v>3</v>
      </c>
      <c r="C308" s="109">
        <v>0.0012648710800862563</v>
      </c>
      <c r="D308" s="107" t="s">
        <v>4359</v>
      </c>
      <c r="E308" s="107" t="b">
        <v>0</v>
      </c>
      <c r="F308" s="107" t="b">
        <v>0</v>
      </c>
      <c r="G308" s="107" t="b">
        <v>0</v>
      </c>
    </row>
    <row r="309" spans="1:7" ht="15">
      <c r="A309" s="87" t="s">
        <v>3818</v>
      </c>
      <c r="B309" s="107">
        <v>3</v>
      </c>
      <c r="C309" s="109">
        <v>0.0012648710800862563</v>
      </c>
      <c r="D309" s="107" t="s">
        <v>4359</v>
      </c>
      <c r="E309" s="107" t="b">
        <v>0</v>
      </c>
      <c r="F309" s="107" t="b">
        <v>0</v>
      </c>
      <c r="G309" s="107" t="b">
        <v>0</v>
      </c>
    </row>
    <row r="310" spans="1:7" ht="15">
      <c r="A310" s="87" t="s">
        <v>3819</v>
      </c>
      <c r="B310" s="107">
        <v>3</v>
      </c>
      <c r="C310" s="109">
        <v>0.0013641706622605128</v>
      </c>
      <c r="D310" s="107" t="s">
        <v>4359</v>
      </c>
      <c r="E310" s="107" t="b">
        <v>0</v>
      </c>
      <c r="F310" s="107" t="b">
        <v>0</v>
      </c>
      <c r="G310" s="107" t="b">
        <v>0</v>
      </c>
    </row>
    <row r="311" spans="1:7" ht="15">
      <c r="A311" s="87" t="s">
        <v>3820</v>
      </c>
      <c r="B311" s="107">
        <v>3</v>
      </c>
      <c r="C311" s="109">
        <v>0.0015339244192138857</v>
      </c>
      <c r="D311" s="107" t="s">
        <v>4359</v>
      </c>
      <c r="E311" s="107" t="b">
        <v>0</v>
      </c>
      <c r="F311" s="107" t="b">
        <v>0</v>
      </c>
      <c r="G311" s="107" t="b">
        <v>0</v>
      </c>
    </row>
    <row r="312" spans="1:7" ht="15">
      <c r="A312" s="87" t="s">
        <v>3821</v>
      </c>
      <c r="B312" s="107">
        <v>3</v>
      </c>
      <c r="C312" s="109">
        <v>0.0013641706622605128</v>
      </c>
      <c r="D312" s="107" t="s">
        <v>4359</v>
      </c>
      <c r="E312" s="107" t="b">
        <v>0</v>
      </c>
      <c r="F312" s="107" t="b">
        <v>0</v>
      </c>
      <c r="G312" s="107" t="b">
        <v>0</v>
      </c>
    </row>
    <row r="313" spans="1:7" ht="15">
      <c r="A313" s="87" t="s">
        <v>3822</v>
      </c>
      <c r="B313" s="107">
        <v>3</v>
      </c>
      <c r="C313" s="109">
        <v>0.0013641706622605128</v>
      </c>
      <c r="D313" s="107" t="s">
        <v>4359</v>
      </c>
      <c r="E313" s="107" t="b">
        <v>1</v>
      </c>
      <c r="F313" s="107" t="b">
        <v>0</v>
      </c>
      <c r="G313" s="107" t="b">
        <v>0</v>
      </c>
    </row>
    <row r="314" spans="1:7" ht="15">
      <c r="A314" s="87" t="s">
        <v>3823</v>
      </c>
      <c r="B314" s="107">
        <v>3</v>
      </c>
      <c r="C314" s="109">
        <v>0.0013641706622605128</v>
      </c>
      <c r="D314" s="107" t="s">
        <v>4359</v>
      </c>
      <c r="E314" s="107" t="b">
        <v>0</v>
      </c>
      <c r="F314" s="107" t="b">
        <v>0</v>
      </c>
      <c r="G314" s="107" t="b">
        <v>0</v>
      </c>
    </row>
    <row r="315" spans="1:7" ht="15">
      <c r="A315" s="87" t="s">
        <v>3824</v>
      </c>
      <c r="B315" s="107">
        <v>3</v>
      </c>
      <c r="C315" s="109">
        <v>0.0012648710800862563</v>
      </c>
      <c r="D315" s="107" t="s">
        <v>4359</v>
      </c>
      <c r="E315" s="107" t="b">
        <v>0</v>
      </c>
      <c r="F315" s="107" t="b">
        <v>1</v>
      </c>
      <c r="G315" s="107" t="b">
        <v>0</v>
      </c>
    </row>
    <row r="316" spans="1:7" ht="15">
      <c r="A316" s="87" t="s">
        <v>2839</v>
      </c>
      <c r="B316" s="107">
        <v>3</v>
      </c>
      <c r="C316" s="109">
        <v>0.0012648710800862563</v>
      </c>
      <c r="D316" s="107" t="s">
        <v>4359</v>
      </c>
      <c r="E316" s="107" t="b">
        <v>1</v>
      </c>
      <c r="F316" s="107" t="b">
        <v>0</v>
      </c>
      <c r="G316" s="107" t="b">
        <v>0</v>
      </c>
    </row>
    <row r="317" spans="1:7" ht="15">
      <c r="A317" s="87" t="s">
        <v>3825</v>
      </c>
      <c r="B317" s="107">
        <v>3</v>
      </c>
      <c r="C317" s="109">
        <v>0.0013641706622605128</v>
      </c>
      <c r="D317" s="107" t="s">
        <v>4359</v>
      </c>
      <c r="E317" s="107" t="b">
        <v>0</v>
      </c>
      <c r="F317" s="107" t="b">
        <v>0</v>
      </c>
      <c r="G317" s="107" t="b">
        <v>0</v>
      </c>
    </row>
    <row r="318" spans="1:7" ht="15">
      <c r="A318" s="87" t="s">
        <v>3826</v>
      </c>
      <c r="B318" s="107">
        <v>3</v>
      </c>
      <c r="C318" s="109">
        <v>0.0012648710800862563</v>
      </c>
      <c r="D318" s="107" t="s">
        <v>4359</v>
      </c>
      <c r="E318" s="107" t="b">
        <v>1</v>
      </c>
      <c r="F318" s="107" t="b">
        <v>0</v>
      </c>
      <c r="G318" s="107" t="b">
        <v>0</v>
      </c>
    </row>
    <row r="319" spans="1:7" ht="15">
      <c r="A319" s="87" t="s">
        <v>3827</v>
      </c>
      <c r="B319" s="107">
        <v>3</v>
      </c>
      <c r="C319" s="109">
        <v>0.0012648710800862563</v>
      </c>
      <c r="D319" s="107" t="s">
        <v>4359</v>
      </c>
      <c r="E319" s="107" t="b">
        <v>0</v>
      </c>
      <c r="F319" s="107" t="b">
        <v>0</v>
      </c>
      <c r="G319" s="107" t="b">
        <v>0</v>
      </c>
    </row>
    <row r="320" spans="1:7" ht="15">
      <c r="A320" s="87" t="s">
        <v>3828</v>
      </c>
      <c r="B320" s="107">
        <v>3</v>
      </c>
      <c r="C320" s="109">
        <v>0.0015339244192138857</v>
      </c>
      <c r="D320" s="107" t="s">
        <v>4359</v>
      </c>
      <c r="E320" s="107" t="b">
        <v>0</v>
      </c>
      <c r="F320" s="107" t="b">
        <v>1</v>
      </c>
      <c r="G320" s="107" t="b">
        <v>0</v>
      </c>
    </row>
    <row r="321" spans="1:7" ht="15">
      <c r="A321" s="87" t="s">
        <v>3829</v>
      </c>
      <c r="B321" s="107">
        <v>3</v>
      </c>
      <c r="C321" s="109">
        <v>0.0012648710800862563</v>
      </c>
      <c r="D321" s="107" t="s">
        <v>4359</v>
      </c>
      <c r="E321" s="107" t="b">
        <v>1</v>
      </c>
      <c r="F321" s="107" t="b">
        <v>0</v>
      </c>
      <c r="G321" s="107" t="b">
        <v>0</v>
      </c>
    </row>
    <row r="322" spans="1:7" ht="15">
      <c r="A322" s="87" t="s">
        <v>3830</v>
      </c>
      <c r="B322" s="107">
        <v>3</v>
      </c>
      <c r="C322" s="109">
        <v>0.0013641706622605128</v>
      </c>
      <c r="D322" s="107" t="s">
        <v>4359</v>
      </c>
      <c r="E322" s="107" t="b">
        <v>0</v>
      </c>
      <c r="F322" s="107" t="b">
        <v>0</v>
      </c>
      <c r="G322" s="107" t="b">
        <v>0</v>
      </c>
    </row>
    <row r="323" spans="1:7" ht="15">
      <c r="A323" s="87" t="s">
        <v>3831</v>
      </c>
      <c r="B323" s="107">
        <v>3</v>
      </c>
      <c r="C323" s="109">
        <v>0.0013641706622605128</v>
      </c>
      <c r="D323" s="107" t="s">
        <v>4359</v>
      </c>
      <c r="E323" s="107" t="b">
        <v>0</v>
      </c>
      <c r="F323" s="107" t="b">
        <v>0</v>
      </c>
      <c r="G323" s="107" t="b">
        <v>0</v>
      </c>
    </row>
    <row r="324" spans="1:7" ht="15">
      <c r="A324" s="87" t="s">
        <v>3832</v>
      </c>
      <c r="B324" s="107">
        <v>3</v>
      </c>
      <c r="C324" s="109">
        <v>0.0013641706622605128</v>
      </c>
      <c r="D324" s="107" t="s">
        <v>4359</v>
      </c>
      <c r="E324" s="107" t="b">
        <v>0</v>
      </c>
      <c r="F324" s="107" t="b">
        <v>0</v>
      </c>
      <c r="G324" s="107" t="b">
        <v>0</v>
      </c>
    </row>
    <row r="325" spans="1:7" ht="15">
      <c r="A325" s="87" t="s">
        <v>3833</v>
      </c>
      <c r="B325" s="107">
        <v>3</v>
      </c>
      <c r="C325" s="109">
        <v>0.0013641706622605128</v>
      </c>
      <c r="D325" s="107" t="s">
        <v>4359</v>
      </c>
      <c r="E325" s="107" t="b">
        <v>0</v>
      </c>
      <c r="F325" s="107" t="b">
        <v>0</v>
      </c>
      <c r="G325" s="107" t="b">
        <v>0</v>
      </c>
    </row>
    <row r="326" spans="1:7" ht="15">
      <c r="A326" s="87" t="s">
        <v>3834</v>
      </c>
      <c r="B326" s="107">
        <v>3</v>
      </c>
      <c r="C326" s="109">
        <v>0.0012648710800862563</v>
      </c>
      <c r="D326" s="107" t="s">
        <v>4359</v>
      </c>
      <c r="E326" s="107" t="b">
        <v>0</v>
      </c>
      <c r="F326" s="107" t="b">
        <v>0</v>
      </c>
      <c r="G326" s="107" t="b">
        <v>0</v>
      </c>
    </row>
    <row r="327" spans="1:7" ht="15">
      <c r="A327" s="87" t="s">
        <v>3835</v>
      </c>
      <c r="B327" s="107">
        <v>3</v>
      </c>
      <c r="C327" s="109">
        <v>0.0013641706622605128</v>
      </c>
      <c r="D327" s="107" t="s">
        <v>4359</v>
      </c>
      <c r="E327" s="107" t="b">
        <v>0</v>
      </c>
      <c r="F327" s="107" t="b">
        <v>0</v>
      </c>
      <c r="G327" s="107" t="b">
        <v>0</v>
      </c>
    </row>
    <row r="328" spans="1:7" ht="15">
      <c r="A328" s="87" t="s">
        <v>3836</v>
      </c>
      <c r="B328" s="107">
        <v>3</v>
      </c>
      <c r="C328" s="109">
        <v>0.0012648710800862563</v>
      </c>
      <c r="D328" s="107" t="s">
        <v>4359</v>
      </c>
      <c r="E328" s="107" t="b">
        <v>0</v>
      </c>
      <c r="F328" s="107" t="b">
        <v>0</v>
      </c>
      <c r="G328" s="107" t="b">
        <v>0</v>
      </c>
    </row>
    <row r="329" spans="1:7" ht="15">
      <c r="A329" s="87" t="s">
        <v>3837</v>
      </c>
      <c r="B329" s="107">
        <v>3</v>
      </c>
      <c r="C329" s="109">
        <v>0.0012648710800862563</v>
      </c>
      <c r="D329" s="107" t="s">
        <v>4359</v>
      </c>
      <c r="E329" s="107" t="b">
        <v>0</v>
      </c>
      <c r="F329" s="107" t="b">
        <v>1</v>
      </c>
      <c r="G329" s="107" t="b">
        <v>0</v>
      </c>
    </row>
    <row r="330" spans="1:7" ht="15">
      <c r="A330" s="87" t="s">
        <v>3838</v>
      </c>
      <c r="B330" s="107">
        <v>3</v>
      </c>
      <c r="C330" s="109">
        <v>0.0012648710800862563</v>
      </c>
      <c r="D330" s="107" t="s">
        <v>4359</v>
      </c>
      <c r="E330" s="107" t="b">
        <v>0</v>
      </c>
      <c r="F330" s="107" t="b">
        <v>0</v>
      </c>
      <c r="G330" s="107" t="b">
        <v>0</v>
      </c>
    </row>
    <row r="331" spans="1:7" ht="15">
      <c r="A331" s="87" t="s">
        <v>3839</v>
      </c>
      <c r="B331" s="107">
        <v>3</v>
      </c>
      <c r="C331" s="109">
        <v>0.0012648710800862563</v>
      </c>
      <c r="D331" s="107" t="s">
        <v>4359</v>
      </c>
      <c r="E331" s="107" t="b">
        <v>0</v>
      </c>
      <c r="F331" s="107" t="b">
        <v>0</v>
      </c>
      <c r="G331" s="107" t="b">
        <v>0</v>
      </c>
    </row>
    <row r="332" spans="1:7" ht="15">
      <c r="A332" s="87" t="s">
        <v>3840</v>
      </c>
      <c r="B332" s="107">
        <v>3</v>
      </c>
      <c r="C332" s="109">
        <v>0.0012648710800862563</v>
      </c>
      <c r="D332" s="107" t="s">
        <v>4359</v>
      </c>
      <c r="E332" s="107" t="b">
        <v>0</v>
      </c>
      <c r="F332" s="107" t="b">
        <v>0</v>
      </c>
      <c r="G332" s="107" t="b">
        <v>0</v>
      </c>
    </row>
    <row r="333" spans="1:7" ht="15">
      <c r="A333" s="87" t="s">
        <v>3841</v>
      </c>
      <c r="B333" s="107">
        <v>3</v>
      </c>
      <c r="C333" s="109">
        <v>0.0012648710800862563</v>
      </c>
      <c r="D333" s="107" t="s">
        <v>4359</v>
      </c>
      <c r="E333" s="107" t="b">
        <v>0</v>
      </c>
      <c r="F333" s="107" t="b">
        <v>0</v>
      </c>
      <c r="G333" s="107" t="b">
        <v>0</v>
      </c>
    </row>
    <row r="334" spans="1:7" ht="15">
      <c r="A334" s="87" t="s">
        <v>3842</v>
      </c>
      <c r="B334" s="107">
        <v>3</v>
      </c>
      <c r="C334" s="109">
        <v>0.0012648710800862563</v>
      </c>
      <c r="D334" s="107" t="s">
        <v>4359</v>
      </c>
      <c r="E334" s="107" t="b">
        <v>0</v>
      </c>
      <c r="F334" s="107" t="b">
        <v>0</v>
      </c>
      <c r="G334" s="107" t="b">
        <v>0</v>
      </c>
    </row>
    <row r="335" spans="1:7" ht="15">
      <c r="A335" s="87" t="s">
        <v>3843</v>
      </c>
      <c r="B335" s="107">
        <v>3</v>
      </c>
      <c r="C335" s="109">
        <v>0.0012648710800862563</v>
      </c>
      <c r="D335" s="107" t="s">
        <v>4359</v>
      </c>
      <c r="E335" s="107" t="b">
        <v>0</v>
      </c>
      <c r="F335" s="107" t="b">
        <v>1</v>
      </c>
      <c r="G335" s="107" t="b">
        <v>0</v>
      </c>
    </row>
    <row r="336" spans="1:7" ht="15">
      <c r="A336" s="87" t="s">
        <v>3844</v>
      </c>
      <c r="B336" s="107">
        <v>3</v>
      </c>
      <c r="C336" s="109">
        <v>0.0012648710800862563</v>
      </c>
      <c r="D336" s="107" t="s">
        <v>4359</v>
      </c>
      <c r="E336" s="107" t="b">
        <v>0</v>
      </c>
      <c r="F336" s="107" t="b">
        <v>0</v>
      </c>
      <c r="G336" s="107" t="b">
        <v>0</v>
      </c>
    </row>
    <row r="337" spans="1:7" ht="15">
      <c r="A337" s="87" t="s">
        <v>3845</v>
      </c>
      <c r="B337" s="107">
        <v>3</v>
      </c>
      <c r="C337" s="109">
        <v>0.0012648710800862563</v>
      </c>
      <c r="D337" s="107" t="s">
        <v>4359</v>
      </c>
      <c r="E337" s="107" t="b">
        <v>0</v>
      </c>
      <c r="F337" s="107" t="b">
        <v>0</v>
      </c>
      <c r="G337" s="107" t="b">
        <v>0</v>
      </c>
    </row>
    <row r="338" spans="1:7" ht="15">
      <c r="A338" s="87" t="s">
        <v>3846</v>
      </c>
      <c r="B338" s="107">
        <v>3</v>
      </c>
      <c r="C338" s="109">
        <v>0.0012648710800862563</v>
      </c>
      <c r="D338" s="107" t="s">
        <v>4359</v>
      </c>
      <c r="E338" s="107" t="b">
        <v>0</v>
      </c>
      <c r="F338" s="107" t="b">
        <v>0</v>
      </c>
      <c r="G338" s="107" t="b">
        <v>0</v>
      </c>
    </row>
    <row r="339" spans="1:7" ht="15">
      <c r="A339" s="87" t="s">
        <v>3847</v>
      </c>
      <c r="B339" s="107">
        <v>3</v>
      </c>
      <c r="C339" s="109">
        <v>0.0013641706622605128</v>
      </c>
      <c r="D339" s="107" t="s">
        <v>4359</v>
      </c>
      <c r="E339" s="107" t="b">
        <v>0</v>
      </c>
      <c r="F339" s="107" t="b">
        <v>0</v>
      </c>
      <c r="G339" s="107" t="b">
        <v>0</v>
      </c>
    </row>
    <row r="340" spans="1:7" ht="15">
      <c r="A340" s="87" t="s">
        <v>3848</v>
      </c>
      <c r="B340" s="107">
        <v>3</v>
      </c>
      <c r="C340" s="109">
        <v>0.0013641706622605128</v>
      </c>
      <c r="D340" s="107" t="s">
        <v>4359</v>
      </c>
      <c r="E340" s="107" t="b">
        <v>0</v>
      </c>
      <c r="F340" s="107" t="b">
        <v>0</v>
      </c>
      <c r="G340" s="107" t="b">
        <v>0</v>
      </c>
    </row>
    <row r="341" spans="1:7" ht="15">
      <c r="A341" s="87" t="s">
        <v>3849</v>
      </c>
      <c r="B341" s="107">
        <v>3</v>
      </c>
      <c r="C341" s="109">
        <v>0.0012648710800862563</v>
      </c>
      <c r="D341" s="107" t="s">
        <v>4359</v>
      </c>
      <c r="E341" s="107" t="b">
        <v>0</v>
      </c>
      <c r="F341" s="107" t="b">
        <v>0</v>
      </c>
      <c r="G341" s="107" t="b">
        <v>0</v>
      </c>
    </row>
    <row r="342" spans="1:7" ht="15">
      <c r="A342" s="87" t="s">
        <v>3850</v>
      </c>
      <c r="B342" s="107">
        <v>3</v>
      </c>
      <c r="C342" s="109">
        <v>0.0012648710800862563</v>
      </c>
      <c r="D342" s="107" t="s">
        <v>4359</v>
      </c>
      <c r="E342" s="107" t="b">
        <v>0</v>
      </c>
      <c r="F342" s="107" t="b">
        <v>1</v>
      </c>
      <c r="G342" s="107" t="b">
        <v>0</v>
      </c>
    </row>
    <row r="343" spans="1:7" ht="15">
      <c r="A343" s="87" t="s">
        <v>3851</v>
      </c>
      <c r="B343" s="107">
        <v>3</v>
      </c>
      <c r="C343" s="109">
        <v>0.0012648710800862563</v>
      </c>
      <c r="D343" s="107" t="s">
        <v>4359</v>
      </c>
      <c r="E343" s="107" t="b">
        <v>0</v>
      </c>
      <c r="F343" s="107" t="b">
        <v>0</v>
      </c>
      <c r="G343" s="107" t="b">
        <v>0</v>
      </c>
    </row>
    <row r="344" spans="1:7" ht="15">
      <c r="A344" s="87" t="s">
        <v>3852</v>
      </c>
      <c r="B344" s="107">
        <v>3</v>
      </c>
      <c r="C344" s="109">
        <v>0.0012648710800862563</v>
      </c>
      <c r="D344" s="107" t="s">
        <v>4359</v>
      </c>
      <c r="E344" s="107" t="b">
        <v>1</v>
      </c>
      <c r="F344" s="107" t="b">
        <v>0</v>
      </c>
      <c r="G344" s="107" t="b">
        <v>0</v>
      </c>
    </row>
    <row r="345" spans="1:7" ht="15">
      <c r="A345" s="87" t="s">
        <v>3853</v>
      </c>
      <c r="B345" s="107">
        <v>3</v>
      </c>
      <c r="C345" s="109">
        <v>0.0012648710800862563</v>
      </c>
      <c r="D345" s="107" t="s">
        <v>4359</v>
      </c>
      <c r="E345" s="107" t="b">
        <v>0</v>
      </c>
      <c r="F345" s="107" t="b">
        <v>0</v>
      </c>
      <c r="G345" s="107" t="b">
        <v>0</v>
      </c>
    </row>
    <row r="346" spans="1:7" ht="15">
      <c r="A346" s="87" t="s">
        <v>3854</v>
      </c>
      <c r="B346" s="107">
        <v>3</v>
      </c>
      <c r="C346" s="109">
        <v>0.0012648710800862563</v>
      </c>
      <c r="D346" s="107" t="s">
        <v>4359</v>
      </c>
      <c r="E346" s="107" t="b">
        <v>0</v>
      </c>
      <c r="F346" s="107" t="b">
        <v>0</v>
      </c>
      <c r="G346" s="107" t="b">
        <v>0</v>
      </c>
    </row>
    <row r="347" spans="1:7" ht="15">
      <c r="A347" s="87" t="s">
        <v>3855</v>
      </c>
      <c r="B347" s="107">
        <v>3</v>
      </c>
      <c r="C347" s="109">
        <v>0.0012648710800862563</v>
      </c>
      <c r="D347" s="107" t="s">
        <v>4359</v>
      </c>
      <c r="E347" s="107" t="b">
        <v>0</v>
      </c>
      <c r="F347" s="107" t="b">
        <v>0</v>
      </c>
      <c r="G347" s="107" t="b">
        <v>0</v>
      </c>
    </row>
    <row r="348" spans="1:7" ht="15">
      <c r="A348" s="87" t="s">
        <v>3856</v>
      </c>
      <c r="B348" s="107">
        <v>3</v>
      </c>
      <c r="C348" s="109">
        <v>0.0012648710800862563</v>
      </c>
      <c r="D348" s="107" t="s">
        <v>4359</v>
      </c>
      <c r="E348" s="107" t="b">
        <v>0</v>
      </c>
      <c r="F348" s="107" t="b">
        <v>0</v>
      </c>
      <c r="G348" s="107" t="b">
        <v>0</v>
      </c>
    </row>
    <row r="349" spans="1:7" ht="15">
      <c r="A349" s="87" t="s">
        <v>3857</v>
      </c>
      <c r="B349" s="107">
        <v>3</v>
      </c>
      <c r="C349" s="109">
        <v>0.0015339244192138857</v>
      </c>
      <c r="D349" s="107" t="s">
        <v>4359</v>
      </c>
      <c r="E349" s="107" t="b">
        <v>0</v>
      </c>
      <c r="F349" s="107" t="b">
        <v>0</v>
      </c>
      <c r="G349" s="107" t="b">
        <v>0</v>
      </c>
    </row>
    <row r="350" spans="1:7" ht="15">
      <c r="A350" s="87" t="s">
        <v>3858</v>
      </c>
      <c r="B350" s="107">
        <v>3</v>
      </c>
      <c r="C350" s="109">
        <v>0.0012648710800862563</v>
      </c>
      <c r="D350" s="107" t="s">
        <v>4359</v>
      </c>
      <c r="E350" s="107" t="b">
        <v>0</v>
      </c>
      <c r="F350" s="107" t="b">
        <v>0</v>
      </c>
      <c r="G350" s="107" t="b">
        <v>0</v>
      </c>
    </row>
    <row r="351" spans="1:7" ht="15">
      <c r="A351" s="87" t="s">
        <v>3859</v>
      </c>
      <c r="B351" s="107">
        <v>3</v>
      </c>
      <c r="C351" s="109">
        <v>0.0012648710800862563</v>
      </c>
      <c r="D351" s="107" t="s">
        <v>4359</v>
      </c>
      <c r="E351" s="107" t="b">
        <v>0</v>
      </c>
      <c r="F351" s="107" t="b">
        <v>0</v>
      </c>
      <c r="G351" s="107" t="b">
        <v>0</v>
      </c>
    </row>
    <row r="352" spans="1:7" ht="15">
      <c r="A352" s="87" t="s">
        <v>3860</v>
      </c>
      <c r="B352" s="107">
        <v>3</v>
      </c>
      <c r="C352" s="109">
        <v>0.0015339244192138857</v>
      </c>
      <c r="D352" s="107" t="s">
        <v>4359</v>
      </c>
      <c r="E352" s="107" t="b">
        <v>0</v>
      </c>
      <c r="F352" s="107" t="b">
        <v>0</v>
      </c>
      <c r="G352" s="107" t="b">
        <v>0</v>
      </c>
    </row>
    <row r="353" spans="1:7" ht="15">
      <c r="A353" s="87" t="s">
        <v>3861</v>
      </c>
      <c r="B353" s="107">
        <v>3</v>
      </c>
      <c r="C353" s="109">
        <v>0.0012648710800862563</v>
      </c>
      <c r="D353" s="107" t="s">
        <v>4359</v>
      </c>
      <c r="E353" s="107" t="b">
        <v>0</v>
      </c>
      <c r="F353" s="107" t="b">
        <v>0</v>
      </c>
      <c r="G353" s="107" t="b">
        <v>0</v>
      </c>
    </row>
    <row r="354" spans="1:7" ht="15">
      <c r="A354" s="87" t="s">
        <v>884</v>
      </c>
      <c r="B354" s="107">
        <v>3</v>
      </c>
      <c r="C354" s="109">
        <v>0.0012648710800862563</v>
      </c>
      <c r="D354" s="107" t="s">
        <v>4359</v>
      </c>
      <c r="E354" s="107" t="b">
        <v>0</v>
      </c>
      <c r="F354" s="107" t="b">
        <v>1</v>
      </c>
      <c r="G354" s="107" t="b">
        <v>0</v>
      </c>
    </row>
    <row r="355" spans="1:7" ht="15">
      <c r="A355" s="87" t="s">
        <v>3862</v>
      </c>
      <c r="B355" s="107">
        <v>3</v>
      </c>
      <c r="C355" s="109">
        <v>0.0012648710800862563</v>
      </c>
      <c r="D355" s="107" t="s">
        <v>4359</v>
      </c>
      <c r="E355" s="107" t="b">
        <v>0</v>
      </c>
      <c r="F355" s="107" t="b">
        <v>0</v>
      </c>
      <c r="G355" s="107" t="b">
        <v>0</v>
      </c>
    </row>
    <row r="356" spans="1:7" ht="15">
      <c r="A356" s="87" t="s">
        <v>3863</v>
      </c>
      <c r="B356" s="107">
        <v>3</v>
      </c>
      <c r="C356" s="109">
        <v>0.0012648710800862563</v>
      </c>
      <c r="D356" s="107" t="s">
        <v>4359</v>
      </c>
      <c r="E356" s="107" t="b">
        <v>0</v>
      </c>
      <c r="F356" s="107" t="b">
        <v>0</v>
      </c>
      <c r="G356" s="107" t="b">
        <v>0</v>
      </c>
    </row>
    <row r="357" spans="1:7" ht="15">
      <c r="A357" s="87" t="s">
        <v>3864</v>
      </c>
      <c r="B357" s="107">
        <v>3</v>
      </c>
      <c r="C357" s="109">
        <v>0.0012648710800862563</v>
      </c>
      <c r="D357" s="107" t="s">
        <v>4359</v>
      </c>
      <c r="E357" s="107" t="b">
        <v>0</v>
      </c>
      <c r="F357" s="107" t="b">
        <v>0</v>
      </c>
      <c r="G357" s="107" t="b">
        <v>0</v>
      </c>
    </row>
    <row r="358" spans="1:7" ht="15">
      <c r="A358" s="87" t="s">
        <v>2711</v>
      </c>
      <c r="B358" s="107">
        <v>3</v>
      </c>
      <c r="C358" s="109">
        <v>0.0012648710800862563</v>
      </c>
      <c r="D358" s="107" t="s">
        <v>4359</v>
      </c>
      <c r="E358" s="107" t="b">
        <v>0</v>
      </c>
      <c r="F358" s="107" t="b">
        <v>1</v>
      </c>
      <c r="G358" s="107" t="b">
        <v>0</v>
      </c>
    </row>
    <row r="359" spans="1:7" ht="15">
      <c r="A359" s="87" t="s">
        <v>3865</v>
      </c>
      <c r="B359" s="107">
        <v>3</v>
      </c>
      <c r="C359" s="109">
        <v>0.0012648710800862563</v>
      </c>
      <c r="D359" s="107" t="s">
        <v>4359</v>
      </c>
      <c r="E359" s="107" t="b">
        <v>0</v>
      </c>
      <c r="F359" s="107" t="b">
        <v>0</v>
      </c>
      <c r="G359" s="107" t="b">
        <v>0</v>
      </c>
    </row>
    <row r="360" spans="1:7" ht="15">
      <c r="A360" s="87" t="s">
        <v>3866</v>
      </c>
      <c r="B360" s="107">
        <v>3</v>
      </c>
      <c r="C360" s="109">
        <v>0.0012648710800862563</v>
      </c>
      <c r="D360" s="107" t="s">
        <v>4359</v>
      </c>
      <c r="E360" s="107" t="b">
        <v>0</v>
      </c>
      <c r="F360" s="107" t="b">
        <v>0</v>
      </c>
      <c r="G360" s="107" t="b">
        <v>0</v>
      </c>
    </row>
    <row r="361" spans="1:7" ht="15">
      <c r="A361" s="87" t="s">
        <v>3867</v>
      </c>
      <c r="B361" s="107">
        <v>3</v>
      </c>
      <c r="C361" s="109">
        <v>0.0012648710800862563</v>
      </c>
      <c r="D361" s="107" t="s">
        <v>4359</v>
      </c>
      <c r="E361" s="107" t="b">
        <v>0</v>
      </c>
      <c r="F361" s="107" t="b">
        <v>0</v>
      </c>
      <c r="G361" s="107" t="b">
        <v>0</v>
      </c>
    </row>
    <row r="362" spans="1:7" ht="15">
      <c r="A362" s="87" t="s">
        <v>3868</v>
      </c>
      <c r="B362" s="107">
        <v>3</v>
      </c>
      <c r="C362" s="109">
        <v>0.0012648710800862563</v>
      </c>
      <c r="D362" s="107" t="s">
        <v>4359</v>
      </c>
      <c r="E362" s="107" t="b">
        <v>1</v>
      </c>
      <c r="F362" s="107" t="b">
        <v>0</v>
      </c>
      <c r="G362" s="107" t="b">
        <v>0</v>
      </c>
    </row>
    <row r="363" spans="1:7" ht="15">
      <c r="A363" s="87" t="s">
        <v>3869</v>
      </c>
      <c r="B363" s="107">
        <v>3</v>
      </c>
      <c r="C363" s="109">
        <v>0.0012648710800862563</v>
      </c>
      <c r="D363" s="107" t="s">
        <v>4359</v>
      </c>
      <c r="E363" s="107" t="b">
        <v>0</v>
      </c>
      <c r="F363" s="107" t="b">
        <v>0</v>
      </c>
      <c r="G363" s="107" t="b">
        <v>0</v>
      </c>
    </row>
    <row r="364" spans="1:7" ht="15">
      <c r="A364" s="87" t="s">
        <v>3870</v>
      </c>
      <c r="B364" s="107">
        <v>3</v>
      </c>
      <c r="C364" s="109">
        <v>0.0012648710800862563</v>
      </c>
      <c r="D364" s="107" t="s">
        <v>4359</v>
      </c>
      <c r="E364" s="107" t="b">
        <v>0</v>
      </c>
      <c r="F364" s="107" t="b">
        <v>0</v>
      </c>
      <c r="G364" s="107" t="b">
        <v>0</v>
      </c>
    </row>
    <row r="365" spans="1:7" ht="15">
      <c r="A365" s="87" t="s">
        <v>3871</v>
      </c>
      <c r="B365" s="107">
        <v>3</v>
      </c>
      <c r="C365" s="109">
        <v>0.0012648710800862563</v>
      </c>
      <c r="D365" s="107" t="s">
        <v>4359</v>
      </c>
      <c r="E365" s="107" t="b">
        <v>0</v>
      </c>
      <c r="F365" s="107" t="b">
        <v>0</v>
      </c>
      <c r="G365" s="107" t="b">
        <v>0</v>
      </c>
    </row>
    <row r="366" spans="1:7" ht="15">
      <c r="A366" s="87" t="s">
        <v>3872</v>
      </c>
      <c r="B366" s="107">
        <v>3</v>
      </c>
      <c r="C366" s="109">
        <v>0.0012648710800862563</v>
      </c>
      <c r="D366" s="107" t="s">
        <v>4359</v>
      </c>
      <c r="E366" s="107" t="b">
        <v>0</v>
      </c>
      <c r="F366" s="107" t="b">
        <v>0</v>
      </c>
      <c r="G366" s="107" t="b">
        <v>0</v>
      </c>
    </row>
    <row r="367" spans="1:7" ht="15">
      <c r="A367" s="87" t="s">
        <v>3873</v>
      </c>
      <c r="B367" s="107">
        <v>3</v>
      </c>
      <c r="C367" s="109">
        <v>0.0012648710800862563</v>
      </c>
      <c r="D367" s="107" t="s">
        <v>4359</v>
      </c>
      <c r="E367" s="107" t="b">
        <v>0</v>
      </c>
      <c r="F367" s="107" t="b">
        <v>0</v>
      </c>
      <c r="G367" s="107" t="b">
        <v>0</v>
      </c>
    </row>
    <row r="368" spans="1:7" ht="15">
      <c r="A368" s="87" t="s">
        <v>3874</v>
      </c>
      <c r="B368" s="107">
        <v>3</v>
      </c>
      <c r="C368" s="109">
        <v>0.0012648710800862563</v>
      </c>
      <c r="D368" s="107" t="s">
        <v>4359</v>
      </c>
      <c r="E368" s="107" t="b">
        <v>1</v>
      </c>
      <c r="F368" s="107" t="b">
        <v>0</v>
      </c>
      <c r="G368" s="107" t="b">
        <v>0</v>
      </c>
    </row>
    <row r="369" spans="1:7" ht="15">
      <c r="A369" s="87" t="s">
        <v>3875</v>
      </c>
      <c r="B369" s="107">
        <v>3</v>
      </c>
      <c r="C369" s="109">
        <v>0.0012648710800862563</v>
      </c>
      <c r="D369" s="107" t="s">
        <v>4359</v>
      </c>
      <c r="E369" s="107" t="b">
        <v>0</v>
      </c>
      <c r="F369" s="107" t="b">
        <v>0</v>
      </c>
      <c r="G369" s="107" t="b">
        <v>0</v>
      </c>
    </row>
    <row r="370" spans="1:7" ht="15">
      <c r="A370" s="87" t="s">
        <v>3876</v>
      </c>
      <c r="B370" s="107">
        <v>3</v>
      </c>
      <c r="C370" s="109">
        <v>0.0012648710800862563</v>
      </c>
      <c r="D370" s="107" t="s">
        <v>4359</v>
      </c>
      <c r="E370" s="107" t="b">
        <v>0</v>
      </c>
      <c r="F370" s="107" t="b">
        <v>0</v>
      </c>
      <c r="G370" s="107" t="b">
        <v>0</v>
      </c>
    </row>
    <row r="371" spans="1:7" ht="15">
      <c r="A371" s="87" t="s">
        <v>3877</v>
      </c>
      <c r="B371" s="107">
        <v>3</v>
      </c>
      <c r="C371" s="109">
        <v>0.0012648710800862563</v>
      </c>
      <c r="D371" s="107" t="s">
        <v>4359</v>
      </c>
      <c r="E371" s="107" t="b">
        <v>0</v>
      </c>
      <c r="F371" s="107" t="b">
        <v>0</v>
      </c>
      <c r="G371" s="107" t="b">
        <v>0</v>
      </c>
    </row>
    <row r="372" spans="1:7" ht="15">
      <c r="A372" s="87" t="s">
        <v>3878</v>
      </c>
      <c r="B372" s="107">
        <v>3</v>
      </c>
      <c r="C372" s="109">
        <v>0.0012648710800862563</v>
      </c>
      <c r="D372" s="107" t="s">
        <v>4359</v>
      </c>
      <c r="E372" s="107" t="b">
        <v>0</v>
      </c>
      <c r="F372" s="107" t="b">
        <v>0</v>
      </c>
      <c r="G372" s="107" t="b">
        <v>0</v>
      </c>
    </row>
    <row r="373" spans="1:7" ht="15">
      <c r="A373" s="87" t="s">
        <v>3879</v>
      </c>
      <c r="B373" s="107">
        <v>3</v>
      </c>
      <c r="C373" s="109">
        <v>0.0012648710800862563</v>
      </c>
      <c r="D373" s="107" t="s">
        <v>4359</v>
      </c>
      <c r="E373" s="107" t="b">
        <v>0</v>
      </c>
      <c r="F373" s="107" t="b">
        <v>0</v>
      </c>
      <c r="G373" s="107" t="b">
        <v>0</v>
      </c>
    </row>
    <row r="374" spans="1:7" ht="15">
      <c r="A374" s="87" t="s">
        <v>3880</v>
      </c>
      <c r="B374" s="107">
        <v>3</v>
      </c>
      <c r="C374" s="109">
        <v>0.0012648710800862563</v>
      </c>
      <c r="D374" s="107" t="s">
        <v>4359</v>
      </c>
      <c r="E374" s="107" t="b">
        <v>0</v>
      </c>
      <c r="F374" s="107" t="b">
        <v>0</v>
      </c>
      <c r="G374" s="107" t="b">
        <v>0</v>
      </c>
    </row>
    <row r="375" spans="1:7" ht="15">
      <c r="A375" s="87" t="s">
        <v>3881</v>
      </c>
      <c r="B375" s="107">
        <v>3</v>
      </c>
      <c r="C375" s="109">
        <v>0.0012648710800862563</v>
      </c>
      <c r="D375" s="107" t="s">
        <v>4359</v>
      </c>
      <c r="E375" s="107" t="b">
        <v>0</v>
      </c>
      <c r="F375" s="107" t="b">
        <v>0</v>
      </c>
      <c r="G375" s="107" t="b">
        <v>0</v>
      </c>
    </row>
    <row r="376" spans="1:7" ht="15">
      <c r="A376" s="87" t="s">
        <v>3882</v>
      </c>
      <c r="B376" s="107">
        <v>3</v>
      </c>
      <c r="C376" s="109">
        <v>0.0012648710800862563</v>
      </c>
      <c r="D376" s="107" t="s">
        <v>4359</v>
      </c>
      <c r="E376" s="107" t="b">
        <v>0</v>
      </c>
      <c r="F376" s="107" t="b">
        <v>1</v>
      </c>
      <c r="G376" s="107" t="b">
        <v>0</v>
      </c>
    </row>
    <row r="377" spans="1:7" ht="15">
      <c r="A377" s="87" t="s">
        <v>3883</v>
      </c>
      <c r="B377" s="107">
        <v>3</v>
      </c>
      <c r="C377" s="109">
        <v>0.0012648710800862563</v>
      </c>
      <c r="D377" s="107" t="s">
        <v>4359</v>
      </c>
      <c r="E377" s="107" t="b">
        <v>0</v>
      </c>
      <c r="F377" s="107" t="b">
        <v>0</v>
      </c>
      <c r="G377" s="107" t="b">
        <v>0</v>
      </c>
    </row>
    <row r="378" spans="1:7" ht="15">
      <c r="A378" s="87" t="s">
        <v>3884</v>
      </c>
      <c r="B378" s="107">
        <v>3</v>
      </c>
      <c r="C378" s="109">
        <v>0.0012648710800862563</v>
      </c>
      <c r="D378" s="107" t="s">
        <v>4359</v>
      </c>
      <c r="E378" s="107" t="b">
        <v>0</v>
      </c>
      <c r="F378" s="107" t="b">
        <v>0</v>
      </c>
      <c r="G378" s="107" t="b">
        <v>0</v>
      </c>
    </row>
    <row r="379" spans="1:7" ht="15">
      <c r="A379" s="87" t="s">
        <v>3885</v>
      </c>
      <c r="B379" s="107">
        <v>3</v>
      </c>
      <c r="C379" s="109">
        <v>0.0013641706622605128</v>
      </c>
      <c r="D379" s="107" t="s">
        <v>4359</v>
      </c>
      <c r="E379" s="107" t="b">
        <v>0</v>
      </c>
      <c r="F379" s="107" t="b">
        <v>0</v>
      </c>
      <c r="G379" s="107" t="b">
        <v>0</v>
      </c>
    </row>
    <row r="380" spans="1:7" ht="15">
      <c r="A380" s="87" t="s">
        <v>3886</v>
      </c>
      <c r="B380" s="107">
        <v>3</v>
      </c>
      <c r="C380" s="109">
        <v>0.0012648710800862563</v>
      </c>
      <c r="D380" s="107" t="s">
        <v>4359</v>
      </c>
      <c r="E380" s="107" t="b">
        <v>0</v>
      </c>
      <c r="F380" s="107" t="b">
        <v>0</v>
      </c>
      <c r="G380" s="107" t="b">
        <v>0</v>
      </c>
    </row>
    <row r="381" spans="1:7" ht="15">
      <c r="A381" s="87" t="s">
        <v>3887</v>
      </c>
      <c r="B381" s="107">
        <v>3</v>
      </c>
      <c r="C381" s="109">
        <v>0.0012648710800862563</v>
      </c>
      <c r="D381" s="107" t="s">
        <v>4359</v>
      </c>
      <c r="E381" s="107" t="b">
        <v>0</v>
      </c>
      <c r="F381" s="107" t="b">
        <v>0</v>
      </c>
      <c r="G381" s="107" t="b">
        <v>0</v>
      </c>
    </row>
    <row r="382" spans="1:7" ht="15">
      <c r="A382" s="87" t="s">
        <v>3888</v>
      </c>
      <c r="B382" s="107">
        <v>3</v>
      </c>
      <c r="C382" s="109">
        <v>0.0012648710800862563</v>
      </c>
      <c r="D382" s="107" t="s">
        <v>4359</v>
      </c>
      <c r="E382" s="107" t="b">
        <v>0</v>
      </c>
      <c r="F382" s="107" t="b">
        <v>0</v>
      </c>
      <c r="G382" s="107" t="b">
        <v>0</v>
      </c>
    </row>
    <row r="383" spans="1:7" ht="15">
      <c r="A383" s="87" t="s">
        <v>3889</v>
      </c>
      <c r="B383" s="107">
        <v>3</v>
      </c>
      <c r="C383" s="109">
        <v>0.0012648710800862563</v>
      </c>
      <c r="D383" s="107" t="s">
        <v>4359</v>
      </c>
      <c r="E383" s="107" t="b">
        <v>0</v>
      </c>
      <c r="F383" s="107" t="b">
        <v>0</v>
      </c>
      <c r="G383" s="107" t="b">
        <v>0</v>
      </c>
    </row>
    <row r="384" spans="1:7" ht="15">
      <c r="A384" s="87" t="s">
        <v>3890</v>
      </c>
      <c r="B384" s="107">
        <v>3</v>
      </c>
      <c r="C384" s="109">
        <v>0.0012648710800862563</v>
      </c>
      <c r="D384" s="107" t="s">
        <v>4359</v>
      </c>
      <c r="E384" s="107" t="b">
        <v>0</v>
      </c>
      <c r="F384" s="107" t="b">
        <v>0</v>
      </c>
      <c r="G384" s="107" t="b">
        <v>0</v>
      </c>
    </row>
    <row r="385" spans="1:7" ht="15">
      <c r="A385" s="87" t="s">
        <v>3891</v>
      </c>
      <c r="B385" s="107">
        <v>3</v>
      </c>
      <c r="C385" s="109">
        <v>0.0012648710800862563</v>
      </c>
      <c r="D385" s="107" t="s">
        <v>4359</v>
      </c>
      <c r="E385" s="107" t="b">
        <v>0</v>
      </c>
      <c r="F385" s="107" t="b">
        <v>0</v>
      </c>
      <c r="G385" s="107" t="b">
        <v>0</v>
      </c>
    </row>
    <row r="386" spans="1:7" ht="15">
      <c r="A386" s="87" t="s">
        <v>3892</v>
      </c>
      <c r="B386" s="107">
        <v>3</v>
      </c>
      <c r="C386" s="109">
        <v>0.0012648710800862563</v>
      </c>
      <c r="D386" s="107" t="s">
        <v>4359</v>
      </c>
      <c r="E386" s="107" t="b">
        <v>0</v>
      </c>
      <c r="F386" s="107" t="b">
        <v>0</v>
      </c>
      <c r="G386" s="107" t="b">
        <v>0</v>
      </c>
    </row>
    <row r="387" spans="1:7" ht="15">
      <c r="A387" s="87" t="s">
        <v>3893</v>
      </c>
      <c r="B387" s="107">
        <v>3</v>
      </c>
      <c r="C387" s="109">
        <v>0.0012648710800862563</v>
      </c>
      <c r="D387" s="107" t="s">
        <v>4359</v>
      </c>
      <c r="E387" s="107" t="b">
        <v>0</v>
      </c>
      <c r="F387" s="107" t="b">
        <v>0</v>
      </c>
      <c r="G387" s="107" t="b">
        <v>0</v>
      </c>
    </row>
    <row r="388" spans="1:7" ht="15">
      <c r="A388" s="87" t="s">
        <v>3894</v>
      </c>
      <c r="B388" s="107">
        <v>3</v>
      </c>
      <c r="C388" s="109">
        <v>0.0012648710800862563</v>
      </c>
      <c r="D388" s="107" t="s">
        <v>4359</v>
      </c>
      <c r="E388" s="107" t="b">
        <v>0</v>
      </c>
      <c r="F388" s="107" t="b">
        <v>0</v>
      </c>
      <c r="G388" s="107" t="b">
        <v>0</v>
      </c>
    </row>
    <row r="389" spans="1:7" ht="15">
      <c r="A389" s="87" t="s">
        <v>3895</v>
      </c>
      <c r="B389" s="107">
        <v>3</v>
      </c>
      <c r="C389" s="109">
        <v>0.0012648710800862563</v>
      </c>
      <c r="D389" s="107" t="s">
        <v>4359</v>
      </c>
      <c r="E389" s="107" t="b">
        <v>0</v>
      </c>
      <c r="F389" s="107" t="b">
        <v>0</v>
      </c>
      <c r="G389" s="107" t="b">
        <v>0</v>
      </c>
    </row>
    <row r="390" spans="1:7" ht="15">
      <c r="A390" s="87" t="s">
        <v>3896</v>
      </c>
      <c r="B390" s="107">
        <v>3</v>
      </c>
      <c r="C390" s="109">
        <v>0.0015339244192138857</v>
      </c>
      <c r="D390" s="107" t="s">
        <v>4359</v>
      </c>
      <c r="E390" s="107" t="b">
        <v>0</v>
      </c>
      <c r="F390" s="107" t="b">
        <v>0</v>
      </c>
      <c r="G390" s="107" t="b">
        <v>0</v>
      </c>
    </row>
    <row r="391" spans="1:7" ht="15">
      <c r="A391" s="87" t="s">
        <v>3897</v>
      </c>
      <c r="B391" s="107">
        <v>3</v>
      </c>
      <c r="C391" s="109">
        <v>0.0012648710800862563</v>
      </c>
      <c r="D391" s="107" t="s">
        <v>4359</v>
      </c>
      <c r="E391" s="107" t="b">
        <v>0</v>
      </c>
      <c r="F391" s="107" t="b">
        <v>0</v>
      </c>
      <c r="G391" s="107" t="b">
        <v>0</v>
      </c>
    </row>
    <row r="392" spans="1:7" ht="15">
      <c r="A392" s="87" t="s">
        <v>3898</v>
      </c>
      <c r="B392" s="107">
        <v>3</v>
      </c>
      <c r="C392" s="109">
        <v>0.0012648710800862563</v>
      </c>
      <c r="D392" s="107" t="s">
        <v>4359</v>
      </c>
      <c r="E392" s="107" t="b">
        <v>0</v>
      </c>
      <c r="F392" s="107" t="b">
        <v>0</v>
      </c>
      <c r="G392" s="107" t="b">
        <v>0</v>
      </c>
    </row>
    <row r="393" spans="1:7" ht="15">
      <c r="A393" s="87" t="s">
        <v>3899</v>
      </c>
      <c r="B393" s="107">
        <v>3</v>
      </c>
      <c r="C393" s="109">
        <v>0.0012648710800862563</v>
      </c>
      <c r="D393" s="107" t="s">
        <v>4359</v>
      </c>
      <c r="E393" s="107" t="b">
        <v>0</v>
      </c>
      <c r="F393" s="107" t="b">
        <v>0</v>
      </c>
      <c r="G393" s="107" t="b">
        <v>0</v>
      </c>
    </row>
    <row r="394" spans="1:7" ht="15">
      <c r="A394" s="87" t="s">
        <v>3900</v>
      </c>
      <c r="B394" s="107">
        <v>3</v>
      </c>
      <c r="C394" s="109">
        <v>0.0012648710800862563</v>
      </c>
      <c r="D394" s="107" t="s">
        <v>4359</v>
      </c>
      <c r="E394" s="107" t="b">
        <v>0</v>
      </c>
      <c r="F394" s="107" t="b">
        <v>0</v>
      </c>
      <c r="G394" s="107" t="b">
        <v>0</v>
      </c>
    </row>
    <row r="395" spans="1:7" ht="15">
      <c r="A395" s="87" t="s">
        <v>3901</v>
      </c>
      <c r="B395" s="107">
        <v>3</v>
      </c>
      <c r="C395" s="109">
        <v>0.0013641706622605128</v>
      </c>
      <c r="D395" s="107" t="s">
        <v>4359</v>
      </c>
      <c r="E395" s="107" t="b">
        <v>0</v>
      </c>
      <c r="F395" s="107" t="b">
        <v>0</v>
      </c>
      <c r="G395" s="107" t="b">
        <v>0</v>
      </c>
    </row>
    <row r="396" spans="1:7" ht="15">
      <c r="A396" s="87" t="s">
        <v>3902</v>
      </c>
      <c r="B396" s="107">
        <v>3</v>
      </c>
      <c r="C396" s="109">
        <v>0.0012648710800862563</v>
      </c>
      <c r="D396" s="107" t="s">
        <v>4359</v>
      </c>
      <c r="E396" s="107" t="b">
        <v>0</v>
      </c>
      <c r="F396" s="107" t="b">
        <v>0</v>
      </c>
      <c r="G396" s="107" t="b">
        <v>0</v>
      </c>
    </row>
    <row r="397" spans="1:7" ht="15">
      <c r="A397" s="87" t="s">
        <v>3903</v>
      </c>
      <c r="B397" s="107">
        <v>3</v>
      </c>
      <c r="C397" s="109">
        <v>0.0012648710800862563</v>
      </c>
      <c r="D397" s="107" t="s">
        <v>4359</v>
      </c>
      <c r="E397" s="107" t="b">
        <v>0</v>
      </c>
      <c r="F397" s="107" t="b">
        <v>0</v>
      </c>
      <c r="G397" s="107" t="b">
        <v>0</v>
      </c>
    </row>
    <row r="398" spans="1:7" ht="15">
      <c r="A398" s="87" t="s">
        <v>3904</v>
      </c>
      <c r="B398" s="107">
        <v>3</v>
      </c>
      <c r="C398" s="109">
        <v>0.0012648710800862563</v>
      </c>
      <c r="D398" s="107" t="s">
        <v>4359</v>
      </c>
      <c r="E398" s="107" t="b">
        <v>0</v>
      </c>
      <c r="F398" s="107" t="b">
        <v>1</v>
      </c>
      <c r="G398" s="107" t="b">
        <v>0</v>
      </c>
    </row>
    <row r="399" spans="1:7" ht="15">
      <c r="A399" s="87" t="s">
        <v>3905</v>
      </c>
      <c r="B399" s="107">
        <v>3</v>
      </c>
      <c r="C399" s="109">
        <v>0.0012648710800862563</v>
      </c>
      <c r="D399" s="107" t="s">
        <v>4359</v>
      </c>
      <c r="E399" s="107" t="b">
        <v>0</v>
      </c>
      <c r="F399" s="107" t="b">
        <v>0</v>
      </c>
      <c r="G399" s="107" t="b">
        <v>0</v>
      </c>
    </row>
    <row r="400" spans="1:7" ht="15">
      <c r="A400" s="87" t="s">
        <v>3906</v>
      </c>
      <c r="B400" s="107">
        <v>3</v>
      </c>
      <c r="C400" s="109">
        <v>0.0012648710800862563</v>
      </c>
      <c r="D400" s="107" t="s">
        <v>4359</v>
      </c>
      <c r="E400" s="107" t="b">
        <v>0</v>
      </c>
      <c r="F400" s="107" t="b">
        <v>0</v>
      </c>
      <c r="G400" s="107" t="b">
        <v>0</v>
      </c>
    </row>
    <row r="401" spans="1:7" ht="15">
      <c r="A401" s="87" t="s">
        <v>3907</v>
      </c>
      <c r="B401" s="107">
        <v>3</v>
      </c>
      <c r="C401" s="109">
        <v>0.0013641706622605128</v>
      </c>
      <c r="D401" s="107" t="s">
        <v>4359</v>
      </c>
      <c r="E401" s="107" t="b">
        <v>0</v>
      </c>
      <c r="F401" s="107" t="b">
        <v>0</v>
      </c>
      <c r="G401" s="107" t="b">
        <v>0</v>
      </c>
    </row>
    <row r="402" spans="1:7" ht="15">
      <c r="A402" s="87" t="s">
        <v>3908</v>
      </c>
      <c r="B402" s="107">
        <v>3</v>
      </c>
      <c r="C402" s="109">
        <v>0.0013641706622605128</v>
      </c>
      <c r="D402" s="107" t="s">
        <v>4359</v>
      </c>
      <c r="E402" s="107" t="b">
        <v>0</v>
      </c>
      <c r="F402" s="107" t="b">
        <v>1</v>
      </c>
      <c r="G402" s="107" t="b">
        <v>0</v>
      </c>
    </row>
    <row r="403" spans="1:7" ht="15">
      <c r="A403" s="87" t="s">
        <v>3909</v>
      </c>
      <c r="B403" s="107">
        <v>3</v>
      </c>
      <c r="C403" s="109">
        <v>0.0012648710800862563</v>
      </c>
      <c r="D403" s="107" t="s">
        <v>4359</v>
      </c>
      <c r="E403" s="107" t="b">
        <v>0</v>
      </c>
      <c r="F403" s="107" t="b">
        <v>0</v>
      </c>
      <c r="G403" s="107" t="b">
        <v>0</v>
      </c>
    </row>
    <row r="404" spans="1:7" ht="15">
      <c r="A404" s="87" t="s">
        <v>3910</v>
      </c>
      <c r="B404" s="107">
        <v>3</v>
      </c>
      <c r="C404" s="109">
        <v>0.0013641706622605128</v>
      </c>
      <c r="D404" s="107" t="s">
        <v>4359</v>
      </c>
      <c r="E404" s="107" t="b">
        <v>0</v>
      </c>
      <c r="F404" s="107" t="b">
        <v>0</v>
      </c>
      <c r="G404" s="107" t="b">
        <v>0</v>
      </c>
    </row>
    <row r="405" spans="1:7" ht="15">
      <c r="A405" s="87" t="s">
        <v>3911</v>
      </c>
      <c r="B405" s="107">
        <v>3</v>
      </c>
      <c r="C405" s="109">
        <v>0.0013641706622605128</v>
      </c>
      <c r="D405" s="107" t="s">
        <v>4359</v>
      </c>
      <c r="E405" s="107" t="b">
        <v>0</v>
      </c>
      <c r="F405" s="107" t="b">
        <v>0</v>
      </c>
      <c r="G405" s="107" t="b">
        <v>0</v>
      </c>
    </row>
    <row r="406" spans="1:7" ht="15">
      <c r="A406" s="87" t="s">
        <v>3912</v>
      </c>
      <c r="B406" s="107">
        <v>3</v>
      </c>
      <c r="C406" s="109">
        <v>0.0013641706622605128</v>
      </c>
      <c r="D406" s="107" t="s">
        <v>4359</v>
      </c>
      <c r="E406" s="107" t="b">
        <v>0</v>
      </c>
      <c r="F406" s="107" t="b">
        <v>0</v>
      </c>
      <c r="G406" s="107" t="b">
        <v>0</v>
      </c>
    </row>
    <row r="407" spans="1:7" ht="15">
      <c r="A407" s="87" t="s">
        <v>3913</v>
      </c>
      <c r="B407" s="107">
        <v>3</v>
      </c>
      <c r="C407" s="109">
        <v>0.0012648710800862563</v>
      </c>
      <c r="D407" s="107" t="s">
        <v>4359</v>
      </c>
      <c r="E407" s="107" t="b">
        <v>0</v>
      </c>
      <c r="F407" s="107" t="b">
        <v>0</v>
      </c>
      <c r="G407" s="107" t="b">
        <v>0</v>
      </c>
    </row>
    <row r="408" spans="1:7" ht="15">
      <c r="A408" s="87" t="s">
        <v>3914</v>
      </c>
      <c r="B408" s="107">
        <v>3</v>
      </c>
      <c r="C408" s="109">
        <v>0.0012648710800862563</v>
      </c>
      <c r="D408" s="107" t="s">
        <v>4359</v>
      </c>
      <c r="E408" s="107" t="b">
        <v>0</v>
      </c>
      <c r="F408" s="107" t="b">
        <v>0</v>
      </c>
      <c r="G408" s="107" t="b">
        <v>0</v>
      </c>
    </row>
    <row r="409" spans="1:7" ht="15">
      <c r="A409" s="87" t="s">
        <v>3915</v>
      </c>
      <c r="B409" s="107">
        <v>3</v>
      </c>
      <c r="C409" s="109">
        <v>0.0012648710800862563</v>
      </c>
      <c r="D409" s="107" t="s">
        <v>4359</v>
      </c>
      <c r="E409" s="107" t="b">
        <v>0</v>
      </c>
      <c r="F409" s="107" t="b">
        <v>0</v>
      </c>
      <c r="G409" s="107" t="b">
        <v>0</v>
      </c>
    </row>
    <row r="410" spans="1:7" ht="15">
      <c r="A410" s="87" t="s">
        <v>3916</v>
      </c>
      <c r="B410" s="107">
        <v>3</v>
      </c>
      <c r="C410" s="109">
        <v>0.0012648710800862563</v>
      </c>
      <c r="D410" s="107" t="s">
        <v>4359</v>
      </c>
      <c r="E410" s="107" t="b">
        <v>0</v>
      </c>
      <c r="F410" s="107" t="b">
        <v>0</v>
      </c>
      <c r="G410" s="107" t="b">
        <v>0</v>
      </c>
    </row>
    <row r="411" spans="1:7" ht="15">
      <c r="A411" s="87" t="s">
        <v>3917</v>
      </c>
      <c r="B411" s="107">
        <v>3</v>
      </c>
      <c r="C411" s="109">
        <v>0.0013641706622605128</v>
      </c>
      <c r="D411" s="107" t="s">
        <v>4359</v>
      </c>
      <c r="E411" s="107" t="b">
        <v>0</v>
      </c>
      <c r="F411" s="107" t="b">
        <v>0</v>
      </c>
      <c r="G411" s="107" t="b">
        <v>0</v>
      </c>
    </row>
    <row r="412" spans="1:7" ht="15">
      <c r="A412" s="87" t="s">
        <v>3918</v>
      </c>
      <c r="B412" s="107">
        <v>3</v>
      </c>
      <c r="C412" s="109">
        <v>0.0013641706622605128</v>
      </c>
      <c r="D412" s="107" t="s">
        <v>4359</v>
      </c>
      <c r="E412" s="107" t="b">
        <v>0</v>
      </c>
      <c r="F412" s="107" t="b">
        <v>0</v>
      </c>
      <c r="G412" s="107" t="b">
        <v>0</v>
      </c>
    </row>
    <row r="413" spans="1:7" ht="15">
      <c r="A413" s="87" t="s">
        <v>3919</v>
      </c>
      <c r="B413" s="107">
        <v>3</v>
      </c>
      <c r="C413" s="109">
        <v>0.0012648710800862563</v>
      </c>
      <c r="D413" s="107" t="s">
        <v>4359</v>
      </c>
      <c r="E413" s="107" t="b">
        <v>0</v>
      </c>
      <c r="F413" s="107" t="b">
        <v>0</v>
      </c>
      <c r="G413" s="107" t="b">
        <v>0</v>
      </c>
    </row>
    <row r="414" spans="1:7" ht="15">
      <c r="A414" s="87" t="s">
        <v>3920</v>
      </c>
      <c r="B414" s="107">
        <v>3</v>
      </c>
      <c r="C414" s="109">
        <v>0.0013641706622605128</v>
      </c>
      <c r="D414" s="107" t="s">
        <v>4359</v>
      </c>
      <c r="E414" s="107" t="b">
        <v>0</v>
      </c>
      <c r="F414" s="107" t="b">
        <v>0</v>
      </c>
      <c r="G414" s="107" t="b">
        <v>0</v>
      </c>
    </row>
    <row r="415" spans="1:7" ht="15">
      <c r="A415" s="87" t="s">
        <v>3921</v>
      </c>
      <c r="B415" s="107">
        <v>3</v>
      </c>
      <c r="C415" s="109">
        <v>0.0012648710800862563</v>
      </c>
      <c r="D415" s="107" t="s">
        <v>4359</v>
      </c>
      <c r="E415" s="107" t="b">
        <v>1</v>
      </c>
      <c r="F415" s="107" t="b">
        <v>0</v>
      </c>
      <c r="G415" s="107" t="b">
        <v>0</v>
      </c>
    </row>
    <row r="416" spans="1:7" ht="15">
      <c r="A416" s="87" t="s">
        <v>3922</v>
      </c>
      <c r="B416" s="107">
        <v>3</v>
      </c>
      <c r="C416" s="109">
        <v>0.0012648710800862563</v>
      </c>
      <c r="D416" s="107" t="s">
        <v>4359</v>
      </c>
      <c r="E416" s="107" t="b">
        <v>0</v>
      </c>
      <c r="F416" s="107" t="b">
        <v>0</v>
      </c>
      <c r="G416" s="107" t="b">
        <v>0</v>
      </c>
    </row>
    <row r="417" spans="1:7" ht="15">
      <c r="A417" s="87" t="s">
        <v>3923</v>
      </c>
      <c r="B417" s="107">
        <v>3</v>
      </c>
      <c r="C417" s="109">
        <v>0.0012648710800862563</v>
      </c>
      <c r="D417" s="107" t="s">
        <v>4359</v>
      </c>
      <c r="E417" s="107" t="b">
        <v>0</v>
      </c>
      <c r="F417" s="107" t="b">
        <v>0</v>
      </c>
      <c r="G417" s="107" t="b">
        <v>0</v>
      </c>
    </row>
    <row r="418" spans="1:7" ht="15">
      <c r="A418" s="87" t="s">
        <v>3924</v>
      </c>
      <c r="B418" s="107">
        <v>3</v>
      </c>
      <c r="C418" s="109">
        <v>0.0012648710800862563</v>
      </c>
      <c r="D418" s="107" t="s">
        <v>4359</v>
      </c>
      <c r="E418" s="107" t="b">
        <v>0</v>
      </c>
      <c r="F418" s="107" t="b">
        <v>0</v>
      </c>
      <c r="G418" s="107" t="b">
        <v>0</v>
      </c>
    </row>
    <row r="419" spans="1:7" ht="15">
      <c r="A419" s="87" t="s">
        <v>3925</v>
      </c>
      <c r="B419" s="107">
        <v>3</v>
      </c>
      <c r="C419" s="109">
        <v>0.0012648710800862563</v>
      </c>
      <c r="D419" s="107" t="s">
        <v>4359</v>
      </c>
      <c r="E419" s="107" t="b">
        <v>0</v>
      </c>
      <c r="F419" s="107" t="b">
        <v>0</v>
      </c>
      <c r="G419" s="107" t="b">
        <v>0</v>
      </c>
    </row>
    <row r="420" spans="1:7" ht="15">
      <c r="A420" s="87" t="s">
        <v>3926</v>
      </c>
      <c r="B420" s="107">
        <v>3</v>
      </c>
      <c r="C420" s="109">
        <v>0.0012648710800862563</v>
      </c>
      <c r="D420" s="107" t="s">
        <v>4359</v>
      </c>
      <c r="E420" s="107" t="b">
        <v>0</v>
      </c>
      <c r="F420" s="107" t="b">
        <v>0</v>
      </c>
      <c r="G420" s="107" t="b">
        <v>0</v>
      </c>
    </row>
    <row r="421" spans="1:7" ht="15">
      <c r="A421" s="87" t="s">
        <v>3927</v>
      </c>
      <c r="B421" s="107">
        <v>3</v>
      </c>
      <c r="C421" s="109">
        <v>0.0012648710800862563</v>
      </c>
      <c r="D421" s="107" t="s">
        <v>4359</v>
      </c>
      <c r="E421" s="107" t="b">
        <v>0</v>
      </c>
      <c r="F421" s="107" t="b">
        <v>0</v>
      </c>
      <c r="G421" s="107" t="b">
        <v>0</v>
      </c>
    </row>
    <row r="422" spans="1:7" ht="15">
      <c r="A422" s="87" t="s">
        <v>3928</v>
      </c>
      <c r="B422" s="107">
        <v>3</v>
      </c>
      <c r="C422" s="109">
        <v>0.0012648710800862563</v>
      </c>
      <c r="D422" s="107" t="s">
        <v>4359</v>
      </c>
      <c r="E422" s="107" t="b">
        <v>0</v>
      </c>
      <c r="F422" s="107" t="b">
        <v>0</v>
      </c>
      <c r="G422" s="107" t="b">
        <v>0</v>
      </c>
    </row>
    <row r="423" spans="1:7" ht="15">
      <c r="A423" s="87" t="s">
        <v>3929</v>
      </c>
      <c r="B423" s="107">
        <v>3</v>
      </c>
      <c r="C423" s="109">
        <v>0.0012648710800862563</v>
      </c>
      <c r="D423" s="107" t="s">
        <v>4359</v>
      </c>
      <c r="E423" s="107" t="b">
        <v>0</v>
      </c>
      <c r="F423" s="107" t="b">
        <v>0</v>
      </c>
      <c r="G423" s="107" t="b">
        <v>0</v>
      </c>
    </row>
    <row r="424" spans="1:7" ht="15">
      <c r="A424" s="87" t="s">
        <v>3930</v>
      </c>
      <c r="B424" s="107">
        <v>3</v>
      </c>
      <c r="C424" s="109">
        <v>0.0012648710800862563</v>
      </c>
      <c r="D424" s="107" t="s">
        <v>4359</v>
      </c>
      <c r="E424" s="107" t="b">
        <v>0</v>
      </c>
      <c r="F424" s="107" t="b">
        <v>0</v>
      </c>
      <c r="G424" s="107" t="b">
        <v>0</v>
      </c>
    </row>
    <row r="425" spans="1:7" ht="15">
      <c r="A425" s="87" t="s">
        <v>3931</v>
      </c>
      <c r="B425" s="107">
        <v>3</v>
      </c>
      <c r="C425" s="109">
        <v>0.0012648710800862563</v>
      </c>
      <c r="D425" s="107" t="s">
        <v>4359</v>
      </c>
      <c r="E425" s="107" t="b">
        <v>0</v>
      </c>
      <c r="F425" s="107" t="b">
        <v>0</v>
      </c>
      <c r="G425" s="107" t="b">
        <v>0</v>
      </c>
    </row>
    <row r="426" spans="1:7" ht="15">
      <c r="A426" s="87" t="s">
        <v>3932</v>
      </c>
      <c r="B426" s="107">
        <v>3</v>
      </c>
      <c r="C426" s="109">
        <v>0.0012648710800862563</v>
      </c>
      <c r="D426" s="107" t="s">
        <v>4359</v>
      </c>
      <c r="E426" s="107" t="b">
        <v>0</v>
      </c>
      <c r="F426" s="107" t="b">
        <v>0</v>
      </c>
      <c r="G426" s="107" t="b">
        <v>0</v>
      </c>
    </row>
    <row r="427" spans="1:7" ht="15">
      <c r="A427" s="87" t="s">
        <v>3933</v>
      </c>
      <c r="B427" s="107">
        <v>3</v>
      </c>
      <c r="C427" s="109">
        <v>0.0012648710800862563</v>
      </c>
      <c r="D427" s="107" t="s">
        <v>4359</v>
      </c>
      <c r="E427" s="107" t="b">
        <v>1</v>
      </c>
      <c r="F427" s="107" t="b">
        <v>0</v>
      </c>
      <c r="G427" s="107" t="b">
        <v>0</v>
      </c>
    </row>
    <row r="428" spans="1:7" ht="15">
      <c r="A428" s="87" t="s">
        <v>3934</v>
      </c>
      <c r="B428" s="107">
        <v>3</v>
      </c>
      <c r="C428" s="109">
        <v>0.0012648710800862563</v>
      </c>
      <c r="D428" s="107" t="s">
        <v>4359</v>
      </c>
      <c r="E428" s="107" t="b">
        <v>0</v>
      </c>
      <c r="F428" s="107" t="b">
        <v>0</v>
      </c>
      <c r="G428" s="107" t="b">
        <v>0</v>
      </c>
    </row>
    <row r="429" spans="1:7" ht="15">
      <c r="A429" s="87" t="s">
        <v>3935</v>
      </c>
      <c r="B429" s="107">
        <v>3</v>
      </c>
      <c r="C429" s="109">
        <v>0.0012648710800862563</v>
      </c>
      <c r="D429" s="107" t="s">
        <v>4359</v>
      </c>
      <c r="E429" s="107" t="b">
        <v>0</v>
      </c>
      <c r="F429" s="107" t="b">
        <v>0</v>
      </c>
      <c r="G429" s="107" t="b">
        <v>0</v>
      </c>
    </row>
    <row r="430" spans="1:7" ht="15">
      <c r="A430" s="87" t="s">
        <v>3936</v>
      </c>
      <c r="B430" s="107">
        <v>3</v>
      </c>
      <c r="C430" s="109">
        <v>0.0012648710800862563</v>
      </c>
      <c r="D430" s="107" t="s">
        <v>4359</v>
      </c>
      <c r="E430" s="107" t="b">
        <v>0</v>
      </c>
      <c r="F430" s="107" t="b">
        <v>1</v>
      </c>
      <c r="G430" s="107" t="b">
        <v>0</v>
      </c>
    </row>
    <row r="431" spans="1:7" ht="15">
      <c r="A431" s="87" t="s">
        <v>3937</v>
      </c>
      <c r="B431" s="107">
        <v>3</v>
      </c>
      <c r="C431" s="109">
        <v>0.0013641706622605128</v>
      </c>
      <c r="D431" s="107" t="s">
        <v>4359</v>
      </c>
      <c r="E431" s="107" t="b">
        <v>0</v>
      </c>
      <c r="F431" s="107" t="b">
        <v>0</v>
      </c>
      <c r="G431" s="107" t="b">
        <v>0</v>
      </c>
    </row>
    <row r="432" spans="1:7" ht="15">
      <c r="A432" s="87" t="s">
        <v>3938</v>
      </c>
      <c r="B432" s="107">
        <v>3</v>
      </c>
      <c r="C432" s="109">
        <v>0.0012648710800862563</v>
      </c>
      <c r="D432" s="107" t="s">
        <v>4359</v>
      </c>
      <c r="E432" s="107" t="b">
        <v>0</v>
      </c>
      <c r="F432" s="107" t="b">
        <v>0</v>
      </c>
      <c r="G432" s="107" t="b">
        <v>0</v>
      </c>
    </row>
    <row r="433" spans="1:7" ht="15">
      <c r="A433" s="87" t="s">
        <v>3939</v>
      </c>
      <c r="B433" s="107">
        <v>3</v>
      </c>
      <c r="C433" s="109">
        <v>0.0013641706622605128</v>
      </c>
      <c r="D433" s="107" t="s">
        <v>4359</v>
      </c>
      <c r="E433" s="107" t="b">
        <v>0</v>
      </c>
      <c r="F433" s="107" t="b">
        <v>1</v>
      </c>
      <c r="G433" s="107" t="b">
        <v>0</v>
      </c>
    </row>
    <row r="434" spans="1:7" ht="15">
      <c r="A434" s="87" t="s">
        <v>3940</v>
      </c>
      <c r="B434" s="107">
        <v>3</v>
      </c>
      <c r="C434" s="109">
        <v>0.0013641706622605128</v>
      </c>
      <c r="D434" s="107" t="s">
        <v>4359</v>
      </c>
      <c r="E434" s="107" t="b">
        <v>0</v>
      </c>
      <c r="F434" s="107" t="b">
        <v>0</v>
      </c>
      <c r="G434" s="107" t="b">
        <v>0</v>
      </c>
    </row>
    <row r="435" spans="1:7" ht="15">
      <c r="A435" s="87" t="s">
        <v>3941</v>
      </c>
      <c r="B435" s="107">
        <v>3</v>
      </c>
      <c r="C435" s="109">
        <v>0.0012648710800862563</v>
      </c>
      <c r="D435" s="107" t="s">
        <v>4359</v>
      </c>
      <c r="E435" s="107" t="b">
        <v>0</v>
      </c>
      <c r="F435" s="107" t="b">
        <v>0</v>
      </c>
      <c r="G435" s="107" t="b">
        <v>0</v>
      </c>
    </row>
    <row r="436" spans="1:7" ht="15">
      <c r="A436" s="87" t="s">
        <v>3942</v>
      </c>
      <c r="B436" s="107">
        <v>3</v>
      </c>
      <c r="C436" s="109">
        <v>0.0013641706622605128</v>
      </c>
      <c r="D436" s="107" t="s">
        <v>4359</v>
      </c>
      <c r="E436" s="107" t="b">
        <v>0</v>
      </c>
      <c r="F436" s="107" t="b">
        <v>0</v>
      </c>
      <c r="G436" s="107" t="b">
        <v>0</v>
      </c>
    </row>
    <row r="437" spans="1:7" ht="15">
      <c r="A437" s="87" t="s">
        <v>3943</v>
      </c>
      <c r="B437" s="107">
        <v>3</v>
      </c>
      <c r="C437" s="109">
        <v>0.0012648710800862563</v>
      </c>
      <c r="D437" s="107" t="s">
        <v>4359</v>
      </c>
      <c r="E437" s="107" t="b">
        <v>0</v>
      </c>
      <c r="F437" s="107" t="b">
        <v>0</v>
      </c>
      <c r="G437" s="107" t="b">
        <v>0</v>
      </c>
    </row>
    <row r="438" spans="1:7" ht="15">
      <c r="A438" s="87" t="s">
        <v>3944</v>
      </c>
      <c r="B438" s="107">
        <v>3</v>
      </c>
      <c r="C438" s="109">
        <v>0.0013641706622605128</v>
      </c>
      <c r="D438" s="107" t="s">
        <v>4359</v>
      </c>
      <c r="E438" s="107" t="b">
        <v>0</v>
      </c>
      <c r="F438" s="107" t="b">
        <v>0</v>
      </c>
      <c r="G438" s="107" t="b">
        <v>0</v>
      </c>
    </row>
    <row r="439" spans="1:7" ht="15">
      <c r="A439" s="87" t="s">
        <v>2614</v>
      </c>
      <c r="B439" s="107">
        <v>3</v>
      </c>
      <c r="C439" s="109">
        <v>0.0012648710800862563</v>
      </c>
      <c r="D439" s="107" t="s">
        <v>4359</v>
      </c>
      <c r="E439" s="107" t="b">
        <v>0</v>
      </c>
      <c r="F439" s="107" t="b">
        <v>0</v>
      </c>
      <c r="G439" s="107" t="b">
        <v>0</v>
      </c>
    </row>
    <row r="440" spans="1:7" ht="15">
      <c r="A440" s="87" t="s">
        <v>3945</v>
      </c>
      <c r="B440" s="107">
        <v>3</v>
      </c>
      <c r="C440" s="109">
        <v>0.0012648710800862563</v>
      </c>
      <c r="D440" s="107" t="s">
        <v>4359</v>
      </c>
      <c r="E440" s="107" t="b">
        <v>0</v>
      </c>
      <c r="F440" s="107" t="b">
        <v>1</v>
      </c>
      <c r="G440" s="107" t="b">
        <v>0</v>
      </c>
    </row>
    <row r="441" spans="1:7" ht="15">
      <c r="A441" s="87" t="s">
        <v>3946</v>
      </c>
      <c r="B441" s="107">
        <v>3</v>
      </c>
      <c r="C441" s="109">
        <v>0.0013641706622605128</v>
      </c>
      <c r="D441" s="107" t="s">
        <v>4359</v>
      </c>
      <c r="E441" s="107" t="b">
        <v>0</v>
      </c>
      <c r="F441" s="107" t="b">
        <v>0</v>
      </c>
      <c r="G441" s="107" t="b">
        <v>0</v>
      </c>
    </row>
    <row r="442" spans="1:7" ht="15">
      <c r="A442" s="87" t="s">
        <v>2961</v>
      </c>
      <c r="B442" s="107">
        <v>3</v>
      </c>
      <c r="C442" s="109">
        <v>0.0012648710800862563</v>
      </c>
      <c r="D442" s="107" t="s">
        <v>4359</v>
      </c>
      <c r="E442" s="107" t="b">
        <v>0</v>
      </c>
      <c r="F442" s="107" t="b">
        <v>1</v>
      </c>
      <c r="G442" s="107" t="b">
        <v>0</v>
      </c>
    </row>
    <row r="443" spans="1:7" ht="15">
      <c r="A443" s="87" t="s">
        <v>3947</v>
      </c>
      <c r="B443" s="107">
        <v>3</v>
      </c>
      <c r="C443" s="109">
        <v>0.0012648710800862563</v>
      </c>
      <c r="D443" s="107" t="s">
        <v>4359</v>
      </c>
      <c r="E443" s="107" t="b">
        <v>0</v>
      </c>
      <c r="F443" s="107" t="b">
        <v>0</v>
      </c>
      <c r="G443" s="107" t="b">
        <v>0</v>
      </c>
    </row>
    <row r="444" spans="1:7" ht="15">
      <c r="A444" s="87" t="s">
        <v>3948</v>
      </c>
      <c r="B444" s="107">
        <v>3</v>
      </c>
      <c r="C444" s="109">
        <v>0.0015339244192138857</v>
      </c>
      <c r="D444" s="107" t="s">
        <v>4359</v>
      </c>
      <c r="E444" s="107" t="b">
        <v>0</v>
      </c>
      <c r="F444" s="107" t="b">
        <v>0</v>
      </c>
      <c r="G444" s="107" t="b">
        <v>0</v>
      </c>
    </row>
    <row r="445" spans="1:7" ht="15">
      <c r="A445" s="87" t="s">
        <v>3949</v>
      </c>
      <c r="B445" s="107">
        <v>3</v>
      </c>
      <c r="C445" s="109">
        <v>0.0013641706622605128</v>
      </c>
      <c r="D445" s="107" t="s">
        <v>4359</v>
      </c>
      <c r="E445" s="107" t="b">
        <v>0</v>
      </c>
      <c r="F445" s="107" t="b">
        <v>0</v>
      </c>
      <c r="G445" s="107" t="b">
        <v>0</v>
      </c>
    </row>
    <row r="446" spans="1:7" ht="15">
      <c r="A446" s="87" t="s">
        <v>3950</v>
      </c>
      <c r="B446" s="107">
        <v>3</v>
      </c>
      <c r="C446" s="109">
        <v>0.0013641706622605128</v>
      </c>
      <c r="D446" s="107" t="s">
        <v>4359</v>
      </c>
      <c r="E446" s="107" t="b">
        <v>0</v>
      </c>
      <c r="F446" s="107" t="b">
        <v>0</v>
      </c>
      <c r="G446" s="107" t="b">
        <v>0</v>
      </c>
    </row>
    <row r="447" spans="1:7" ht="15">
      <c r="A447" s="87" t="s">
        <v>3951</v>
      </c>
      <c r="B447" s="107">
        <v>3</v>
      </c>
      <c r="C447" s="109">
        <v>0.0012648710800862563</v>
      </c>
      <c r="D447" s="107" t="s">
        <v>4359</v>
      </c>
      <c r="E447" s="107" t="b">
        <v>0</v>
      </c>
      <c r="F447" s="107" t="b">
        <v>0</v>
      </c>
      <c r="G447" s="107" t="b">
        <v>0</v>
      </c>
    </row>
    <row r="448" spans="1:7" ht="15">
      <c r="A448" s="87" t="s">
        <v>3952</v>
      </c>
      <c r="B448" s="107">
        <v>3</v>
      </c>
      <c r="C448" s="109">
        <v>0.0012648710800862563</v>
      </c>
      <c r="D448" s="107" t="s">
        <v>4359</v>
      </c>
      <c r="E448" s="107" t="b">
        <v>0</v>
      </c>
      <c r="F448" s="107" t="b">
        <v>0</v>
      </c>
      <c r="G448" s="107" t="b">
        <v>0</v>
      </c>
    </row>
    <row r="449" spans="1:7" ht="15">
      <c r="A449" s="87" t="s">
        <v>3953</v>
      </c>
      <c r="B449" s="107">
        <v>3</v>
      </c>
      <c r="C449" s="109">
        <v>0.0012648710800862563</v>
      </c>
      <c r="D449" s="107" t="s">
        <v>4359</v>
      </c>
      <c r="E449" s="107" t="b">
        <v>0</v>
      </c>
      <c r="F449" s="107" t="b">
        <v>0</v>
      </c>
      <c r="G449" s="107" t="b">
        <v>0</v>
      </c>
    </row>
    <row r="450" spans="1:7" ht="15">
      <c r="A450" s="87" t="s">
        <v>3954</v>
      </c>
      <c r="B450" s="107">
        <v>3</v>
      </c>
      <c r="C450" s="109">
        <v>0.0012648710800862563</v>
      </c>
      <c r="D450" s="107" t="s">
        <v>4359</v>
      </c>
      <c r="E450" s="107" t="b">
        <v>0</v>
      </c>
      <c r="F450" s="107" t="b">
        <v>0</v>
      </c>
      <c r="G450" s="107" t="b">
        <v>0</v>
      </c>
    </row>
    <row r="451" spans="1:7" ht="15">
      <c r="A451" s="87" t="s">
        <v>3955</v>
      </c>
      <c r="B451" s="107">
        <v>2</v>
      </c>
      <c r="C451" s="109">
        <v>0.0009094471081736752</v>
      </c>
      <c r="D451" s="107" t="s">
        <v>4359</v>
      </c>
      <c r="E451" s="107" t="b">
        <v>0</v>
      </c>
      <c r="F451" s="107" t="b">
        <v>0</v>
      </c>
      <c r="G451" s="107" t="b">
        <v>0</v>
      </c>
    </row>
    <row r="452" spans="1:7" ht="15">
      <c r="A452" s="87" t="s">
        <v>3956</v>
      </c>
      <c r="B452" s="107">
        <v>2</v>
      </c>
      <c r="C452" s="109">
        <v>0.0009094471081736752</v>
      </c>
      <c r="D452" s="107" t="s">
        <v>4359</v>
      </c>
      <c r="E452" s="107" t="b">
        <v>1</v>
      </c>
      <c r="F452" s="107" t="b">
        <v>0</v>
      </c>
      <c r="G452" s="107" t="b">
        <v>0</v>
      </c>
    </row>
    <row r="453" spans="1:7" ht="15">
      <c r="A453" s="87" t="s">
        <v>3957</v>
      </c>
      <c r="B453" s="107">
        <v>2</v>
      </c>
      <c r="C453" s="109">
        <v>0.0009094471081736752</v>
      </c>
      <c r="D453" s="107" t="s">
        <v>4359</v>
      </c>
      <c r="E453" s="107" t="b">
        <v>1</v>
      </c>
      <c r="F453" s="107" t="b">
        <v>0</v>
      </c>
      <c r="G453" s="107" t="b">
        <v>0</v>
      </c>
    </row>
    <row r="454" spans="1:7" ht="15">
      <c r="A454" s="87" t="s">
        <v>3958</v>
      </c>
      <c r="B454" s="107">
        <v>2</v>
      </c>
      <c r="C454" s="109">
        <v>0.0009094471081736752</v>
      </c>
      <c r="D454" s="107" t="s">
        <v>4359</v>
      </c>
      <c r="E454" s="107" t="b">
        <v>0</v>
      </c>
      <c r="F454" s="107" t="b">
        <v>0</v>
      </c>
      <c r="G454" s="107" t="b">
        <v>0</v>
      </c>
    </row>
    <row r="455" spans="1:7" ht="15">
      <c r="A455" s="87" t="s">
        <v>3959</v>
      </c>
      <c r="B455" s="107">
        <v>2</v>
      </c>
      <c r="C455" s="109">
        <v>0.0009094471081736752</v>
      </c>
      <c r="D455" s="107" t="s">
        <v>4359</v>
      </c>
      <c r="E455" s="107" t="b">
        <v>0</v>
      </c>
      <c r="F455" s="107" t="b">
        <v>0</v>
      </c>
      <c r="G455" s="107" t="b">
        <v>0</v>
      </c>
    </row>
    <row r="456" spans="1:7" ht="15">
      <c r="A456" s="87" t="s">
        <v>3960</v>
      </c>
      <c r="B456" s="107">
        <v>2</v>
      </c>
      <c r="C456" s="109">
        <v>0.0009094471081736752</v>
      </c>
      <c r="D456" s="107" t="s">
        <v>4359</v>
      </c>
      <c r="E456" s="107" t="b">
        <v>1</v>
      </c>
      <c r="F456" s="107" t="b">
        <v>0</v>
      </c>
      <c r="G456" s="107" t="b">
        <v>0</v>
      </c>
    </row>
    <row r="457" spans="1:7" ht="15">
      <c r="A457" s="87" t="s">
        <v>3961</v>
      </c>
      <c r="B457" s="107">
        <v>2</v>
      </c>
      <c r="C457" s="109">
        <v>0.0009094471081736752</v>
      </c>
      <c r="D457" s="107" t="s">
        <v>4359</v>
      </c>
      <c r="E457" s="107" t="b">
        <v>0</v>
      </c>
      <c r="F457" s="107" t="b">
        <v>0</v>
      </c>
      <c r="G457" s="107" t="b">
        <v>0</v>
      </c>
    </row>
    <row r="458" spans="1:7" ht="15">
      <c r="A458" s="87" t="s">
        <v>3962</v>
      </c>
      <c r="B458" s="107">
        <v>2</v>
      </c>
      <c r="C458" s="109">
        <v>0.0009094471081736752</v>
      </c>
      <c r="D458" s="107" t="s">
        <v>4359</v>
      </c>
      <c r="E458" s="107" t="b">
        <v>0</v>
      </c>
      <c r="F458" s="107" t="b">
        <v>0</v>
      </c>
      <c r="G458" s="107" t="b">
        <v>0</v>
      </c>
    </row>
    <row r="459" spans="1:7" ht="15">
      <c r="A459" s="87" t="s">
        <v>3963</v>
      </c>
      <c r="B459" s="107">
        <v>2</v>
      </c>
      <c r="C459" s="109">
        <v>0.0009094471081736752</v>
      </c>
      <c r="D459" s="107" t="s">
        <v>4359</v>
      </c>
      <c r="E459" s="107" t="b">
        <v>0</v>
      </c>
      <c r="F459" s="107" t="b">
        <v>0</v>
      </c>
      <c r="G459" s="107" t="b">
        <v>0</v>
      </c>
    </row>
    <row r="460" spans="1:7" ht="15">
      <c r="A460" s="87" t="s">
        <v>3964</v>
      </c>
      <c r="B460" s="107">
        <v>2</v>
      </c>
      <c r="C460" s="109">
        <v>0.0010226162794759238</v>
      </c>
      <c r="D460" s="107" t="s">
        <v>4359</v>
      </c>
      <c r="E460" s="107" t="b">
        <v>1</v>
      </c>
      <c r="F460" s="107" t="b">
        <v>0</v>
      </c>
      <c r="G460" s="107" t="b">
        <v>0</v>
      </c>
    </row>
    <row r="461" spans="1:7" ht="15">
      <c r="A461" s="87" t="s">
        <v>3965</v>
      </c>
      <c r="B461" s="107">
        <v>2</v>
      </c>
      <c r="C461" s="109">
        <v>0.0009094471081736752</v>
      </c>
      <c r="D461" s="107" t="s">
        <v>4359</v>
      </c>
      <c r="E461" s="107" t="b">
        <v>0</v>
      </c>
      <c r="F461" s="107" t="b">
        <v>0</v>
      </c>
      <c r="G461" s="107" t="b">
        <v>0</v>
      </c>
    </row>
    <row r="462" spans="1:7" ht="15">
      <c r="A462" s="87" t="s">
        <v>3966</v>
      </c>
      <c r="B462" s="107">
        <v>2</v>
      </c>
      <c r="C462" s="109">
        <v>0.0010226162794759238</v>
      </c>
      <c r="D462" s="107" t="s">
        <v>4359</v>
      </c>
      <c r="E462" s="107" t="b">
        <v>0</v>
      </c>
      <c r="F462" s="107" t="b">
        <v>1</v>
      </c>
      <c r="G462" s="107" t="b">
        <v>0</v>
      </c>
    </row>
    <row r="463" spans="1:7" ht="15">
      <c r="A463" s="87" t="s">
        <v>3967</v>
      </c>
      <c r="B463" s="107">
        <v>2</v>
      </c>
      <c r="C463" s="109">
        <v>0.0009094471081736752</v>
      </c>
      <c r="D463" s="107" t="s">
        <v>4359</v>
      </c>
      <c r="E463" s="107" t="b">
        <v>0</v>
      </c>
      <c r="F463" s="107" t="b">
        <v>0</v>
      </c>
      <c r="G463" s="107" t="b">
        <v>0</v>
      </c>
    </row>
    <row r="464" spans="1:7" ht="15">
      <c r="A464" s="87" t="s">
        <v>3968</v>
      </c>
      <c r="B464" s="107">
        <v>2</v>
      </c>
      <c r="C464" s="109">
        <v>0.0009094471081736752</v>
      </c>
      <c r="D464" s="107" t="s">
        <v>4359</v>
      </c>
      <c r="E464" s="107" t="b">
        <v>0</v>
      </c>
      <c r="F464" s="107" t="b">
        <v>0</v>
      </c>
      <c r="G464" s="107" t="b">
        <v>0</v>
      </c>
    </row>
    <row r="465" spans="1:7" ht="15">
      <c r="A465" s="87" t="s">
        <v>3969</v>
      </c>
      <c r="B465" s="107">
        <v>2</v>
      </c>
      <c r="C465" s="109">
        <v>0.0009094471081736752</v>
      </c>
      <c r="D465" s="107" t="s">
        <v>4359</v>
      </c>
      <c r="E465" s="107" t="b">
        <v>0</v>
      </c>
      <c r="F465" s="107" t="b">
        <v>0</v>
      </c>
      <c r="G465" s="107" t="b">
        <v>0</v>
      </c>
    </row>
    <row r="466" spans="1:7" ht="15">
      <c r="A466" s="87" t="s">
        <v>3970</v>
      </c>
      <c r="B466" s="107">
        <v>2</v>
      </c>
      <c r="C466" s="109">
        <v>0.0009094471081736752</v>
      </c>
      <c r="D466" s="107" t="s">
        <v>4359</v>
      </c>
      <c r="E466" s="107" t="b">
        <v>0</v>
      </c>
      <c r="F466" s="107" t="b">
        <v>0</v>
      </c>
      <c r="G466" s="107" t="b">
        <v>0</v>
      </c>
    </row>
    <row r="467" spans="1:7" ht="15">
      <c r="A467" s="87" t="s">
        <v>3971</v>
      </c>
      <c r="B467" s="107">
        <v>2</v>
      </c>
      <c r="C467" s="109">
        <v>0.0009094471081736752</v>
      </c>
      <c r="D467" s="107" t="s">
        <v>4359</v>
      </c>
      <c r="E467" s="107" t="b">
        <v>0</v>
      </c>
      <c r="F467" s="107" t="b">
        <v>0</v>
      </c>
      <c r="G467" s="107" t="b">
        <v>0</v>
      </c>
    </row>
    <row r="468" spans="1:7" ht="15">
      <c r="A468" s="87" t="s">
        <v>3972</v>
      </c>
      <c r="B468" s="107">
        <v>2</v>
      </c>
      <c r="C468" s="109">
        <v>0.0009094471081736752</v>
      </c>
      <c r="D468" s="107" t="s">
        <v>4359</v>
      </c>
      <c r="E468" s="107" t="b">
        <v>0</v>
      </c>
      <c r="F468" s="107" t="b">
        <v>0</v>
      </c>
      <c r="G468" s="107" t="b">
        <v>0</v>
      </c>
    </row>
    <row r="469" spans="1:7" ht="15">
      <c r="A469" s="87" t="s">
        <v>3973</v>
      </c>
      <c r="B469" s="107">
        <v>2</v>
      </c>
      <c r="C469" s="109">
        <v>0.0010226162794759238</v>
      </c>
      <c r="D469" s="107" t="s">
        <v>4359</v>
      </c>
      <c r="E469" s="107" t="b">
        <v>0</v>
      </c>
      <c r="F469" s="107" t="b">
        <v>0</v>
      </c>
      <c r="G469" s="107" t="b">
        <v>0</v>
      </c>
    </row>
    <row r="470" spans="1:7" ht="15">
      <c r="A470" s="87" t="s">
        <v>3974</v>
      </c>
      <c r="B470" s="107">
        <v>2</v>
      </c>
      <c r="C470" s="109">
        <v>0.0009094471081736752</v>
      </c>
      <c r="D470" s="107" t="s">
        <v>4359</v>
      </c>
      <c r="E470" s="107" t="b">
        <v>0</v>
      </c>
      <c r="F470" s="107" t="b">
        <v>0</v>
      </c>
      <c r="G470" s="107" t="b">
        <v>0</v>
      </c>
    </row>
    <row r="471" spans="1:7" ht="15">
      <c r="A471" s="87" t="s">
        <v>3975</v>
      </c>
      <c r="B471" s="107">
        <v>2</v>
      </c>
      <c r="C471" s="109">
        <v>0.0009094471081736752</v>
      </c>
      <c r="D471" s="107" t="s">
        <v>4359</v>
      </c>
      <c r="E471" s="107" t="b">
        <v>0</v>
      </c>
      <c r="F471" s="107" t="b">
        <v>0</v>
      </c>
      <c r="G471" s="107" t="b">
        <v>0</v>
      </c>
    </row>
    <row r="472" spans="1:7" ht="15">
      <c r="A472" s="87" t="s">
        <v>3976</v>
      </c>
      <c r="B472" s="107">
        <v>2</v>
      </c>
      <c r="C472" s="109">
        <v>0.0009094471081736752</v>
      </c>
      <c r="D472" s="107" t="s">
        <v>4359</v>
      </c>
      <c r="E472" s="107" t="b">
        <v>0</v>
      </c>
      <c r="F472" s="107" t="b">
        <v>0</v>
      </c>
      <c r="G472" s="107" t="b">
        <v>0</v>
      </c>
    </row>
    <row r="473" spans="1:7" ht="15">
      <c r="A473" s="87" t="s">
        <v>3977</v>
      </c>
      <c r="B473" s="107">
        <v>2</v>
      </c>
      <c r="C473" s="109">
        <v>0.0009094471081736752</v>
      </c>
      <c r="D473" s="107" t="s">
        <v>4359</v>
      </c>
      <c r="E473" s="107" t="b">
        <v>0</v>
      </c>
      <c r="F473" s="107" t="b">
        <v>1</v>
      </c>
      <c r="G473" s="107" t="b">
        <v>0</v>
      </c>
    </row>
    <row r="474" spans="1:7" ht="15">
      <c r="A474" s="87" t="s">
        <v>3978</v>
      </c>
      <c r="B474" s="107">
        <v>2</v>
      </c>
      <c r="C474" s="109">
        <v>0.0009094471081736752</v>
      </c>
      <c r="D474" s="107" t="s">
        <v>4359</v>
      </c>
      <c r="E474" s="107" t="b">
        <v>0</v>
      </c>
      <c r="F474" s="107" t="b">
        <v>0</v>
      </c>
      <c r="G474" s="107" t="b">
        <v>0</v>
      </c>
    </row>
    <row r="475" spans="1:7" ht="15">
      <c r="A475" s="87" t="s">
        <v>3979</v>
      </c>
      <c r="B475" s="107">
        <v>2</v>
      </c>
      <c r="C475" s="109">
        <v>0.0009094471081736752</v>
      </c>
      <c r="D475" s="107" t="s">
        <v>4359</v>
      </c>
      <c r="E475" s="107" t="b">
        <v>0</v>
      </c>
      <c r="F475" s="107" t="b">
        <v>1</v>
      </c>
      <c r="G475" s="107" t="b">
        <v>0</v>
      </c>
    </row>
    <row r="476" spans="1:7" ht="15">
      <c r="A476" s="87" t="s">
        <v>3980</v>
      </c>
      <c r="B476" s="107">
        <v>2</v>
      </c>
      <c r="C476" s="109">
        <v>0.0009094471081736752</v>
      </c>
      <c r="D476" s="107" t="s">
        <v>4359</v>
      </c>
      <c r="E476" s="107" t="b">
        <v>0</v>
      </c>
      <c r="F476" s="107" t="b">
        <v>0</v>
      </c>
      <c r="G476" s="107" t="b">
        <v>0</v>
      </c>
    </row>
    <row r="477" spans="1:7" ht="15">
      <c r="A477" s="87" t="s">
        <v>3981</v>
      </c>
      <c r="B477" s="107">
        <v>2</v>
      </c>
      <c r="C477" s="109">
        <v>0.0009094471081736752</v>
      </c>
      <c r="D477" s="107" t="s">
        <v>4359</v>
      </c>
      <c r="E477" s="107" t="b">
        <v>0</v>
      </c>
      <c r="F477" s="107" t="b">
        <v>1</v>
      </c>
      <c r="G477" s="107" t="b">
        <v>0</v>
      </c>
    </row>
    <row r="478" spans="1:7" ht="15">
      <c r="A478" s="87" t="s">
        <v>3982</v>
      </c>
      <c r="B478" s="107">
        <v>2</v>
      </c>
      <c r="C478" s="109">
        <v>0.0009094471081736752</v>
      </c>
      <c r="D478" s="107" t="s">
        <v>4359</v>
      </c>
      <c r="E478" s="107" t="b">
        <v>0</v>
      </c>
      <c r="F478" s="107" t="b">
        <v>0</v>
      </c>
      <c r="G478" s="107" t="b">
        <v>0</v>
      </c>
    </row>
    <row r="479" spans="1:7" ht="15">
      <c r="A479" s="87" t="s">
        <v>3983</v>
      </c>
      <c r="B479" s="107">
        <v>2</v>
      </c>
      <c r="C479" s="109">
        <v>0.0009094471081736752</v>
      </c>
      <c r="D479" s="107" t="s">
        <v>4359</v>
      </c>
      <c r="E479" s="107" t="b">
        <v>0</v>
      </c>
      <c r="F479" s="107" t="b">
        <v>0</v>
      </c>
      <c r="G479" s="107" t="b">
        <v>0</v>
      </c>
    </row>
    <row r="480" spans="1:7" ht="15">
      <c r="A480" s="87" t="s">
        <v>3984</v>
      </c>
      <c r="B480" s="107">
        <v>2</v>
      </c>
      <c r="C480" s="109">
        <v>0.0009094471081736752</v>
      </c>
      <c r="D480" s="107" t="s">
        <v>4359</v>
      </c>
      <c r="E480" s="107" t="b">
        <v>0</v>
      </c>
      <c r="F480" s="107" t="b">
        <v>0</v>
      </c>
      <c r="G480" s="107" t="b">
        <v>0</v>
      </c>
    </row>
    <row r="481" spans="1:7" ht="15">
      <c r="A481" s="87" t="s">
        <v>3985</v>
      </c>
      <c r="B481" s="107">
        <v>2</v>
      </c>
      <c r="C481" s="109">
        <v>0.0009094471081736752</v>
      </c>
      <c r="D481" s="107" t="s">
        <v>4359</v>
      </c>
      <c r="E481" s="107" t="b">
        <v>1</v>
      </c>
      <c r="F481" s="107" t="b">
        <v>0</v>
      </c>
      <c r="G481" s="107" t="b">
        <v>0</v>
      </c>
    </row>
    <row r="482" spans="1:7" ht="15">
      <c r="A482" s="87" t="s">
        <v>3986</v>
      </c>
      <c r="B482" s="107">
        <v>2</v>
      </c>
      <c r="C482" s="109">
        <v>0.0009094471081736752</v>
      </c>
      <c r="D482" s="107" t="s">
        <v>4359</v>
      </c>
      <c r="E482" s="107" t="b">
        <v>0</v>
      </c>
      <c r="F482" s="107" t="b">
        <v>1</v>
      </c>
      <c r="G482" s="107" t="b">
        <v>0</v>
      </c>
    </row>
    <row r="483" spans="1:7" ht="15">
      <c r="A483" s="87" t="s">
        <v>3987</v>
      </c>
      <c r="B483" s="107">
        <v>2</v>
      </c>
      <c r="C483" s="109">
        <v>0.0009094471081736752</v>
      </c>
      <c r="D483" s="107" t="s">
        <v>4359</v>
      </c>
      <c r="E483" s="107" t="b">
        <v>0</v>
      </c>
      <c r="F483" s="107" t="b">
        <v>1</v>
      </c>
      <c r="G483" s="107" t="b">
        <v>0</v>
      </c>
    </row>
    <row r="484" spans="1:7" ht="15">
      <c r="A484" s="87" t="s">
        <v>3988</v>
      </c>
      <c r="B484" s="107">
        <v>2</v>
      </c>
      <c r="C484" s="109">
        <v>0.0009094471081736752</v>
      </c>
      <c r="D484" s="107" t="s">
        <v>4359</v>
      </c>
      <c r="E484" s="107" t="b">
        <v>1</v>
      </c>
      <c r="F484" s="107" t="b">
        <v>0</v>
      </c>
      <c r="G484" s="107" t="b">
        <v>0</v>
      </c>
    </row>
    <row r="485" spans="1:7" ht="15">
      <c r="A485" s="87" t="s">
        <v>3989</v>
      </c>
      <c r="B485" s="107">
        <v>2</v>
      </c>
      <c r="C485" s="109">
        <v>0.0009094471081736752</v>
      </c>
      <c r="D485" s="107" t="s">
        <v>4359</v>
      </c>
      <c r="E485" s="107" t="b">
        <v>1</v>
      </c>
      <c r="F485" s="107" t="b">
        <v>0</v>
      </c>
      <c r="G485" s="107" t="b">
        <v>0</v>
      </c>
    </row>
    <row r="486" spans="1:7" ht="15">
      <c r="A486" s="87" t="s">
        <v>3990</v>
      </c>
      <c r="B486" s="107">
        <v>2</v>
      </c>
      <c r="C486" s="109">
        <v>0.0009094471081736752</v>
      </c>
      <c r="D486" s="107" t="s">
        <v>4359</v>
      </c>
      <c r="E486" s="107" t="b">
        <v>0</v>
      </c>
      <c r="F486" s="107" t="b">
        <v>0</v>
      </c>
      <c r="G486" s="107" t="b">
        <v>0</v>
      </c>
    </row>
    <row r="487" spans="1:7" ht="15">
      <c r="A487" s="87" t="s">
        <v>3991</v>
      </c>
      <c r="B487" s="107">
        <v>2</v>
      </c>
      <c r="C487" s="109">
        <v>0.0010226162794759238</v>
      </c>
      <c r="D487" s="107" t="s">
        <v>4359</v>
      </c>
      <c r="E487" s="107" t="b">
        <v>0</v>
      </c>
      <c r="F487" s="107" t="b">
        <v>0</v>
      </c>
      <c r="G487" s="107" t="b">
        <v>0</v>
      </c>
    </row>
    <row r="488" spans="1:7" ht="15">
      <c r="A488" s="87" t="s">
        <v>3992</v>
      </c>
      <c r="B488" s="107">
        <v>2</v>
      </c>
      <c r="C488" s="109">
        <v>0.0009094471081736752</v>
      </c>
      <c r="D488" s="107" t="s">
        <v>4359</v>
      </c>
      <c r="E488" s="107" t="b">
        <v>0</v>
      </c>
      <c r="F488" s="107" t="b">
        <v>0</v>
      </c>
      <c r="G488" s="107" t="b">
        <v>0</v>
      </c>
    </row>
    <row r="489" spans="1:7" ht="15">
      <c r="A489" s="87" t="s">
        <v>3993</v>
      </c>
      <c r="B489" s="107">
        <v>2</v>
      </c>
      <c r="C489" s="109">
        <v>0.0009094471081736752</v>
      </c>
      <c r="D489" s="107" t="s">
        <v>4359</v>
      </c>
      <c r="E489" s="107" t="b">
        <v>0</v>
      </c>
      <c r="F489" s="107" t="b">
        <v>0</v>
      </c>
      <c r="G489" s="107" t="b">
        <v>0</v>
      </c>
    </row>
    <row r="490" spans="1:7" ht="15">
      <c r="A490" s="87" t="s">
        <v>3994</v>
      </c>
      <c r="B490" s="107">
        <v>2</v>
      </c>
      <c r="C490" s="109">
        <v>0.0009094471081736752</v>
      </c>
      <c r="D490" s="107" t="s">
        <v>4359</v>
      </c>
      <c r="E490" s="107" t="b">
        <v>0</v>
      </c>
      <c r="F490" s="107" t="b">
        <v>0</v>
      </c>
      <c r="G490" s="107" t="b">
        <v>0</v>
      </c>
    </row>
    <row r="491" spans="1:7" ht="15">
      <c r="A491" s="87" t="s">
        <v>3995</v>
      </c>
      <c r="B491" s="107">
        <v>2</v>
      </c>
      <c r="C491" s="109">
        <v>0.0009094471081736752</v>
      </c>
      <c r="D491" s="107" t="s">
        <v>4359</v>
      </c>
      <c r="E491" s="107" t="b">
        <v>1</v>
      </c>
      <c r="F491" s="107" t="b">
        <v>0</v>
      </c>
      <c r="G491" s="107" t="b">
        <v>0</v>
      </c>
    </row>
    <row r="492" spans="1:7" ht="15">
      <c r="A492" s="87" t="s">
        <v>3996</v>
      </c>
      <c r="B492" s="107">
        <v>2</v>
      </c>
      <c r="C492" s="109">
        <v>0.0010226162794759238</v>
      </c>
      <c r="D492" s="107" t="s">
        <v>4359</v>
      </c>
      <c r="E492" s="107" t="b">
        <v>0</v>
      </c>
      <c r="F492" s="107" t="b">
        <v>0</v>
      </c>
      <c r="G492" s="107" t="b">
        <v>0</v>
      </c>
    </row>
    <row r="493" spans="1:7" ht="15">
      <c r="A493" s="87" t="s">
        <v>3997</v>
      </c>
      <c r="B493" s="107">
        <v>2</v>
      </c>
      <c r="C493" s="109">
        <v>0.0009094471081736752</v>
      </c>
      <c r="D493" s="107" t="s">
        <v>4359</v>
      </c>
      <c r="E493" s="107" t="b">
        <v>0</v>
      </c>
      <c r="F493" s="107" t="b">
        <v>1</v>
      </c>
      <c r="G493" s="107" t="b">
        <v>0</v>
      </c>
    </row>
    <row r="494" spans="1:7" ht="15">
      <c r="A494" s="87" t="s">
        <v>3998</v>
      </c>
      <c r="B494" s="107">
        <v>2</v>
      </c>
      <c r="C494" s="109">
        <v>0.0009094471081736752</v>
      </c>
      <c r="D494" s="107" t="s">
        <v>4359</v>
      </c>
      <c r="E494" s="107" t="b">
        <v>0</v>
      </c>
      <c r="F494" s="107" t="b">
        <v>0</v>
      </c>
      <c r="G494" s="107" t="b">
        <v>0</v>
      </c>
    </row>
    <row r="495" spans="1:7" ht="15">
      <c r="A495" s="87" t="s">
        <v>3999</v>
      </c>
      <c r="B495" s="107">
        <v>2</v>
      </c>
      <c r="C495" s="109">
        <v>0.0009094471081736752</v>
      </c>
      <c r="D495" s="107" t="s">
        <v>4359</v>
      </c>
      <c r="E495" s="107" t="b">
        <v>0</v>
      </c>
      <c r="F495" s="107" t="b">
        <v>0</v>
      </c>
      <c r="G495" s="107" t="b">
        <v>0</v>
      </c>
    </row>
    <row r="496" spans="1:7" ht="15">
      <c r="A496" s="87" t="s">
        <v>4000</v>
      </c>
      <c r="B496" s="107">
        <v>2</v>
      </c>
      <c r="C496" s="109">
        <v>0.0010226162794759238</v>
      </c>
      <c r="D496" s="107" t="s">
        <v>4359</v>
      </c>
      <c r="E496" s="107" t="b">
        <v>0</v>
      </c>
      <c r="F496" s="107" t="b">
        <v>0</v>
      </c>
      <c r="G496" s="107" t="b">
        <v>0</v>
      </c>
    </row>
    <row r="497" spans="1:7" ht="15">
      <c r="A497" s="87" t="s">
        <v>4001</v>
      </c>
      <c r="B497" s="107">
        <v>2</v>
      </c>
      <c r="C497" s="109">
        <v>0.0009094471081736752</v>
      </c>
      <c r="D497" s="107" t="s">
        <v>4359</v>
      </c>
      <c r="E497" s="107" t="b">
        <v>0</v>
      </c>
      <c r="F497" s="107" t="b">
        <v>0</v>
      </c>
      <c r="G497" s="107" t="b">
        <v>0</v>
      </c>
    </row>
    <row r="498" spans="1:7" ht="15">
      <c r="A498" s="87" t="s">
        <v>4002</v>
      </c>
      <c r="B498" s="107">
        <v>2</v>
      </c>
      <c r="C498" s="109">
        <v>0.0009094471081736752</v>
      </c>
      <c r="D498" s="107" t="s">
        <v>4359</v>
      </c>
      <c r="E498" s="107" t="b">
        <v>0</v>
      </c>
      <c r="F498" s="107" t="b">
        <v>0</v>
      </c>
      <c r="G498" s="107" t="b">
        <v>0</v>
      </c>
    </row>
    <row r="499" spans="1:7" ht="15">
      <c r="A499" s="87" t="s">
        <v>4003</v>
      </c>
      <c r="B499" s="107">
        <v>2</v>
      </c>
      <c r="C499" s="109">
        <v>0.0010226162794759238</v>
      </c>
      <c r="D499" s="107" t="s">
        <v>4359</v>
      </c>
      <c r="E499" s="107" t="b">
        <v>0</v>
      </c>
      <c r="F499" s="107" t="b">
        <v>0</v>
      </c>
      <c r="G499" s="107" t="b">
        <v>0</v>
      </c>
    </row>
    <row r="500" spans="1:7" ht="15">
      <c r="A500" s="87" t="s">
        <v>4004</v>
      </c>
      <c r="B500" s="107">
        <v>2</v>
      </c>
      <c r="C500" s="109">
        <v>0.0009094471081736752</v>
      </c>
      <c r="D500" s="107" t="s">
        <v>4359</v>
      </c>
      <c r="E500" s="107" t="b">
        <v>0</v>
      </c>
      <c r="F500" s="107" t="b">
        <v>0</v>
      </c>
      <c r="G500" s="107" t="b">
        <v>0</v>
      </c>
    </row>
    <row r="501" spans="1:7" ht="15">
      <c r="A501" s="87" t="s">
        <v>4005</v>
      </c>
      <c r="B501" s="107">
        <v>2</v>
      </c>
      <c r="C501" s="109">
        <v>0.0010226162794759238</v>
      </c>
      <c r="D501" s="107" t="s">
        <v>4359</v>
      </c>
      <c r="E501" s="107" t="b">
        <v>0</v>
      </c>
      <c r="F501" s="107" t="b">
        <v>1</v>
      </c>
      <c r="G501" s="107" t="b">
        <v>0</v>
      </c>
    </row>
    <row r="502" spans="1:7" ht="15">
      <c r="A502" s="87" t="s">
        <v>4006</v>
      </c>
      <c r="B502" s="107">
        <v>2</v>
      </c>
      <c r="C502" s="109">
        <v>0.0009094471081736752</v>
      </c>
      <c r="D502" s="107" t="s">
        <v>4359</v>
      </c>
      <c r="E502" s="107" t="b">
        <v>0</v>
      </c>
      <c r="F502" s="107" t="b">
        <v>0</v>
      </c>
      <c r="G502" s="107" t="b">
        <v>0</v>
      </c>
    </row>
    <row r="503" spans="1:7" ht="15">
      <c r="A503" s="87" t="s">
        <v>4007</v>
      </c>
      <c r="B503" s="107">
        <v>2</v>
      </c>
      <c r="C503" s="109">
        <v>0.0009094471081736752</v>
      </c>
      <c r="D503" s="107" t="s">
        <v>4359</v>
      </c>
      <c r="E503" s="107" t="b">
        <v>0</v>
      </c>
      <c r="F503" s="107" t="b">
        <v>1</v>
      </c>
      <c r="G503" s="107" t="b">
        <v>0</v>
      </c>
    </row>
    <row r="504" spans="1:7" ht="15">
      <c r="A504" s="87" t="s">
        <v>4008</v>
      </c>
      <c r="B504" s="107">
        <v>2</v>
      </c>
      <c r="C504" s="109">
        <v>0.0009094471081736752</v>
      </c>
      <c r="D504" s="107" t="s">
        <v>4359</v>
      </c>
      <c r="E504" s="107" t="b">
        <v>0</v>
      </c>
      <c r="F504" s="107" t="b">
        <v>0</v>
      </c>
      <c r="G504" s="107" t="b">
        <v>0</v>
      </c>
    </row>
    <row r="505" spans="1:7" ht="15">
      <c r="A505" s="87" t="s">
        <v>4009</v>
      </c>
      <c r="B505" s="107">
        <v>2</v>
      </c>
      <c r="C505" s="109">
        <v>0.0009094471081736752</v>
      </c>
      <c r="D505" s="107" t="s">
        <v>4359</v>
      </c>
      <c r="E505" s="107" t="b">
        <v>0</v>
      </c>
      <c r="F505" s="107" t="b">
        <v>0</v>
      </c>
      <c r="G505" s="107" t="b">
        <v>0</v>
      </c>
    </row>
    <row r="506" spans="1:7" ht="15">
      <c r="A506" s="87" t="s">
        <v>4010</v>
      </c>
      <c r="B506" s="107">
        <v>2</v>
      </c>
      <c r="C506" s="109">
        <v>0.0010226162794759238</v>
      </c>
      <c r="D506" s="107" t="s">
        <v>4359</v>
      </c>
      <c r="E506" s="107" t="b">
        <v>0</v>
      </c>
      <c r="F506" s="107" t="b">
        <v>0</v>
      </c>
      <c r="G506" s="107" t="b">
        <v>0</v>
      </c>
    </row>
    <row r="507" spans="1:7" ht="15">
      <c r="A507" s="87" t="s">
        <v>4011</v>
      </c>
      <c r="B507" s="107">
        <v>2</v>
      </c>
      <c r="C507" s="109">
        <v>0.0009094471081736752</v>
      </c>
      <c r="D507" s="107" t="s">
        <v>4359</v>
      </c>
      <c r="E507" s="107" t="b">
        <v>0</v>
      </c>
      <c r="F507" s="107" t="b">
        <v>0</v>
      </c>
      <c r="G507" s="107" t="b">
        <v>0</v>
      </c>
    </row>
    <row r="508" spans="1:7" ht="15">
      <c r="A508" s="87" t="s">
        <v>4012</v>
      </c>
      <c r="B508" s="107">
        <v>2</v>
      </c>
      <c r="C508" s="109">
        <v>0.0009094471081736752</v>
      </c>
      <c r="D508" s="107" t="s">
        <v>4359</v>
      </c>
      <c r="E508" s="107" t="b">
        <v>0</v>
      </c>
      <c r="F508" s="107" t="b">
        <v>0</v>
      </c>
      <c r="G508" s="107" t="b">
        <v>0</v>
      </c>
    </row>
    <row r="509" spans="1:7" ht="15">
      <c r="A509" s="87" t="s">
        <v>4013</v>
      </c>
      <c r="B509" s="107">
        <v>2</v>
      </c>
      <c r="C509" s="109">
        <v>0.0009094471081736752</v>
      </c>
      <c r="D509" s="107" t="s">
        <v>4359</v>
      </c>
      <c r="E509" s="107" t="b">
        <v>0</v>
      </c>
      <c r="F509" s="107" t="b">
        <v>0</v>
      </c>
      <c r="G509" s="107" t="b">
        <v>0</v>
      </c>
    </row>
    <row r="510" spans="1:7" ht="15">
      <c r="A510" s="87" t="s">
        <v>4014</v>
      </c>
      <c r="B510" s="107">
        <v>2</v>
      </c>
      <c r="C510" s="109">
        <v>0.0010226162794759238</v>
      </c>
      <c r="D510" s="107" t="s">
        <v>4359</v>
      </c>
      <c r="E510" s="107" t="b">
        <v>0</v>
      </c>
      <c r="F510" s="107" t="b">
        <v>1</v>
      </c>
      <c r="G510" s="107" t="b">
        <v>0</v>
      </c>
    </row>
    <row r="511" spans="1:7" ht="15">
      <c r="A511" s="87" t="s">
        <v>4015</v>
      </c>
      <c r="B511" s="107">
        <v>2</v>
      </c>
      <c r="C511" s="109">
        <v>0.0009094471081736752</v>
      </c>
      <c r="D511" s="107" t="s">
        <v>4359</v>
      </c>
      <c r="E511" s="107" t="b">
        <v>0</v>
      </c>
      <c r="F511" s="107" t="b">
        <v>0</v>
      </c>
      <c r="G511" s="107" t="b">
        <v>0</v>
      </c>
    </row>
    <row r="512" spans="1:7" ht="15">
      <c r="A512" s="87" t="s">
        <v>4016</v>
      </c>
      <c r="B512" s="107">
        <v>2</v>
      </c>
      <c r="C512" s="109">
        <v>0.0009094471081736752</v>
      </c>
      <c r="D512" s="107" t="s">
        <v>4359</v>
      </c>
      <c r="E512" s="107" t="b">
        <v>0</v>
      </c>
      <c r="F512" s="107" t="b">
        <v>0</v>
      </c>
      <c r="G512" s="107" t="b">
        <v>0</v>
      </c>
    </row>
    <row r="513" spans="1:7" ht="15">
      <c r="A513" s="87" t="s">
        <v>4017</v>
      </c>
      <c r="B513" s="107">
        <v>2</v>
      </c>
      <c r="C513" s="109">
        <v>0.0009094471081736752</v>
      </c>
      <c r="D513" s="107" t="s">
        <v>4359</v>
      </c>
      <c r="E513" s="107" t="b">
        <v>1</v>
      </c>
      <c r="F513" s="107" t="b">
        <v>0</v>
      </c>
      <c r="G513" s="107" t="b">
        <v>0</v>
      </c>
    </row>
    <row r="514" spans="1:7" ht="15">
      <c r="A514" s="87" t="s">
        <v>4018</v>
      </c>
      <c r="B514" s="107">
        <v>2</v>
      </c>
      <c r="C514" s="109">
        <v>0.0009094471081736752</v>
      </c>
      <c r="D514" s="107" t="s">
        <v>4359</v>
      </c>
      <c r="E514" s="107" t="b">
        <v>0</v>
      </c>
      <c r="F514" s="107" t="b">
        <v>1</v>
      </c>
      <c r="G514" s="107" t="b">
        <v>0</v>
      </c>
    </row>
    <row r="515" spans="1:7" ht="15">
      <c r="A515" s="87" t="s">
        <v>4019</v>
      </c>
      <c r="B515" s="107">
        <v>2</v>
      </c>
      <c r="C515" s="109">
        <v>0.0010226162794759238</v>
      </c>
      <c r="D515" s="107" t="s">
        <v>4359</v>
      </c>
      <c r="E515" s="107" t="b">
        <v>0</v>
      </c>
      <c r="F515" s="107" t="b">
        <v>0</v>
      </c>
      <c r="G515" s="107" t="b">
        <v>0</v>
      </c>
    </row>
    <row r="516" spans="1:7" ht="15">
      <c r="A516" s="87" t="s">
        <v>4020</v>
      </c>
      <c r="B516" s="107">
        <v>2</v>
      </c>
      <c r="C516" s="109">
        <v>0.0010226162794759238</v>
      </c>
      <c r="D516" s="107" t="s">
        <v>4359</v>
      </c>
      <c r="E516" s="107" t="b">
        <v>0</v>
      </c>
      <c r="F516" s="107" t="b">
        <v>0</v>
      </c>
      <c r="G516" s="107" t="b">
        <v>0</v>
      </c>
    </row>
    <row r="517" spans="1:7" ht="15">
      <c r="A517" s="87" t="s">
        <v>4021</v>
      </c>
      <c r="B517" s="107">
        <v>2</v>
      </c>
      <c r="C517" s="109">
        <v>0.0009094471081736752</v>
      </c>
      <c r="D517" s="107" t="s">
        <v>4359</v>
      </c>
      <c r="E517" s="107" t="b">
        <v>0</v>
      </c>
      <c r="F517" s="107" t="b">
        <v>0</v>
      </c>
      <c r="G517" s="107" t="b">
        <v>0</v>
      </c>
    </row>
    <row r="518" spans="1:7" ht="15">
      <c r="A518" s="87" t="s">
        <v>4022</v>
      </c>
      <c r="B518" s="107">
        <v>2</v>
      </c>
      <c r="C518" s="109">
        <v>0.0010226162794759238</v>
      </c>
      <c r="D518" s="107" t="s">
        <v>4359</v>
      </c>
      <c r="E518" s="107" t="b">
        <v>0</v>
      </c>
      <c r="F518" s="107" t="b">
        <v>0</v>
      </c>
      <c r="G518" s="107" t="b">
        <v>0</v>
      </c>
    </row>
    <row r="519" spans="1:7" ht="15">
      <c r="A519" s="87" t="s">
        <v>4023</v>
      </c>
      <c r="B519" s="107">
        <v>2</v>
      </c>
      <c r="C519" s="109">
        <v>0.0009094471081736752</v>
      </c>
      <c r="D519" s="107" t="s">
        <v>4359</v>
      </c>
      <c r="E519" s="107" t="b">
        <v>0</v>
      </c>
      <c r="F519" s="107" t="b">
        <v>0</v>
      </c>
      <c r="G519" s="107" t="b">
        <v>0</v>
      </c>
    </row>
    <row r="520" spans="1:7" ht="15">
      <c r="A520" s="87" t="s">
        <v>4024</v>
      </c>
      <c r="B520" s="107">
        <v>2</v>
      </c>
      <c r="C520" s="109">
        <v>0.0009094471081736752</v>
      </c>
      <c r="D520" s="107" t="s">
        <v>4359</v>
      </c>
      <c r="E520" s="107" t="b">
        <v>0</v>
      </c>
      <c r="F520" s="107" t="b">
        <v>1</v>
      </c>
      <c r="G520" s="107" t="b">
        <v>0</v>
      </c>
    </row>
    <row r="521" spans="1:7" ht="15">
      <c r="A521" s="87" t="s">
        <v>4025</v>
      </c>
      <c r="B521" s="107">
        <v>2</v>
      </c>
      <c r="C521" s="109">
        <v>0.0009094471081736752</v>
      </c>
      <c r="D521" s="107" t="s">
        <v>4359</v>
      </c>
      <c r="E521" s="107" t="b">
        <v>0</v>
      </c>
      <c r="F521" s="107" t="b">
        <v>0</v>
      </c>
      <c r="G521" s="107" t="b">
        <v>0</v>
      </c>
    </row>
    <row r="522" spans="1:7" ht="15">
      <c r="A522" s="87" t="s">
        <v>4026</v>
      </c>
      <c r="B522" s="107">
        <v>2</v>
      </c>
      <c r="C522" s="109">
        <v>0.0009094471081736752</v>
      </c>
      <c r="D522" s="107" t="s">
        <v>4359</v>
      </c>
      <c r="E522" s="107" t="b">
        <v>0</v>
      </c>
      <c r="F522" s="107" t="b">
        <v>0</v>
      </c>
      <c r="G522" s="107" t="b">
        <v>0</v>
      </c>
    </row>
    <row r="523" spans="1:7" ht="15">
      <c r="A523" s="87" t="s">
        <v>4027</v>
      </c>
      <c r="B523" s="107">
        <v>2</v>
      </c>
      <c r="C523" s="109">
        <v>0.0009094471081736752</v>
      </c>
      <c r="D523" s="107" t="s">
        <v>4359</v>
      </c>
      <c r="E523" s="107" t="b">
        <v>0</v>
      </c>
      <c r="F523" s="107" t="b">
        <v>0</v>
      </c>
      <c r="G523" s="107" t="b">
        <v>0</v>
      </c>
    </row>
    <row r="524" spans="1:7" ht="15">
      <c r="A524" s="87" t="s">
        <v>4028</v>
      </c>
      <c r="B524" s="107">
        <v>2</v>
      </c>
      <c r="C524" s="109">
        <v>0.0009094471081736752</v>
      </c>
      <c r="D524" s="107" t="s">
        <v>4359</v>
      </c>
      <c r="E524" s="107" t="b">
        <v>0</v>
      </c>
      <c r="F524" s="107" t="b">
        <v>0</v>
      </c>
      <c r="G524" s="107" t="b">
        <v>0</v>
      </c>
    </row>
    <row r="525" spans="1:7" ht="15">
      <c r="A525" s="87" t="s">
        <v>4029</v>
      </c>
      <c r="B525" s="107">
        <v>2</v>
      </c>
      <c r="C525" s="109">
        <v>0.0009094471081736752</v>
      </c>
      <c r="D525" s="107" t="s">
        <v>4359</v>
      </c>
      <c r="E525" s="107" t="b">
        <v>0</v>
      </c>
      <c r="F525" s="107" t="b">
        <v>0</v>
      </c>
      <c r="G525" s="107" t="b">
        <v>0</v>
      </c>
    </row>
    <row r="526" spans="1:7" ht="15">
      <c r="A526" s="87" t="s">
        <v>4030</v>
      </c>
      <c r="B526" s="107">
        <v>2</v>
      </c>
      <c r="C526" s="109">
        <v>0.0009094471081736752</v>
      </c>
      <c r="D526" s="107" t="s">
        <v>4359</v>
      </c>
      <c r="E526" s="107" t="b">
        <v>0</v>
      </c>
      <c r="F526" s="107" t="b">
        <v>1</v>
      </c>
      <c r="G526" s="107" t="b">
        <v>0</v>
      </c>
    </row>
    <row r="527" spans="1:7" ht="15">
      <c r="A527" s="87" t="s">
        <v>4031</v>
      </c>
      <c r="B527" s="107">
        <v>2</v>
      </c>
      <c r="C527" s="109">
        <v>0.0009094471081736752</v>
      </c>
      <c r="D527" s="107" t="s">
        <v>4359</v>
      </c>
      <c r="E527" s="107" t="b">
        <v>0</v>
      </c>
      <c r="F527" s="107" t="b">
        <v>0</v>
      </c>
      <c r="G527" s="107" t="b">
        <v>0</v>
      </c>
    </row>
    <row r="528" spans="1:7" ht="15">
      <c r="A528" s="87" t="s">
        <v>4032</v>
      </c>
      <c r="B528" s="107">
        <v>2</v>
      </c>
      <c r="C528" s="109">
        <v>0.0010226162794759238</v>
      </c>
      <c r="D528" s="107" t="s">
        <v>4359</v>
      </c>
      <c r="E528" s="107" t="b">
        <v>0</v>
      </c>
      <c r="F528" s="107" t="b">
        <v>0</v>
      </c>
      <c r="G528" s="107" t="b">
        <v>0</v>
      </c>
    </row>
    <row r="529" spans="1:7" ht="15">
      <c r="A529" s="87" t="s">
        <v>4033</v>
      </c>
      <c r="B529" s="107">
        <v>2</v>
      </c>
      <c r="C529" s="109">
        <v>0.0009094471081736752</v>
      </c>
      <c r="D529" s="107" t="s">
        <v>4359</v>
      </c>
      <c r="E529" s="107" t="b">
        <v>0</v>
      </c>
      <c r="F529" s="107" t="b">
        <v>0</v>
      </c>
      <c r="G529" s="107" t="b">
        <v>0</v>
      </c>
    </row>
    <row r="530" spans="1:7" ht="15">
      <c r="A530" s="87" t="s">
        <v>4034</v>
      </c>
      <c r="B530" s="107">
        <v>2</v>
      </c>
      <c r="C530" s="109">
        <v>0.0009094471081736752</v>
      </c>
      <c r="D530" s="107" t="s">
        <v>4359</v>
      </c>
      <c r="E530" s="107" t="b">
        <v>0</v>
      </c>
      <c r="F530" s="107" t="b">
        <v>1</v>
      </c>
      <c r="G530" s="107" t="b">
        <v>0</v>
      </c>
    </row>
    <row r="531" spans="1:7" ht="15">
      <c r="A531" s="87" t="s">
        <v>4035</v>
      </c>
      <c r="B531" s="107">
        <v>2</v>
      </c>
      <c r="C531" s="109">
        <v>0.0009094471081736752</v>
      </c>
      <c r="D531" s="107" t="s">
        <v>4359</v>
      </c>
      <c r="E531" s="107" t="b">
        <v>0</v>
      </c>
      <c r="F531" s="107" t="b">
        <v>0</v>
      </c>
      <c r="G531" s="107" t="b">
        <v>0</v>
      </c>
    </row>
    <row r="532" spans="1:7" ht="15">
      <c r="A532" s="87" t="s">
        <v>4036</v>
      </c>
      <c r="B532" s="107">
        <v>2</v>
      </c>
      <c r="C532" s="109">
        <v>0.0009094471081736752</v>
      </c>
      <c r="D532" s="107" t="s">
        <v>4359</v>
      </c>
      <c r="E532" s="107" t="b">
        <v>0</v>
      </c>
      <c r="F532" s="107" t="b">
        <v>0</v>
      </c>
      <c r="G532" s="107" t="b">
        <v>0</v>
      </c>
    </row>
    <row r="533" spans="1:7" ht="15">
      <c r="A533" s="87" t="s">
        <v>4037</v>
      </c>
      <c r="B533" s="107">
        <v>2</v>
      </c>
      <c r="C533" s="109">
        <v>0.0009094471081736752</v>
      </c>
      <c r="D533" s="107" t="s">
        <v>4359</v>
      </c>
      <c r="E533" s="107" t="b">
        <v>1</v>
      </c>
      <c r="F533" s="107" t="b">
        <v>0</v>
      </c>
      <c r="G533" s="107" t="b">
        <v>0</v>
      </c>
    </row>
    <row r="534" spans="1:7" ht="15">
      <c r="A534" s="87" t="s">
        <v>4038</v>
      </c>
      <c r="B534" s="107">
        <v>2</v>
      </c>
      <c r="C534" s="109">
        <v>0.0009094471081736752</v>
      </c>
      <c r="D534" s="107" t="s">
        <v>4359</v>
      </c>
      <c r="E534" s="107" t="b">
        <v>0</v>
      </c>
      <c r="F534" s="107" t="b">
        <v>1</v>
      </c>
      <c r="G534" s="107" t="b">
        <v>0</v>
      </c>
    </row>
    <row r="535" spans="1:7" ht="15">
      <c r="A535" s="87" t="s">
        <v>4039</v>
      </c>
      <c r="B535" s="107">
        <v>2</v>
      </c>
      <c r="C535" s="109">
        <v>0.0009094471081736752</v>
      </c>
      <c r="D535" s="107" t="s">
        <v>4359</v>
      </c>
      <c r="E535" s="107" t="b">
        <v>1</v>
      </c>
      <c r="F535" s="107" t="b">
        <v>0</v>
      </c>
      <c r="G535" s="107" t="b">
        <v>0</v>
      </c>
    </row>
    <row r="536" spans="1:7" ht="15">
      <c r="A536" s="87" t="s">
        <v>4040</v>
      </c>
      <c r="B536" s="107">
        <v>2</v>
      </c>
      <c r="C536" s="109">
        <v>0.0009094471081736752</v>
      </c>
      <c r="D536" s="107" t="s">
        <v>4359</v>
      </c>
      <c r="E536" s="107" t="b">
        <v>0</v>
      </c>
      <c r="F536" s="107" t="b">
        <v>0</v>
      </c>
      <c r="G536" s="107" t="b">
        <v>0</v>
      </c>
    </row>
    <row r="537" spans="1:7" ht="15">
      <c r="A537" s="87" t="s">
        <v>4041</v>
      </c>
      <c r="B537" s="107">
        <v>2</v>
      </c>
      <c r="C537" s="109">
        <v>0.0009094471081736752</v>
      </c>
      <c r="D537" s="107" t="s">
        <v>4359</v>
      </c>
      <c r="E537" s="107" t="b">
        <v>0</v>
      </c>
      <c r="F537" s="107" t="b">
        <v>0</v>
      </c>
      <c r="G537" s="107" t="b">
        <v>0</v>
      </c>
    </row>
    <row r="538" spans="1:7" ht="15">
      <c r="A538" s="87" t="s">
        <v>4042</v>
      </c>
      <c r="B538" s="107">
        <v>2</v>
      </c>
      <c r="C538" s="109">
        <v>0.0009094471081736752</v>
      </c>
      <c r="D538" s="107" t="s">
        <v>4359</v>
      </c>
      <c r="E538" s="107" t="b">
        <v>0</v>
      </c>
      <c r="F538" s="107" t="b">
        <v>0</v>
      </c>
      <c r="G538" s="107" t="b">
        <v>0</v>
      </c>
    </row>
    <row r="539" spans="1:7" ht="15">
      <c r="A539" s="87" t="s">
        <v>4043</v>
      </c>
      <c r="B539" s="107">
        <v>2</v>
      </c>
      <c r="C539" s="109">
        <v>0.0010226162794759238</v>
      </c>
      <c r="D539" s="107" t="s">
        <v>4359</v>
      </c>
      <c r="E539" s="107" t="b">
        <v>1</v>
      </c>
      <c r="F539" s="107" t="b">
        <v>0</v>
      </c>
      <c r="G539" s="107" t="b">
        <v>0</v>
      </c>
    </row>
    <row r="540" spans="1:7" ht="15">
      <c r="A540" s="87" t="s">
        <v>4044</v>
      </c>
      <c r="B540" s="107">
        <v>2</v>
      </c>
      <c r="C540" s="109">
        <v>0.0010226162794759238</v>
      </c>
      <c r="D540" s="107" t="s">
        <v>4359</v>
      </c>
      <c r="E540" s="107" t="b">
        <v>0</v>
      </c>
      <c r="F540" s="107" t="b">
        <v>0</v>
      </c>
      <c r="G540" s="107" t="b">
        <v>0</v>
      </c>
    </row>
    <row r="541" spans="1:7" ht="15">
      <c r="A541" s="87" t="s">
        <v>4045</v>
      </c>
      <c r="B541" s="107">
        <v>2</v>
      </c>
      <c r="C541" s="109">
        <v>0.0009094471081736752</v>
      </c>
      <c r="D541" s="107" t="s">
        <v>4359</v>
      </c>
      <c r="E541" s="107" t="b">
        <v>0</v>
      </c>
      <c r="F541" s="107" t="b">
        <v>0</v>
      </c>
      <c r="G541" s="107" t="b">
        <v>0</v>
      </c>
    </row>
    <row r="542" spans="1:7" ht="15">
      <c r="A542" s="87" t="s">
        <v>4046</v>
      </c>
      <c r="B542" s="107">
        <v>2</v>
      </c>
      <c r="C542" s="109">
        <v>0.0009094471081736752</v>
      </c>
      <c r="D542" s="107" t="s">
        <v>4359</v>
      </c>
      <c r="E542" s="107" t="b">
        <v>0</v>
      </c>
      <c r="F542" s="107" t="b">
        <v>0</v>
      </c>
      <c r="G542" s="107" t="b">
        <v>0</v>
      </c>
    </row>
    <row r="543" spans="1:7" ht="15">
      <c r="A543" s="87" t="s">
        <v>4047</v>
      </c>
      <c r="B543" s="107">
        <v>2</v>
      </c>
      <c r="C543" s="109">
        <v>0.0010226162794759238</v>
      </c>
      <c r="D543" s="107" t="s">
        <v>4359</v>
      </c>
      <c r="E543" s="107" t="b">
        <v>0</v>
      </c>
      <c r="F543" s="107" t="b">
        <v>0</v>
      </c>
      <c r="G543" s="107" t="b">
        <v>0</v>
      </c>
    </row>
    <row r="544" spans="1:7" ht="15">
      <c r="A544" s="87" t="s">
        <v>4048</v>
      </c>
      <c r="B544" s="107">
        <v>2</v>
      </c>
      <c r="C544" s="109">
        <v>0.0009094471081736752</v>
      </c>
      <c r="D544" s="107" t="s">
        <v>4359</v>
      </c>
      <c r="E544" s="107" t="b">
        <v>0</v>
      </c>
      <c r="F544" s="107" t="b">
        <v>0</v>
      </c>
      <c r="G544" s="107" t="b">
        <v>0</v>
      </c>
    </row>
    <row r="545" spans="1:7" ht="15">
      <c r="A545" s="87" t="s">
        <v>4049</v>
      </c>
      <c r="B545" s="107">
        <v>2</v>
      </c>
      <c r="C545" s="109">
        <v>0.0009094471081736752</v>
      </c>
      <c r="D545" s="107" t="s">
        <v>4359</v>
      </c>
      <c r="E545" s="107" t="b">
        <v>0</v>
      </c>
      <c r="F545" s="107" t="b">
        <v>0</v>
      </c>
      <c r="G545" s="107" t="b">
        <v>0</v>
      </c>
    </row>
    <row r="546" spans="1:7" ht="15">
      <c r="A546" s="87" t="s">
        <v>4050</v>
      </c>
      <c r="B546" s="107">
        <v>2</v>
      </c>
      <c r="C546" s="109">
        <v>0.0009094471081736752</v>
      </c>
      <c r="D546" s="107" t="s">
        <v>4359</v>
      </c>
      <c r="E546" s="107" t="b">
        <v>0</v>
      </c>
      <c r="F546" s="107" t="b">
        <v>0</v>
      </c>
      <c r="G546" s="107" t="b">
        <v>0</v>
      </c>
    </row>
    <row r="547" spans="1:7" ht="15">
      <c r="A547" s="87" t="s">
        <v>4051</v>
      </c>
      <c r="B547" s="107">
        <v>2</v>
      </c>
      <c r="C547" s="109">
        <v>0.0009094471081736752</v>
      </c>
      <c r="D547" s="107" t="s">
        <v>4359</v>
      </c>
      <c r="E547" s="107" t="b">
        <v>0</v>
      </c>
      <c r="F547" s="107" t="b">
        <v>0</v>
      </c>
      <c r="G547" s="107" t="b">
        <v>0</v>
      </c>
    </row>
    <row r="548" spans="1:7" ht="15">
      <c r="A548" s="87" t="s">
        <v>4052</v>
      </c>
      <c r="B548" s="107">
        <v>2</v>
      </c>
      <c r="C548" s="109">
        <v>0.0009094471081736752</v>
      </c>
      <c r="D548" s="107" t="s">
        <v>4359</v>
      </c>
      <c r="E548" s="107" t="b">
        <v>0</v>
      </c>
      <c r="F548" s="107" t="b">
        <v>0</v>
      </c>
      <c r="G548" s="107" t="b">
        <v>0</v>
      </c>
    </row>
    <row r="549" spans="1:7" ht="15">
      <c r="A549" s="87" t="s">
        <v>4053</v>
      </c>
      <c r="B549" s="107">
        <v>2</v>
      </c>
      <c r="C549" s="109">
        <v>0.0009094471081736752</v>
      </c>
      <c r="D549" s="107" t="s">
        <v>4359</v>
      </c>
      <c r="E549" s="107" t="b">
        <v>0</v>
      </c>
      <c r="F549" s="107" t="b">
        <v>0</v>
      </c>
      <c r="G549" s="107" t="b">
        <v>0</v>
      </c>
    </row>
    <row r="550" spans="1:7" ht="15">
      <c r="A550" s="87" t="s">
        <v>4054</v>
      </c>
      <c r="B550" s="107">
        <v>2</v>
      </c>
      <c r="C550" s="109">
        <v>0.0010226162794759238</v>
      </c>
      <c r="D550" s="107" t="s">
        <v>4359</v>
      </c>
      <c r="E550" s="107" t="b">
        <v>0</v>
      </c>
      <c r="F550" s="107" t="b">
        <v>0</v>
      </c>
      <c r="G550" s="107" t="b">
        <v>0</v>
      </c>
    </row>
    <row r="551" spans="1:7" ht="15">
      <c r="A551" s="87" t="s">
        <v>4055</v>
      </c>
      <c r="B551" s="107">
        <v>2</v>
      </c>
      <c r="C551" s="109">
        <v>0.0009094471081736752</v>
      </c>
      <c r="D551" s="107" t="s">
        <v>4359</v>
      </c>
      <c r="E551" s="107" t="b">
        <v>0</v>
      </c>
      <c r="F551" s="107" t="b">
        <v>0</v>
      </c>
      <c r="G551" s="107" t="b">
        <v>0</v>
      </c>
    </row>
    <row r="552" spans="1:7" ht="15">
      <c r="A552" s="87" t="s">
        <v>4056</v>
      </c>
      <c r="B552" s="107">
        <v>2</v>
      </c>
      <c r="C552" s="109">
        <v>0.0009094471081736752</v>
      </c>
      <c r="D552" s="107" t="s">
        <v>4359</v>
      </c>
      <c r="E552" s="107" t="b">
        <v>0</v>
      </c>
      <c r="F552" s="107" t="b">
        <v>1</v>
      </c>
      <c r="G552" s="107" t="b">
        <v>0</v>
      </c>
    </row>
    <row r="553" spans="1:7" ht="15">
      <c r="A553" s="87" t="s">
        <v>4057</v>
      </c>
      <c r="B553" s="107">
        <v>2</v>
      </c>
      <c r="C553" s="109">
        <v>0.0010226162794759238</v>
      </c>
      <c r="D553" s="107" t="s">
        <v>4359</v>
      </c>
      <c r="E553" s="107" t="b">
        <v>0</v>
      </c>
      <c r="F553" s="107" t="b">
        <v>0</v>
      </c>
      <c r="G553" s="107" t="b">
        <v>0</v>
      </c>
    </row>
    <row r="554" spans="1:7" ht="15">
      <c r="A554" s="87" t="s">
        <v>4058</v>
      </c>
      <c r="B554" s="107">
        <v>2</v>
      </c>
      <c r="C554" s="109">
        <v>0.0009094471081736752</v>
      </c>
      <c r="D554" s="107" t="s">
        <v>4359</v>
      </c>
      <c r="E554" s="107" t="b">
        <v>0</v>
      </c>
      <c r="F554" s="107" t="b">
        <v>1</v>
      </c>
      <c r="G554" s="107" t="b">
        <v>0</v>
      </c>
    </row>
    <row r="555" spans="1:7" ht="15">
      <c r="A555" s="87" t="s">
        <v>4059</v>
      </c>
      <c r="B555" s="107">
        <v>2</v>
      </c>
      <c r="C555" s="109">
        <v>0.0009094471081736752</v>
      </c>
      <c r="D555" s="107" t="s">
        <v>4359</v>
      </c>
      <c r="E555" s="107" t="b">
        <v>0</v>
      </c>
      <c r="F555" s="107" t="b">
        <v>0</v>
      </c>
      <c r="G555" s="107" t="b">
        <v>0</v>
      </c>
    </row>
    <row r="556" spans="1:7" ht="15">
      <c r="A556" s="87" t="s">
        <v>4060</v>
      </c>
      <c r="B556" s="107">
        <v>2</v>
      </c>
      <c r="C556" s="109">
        <v>0.0009094471081736752</v>
      </c>
      <c r="D556" s="107" t="s">
        <v>4359</v>
      </c>
      <c r="E556" s="107" t="b">
        <v>0</v>
      </c>
      <c r="F556" s="107" t="b">
        <v>1</v>
      </c>
      <c r="G556" s="107" t="b">
        <v>0</v>
      </c>
    </row>
    <row r="557" spans="1:7" ht="15">
      <c r="A557" s="87" t="s">
        <v>4061</v>
      </c>
      <c r="B557" s="107">
        <v>2</v>
      </c>
      <c r="C557" s="109">
        <v>0.0009094471081736752</v>
      </c>
      <c r="D557" s="107" t="s">
        <v>4359</v>
      </c>
      <c r="E557" s="107" t="b">
        <v>0</v>
      </c>
      <c r="F557" s="107" t="b">
        <v>0</v>
      </c>
      <c r="G557" s="107" t="b">
        <v>0</v>
      </c>
    </row>
    <row r="558" spans="1:7" ht="15">
      <c r="A558" s="87" t="s">
        <v>4062</v>
      </c>
      <c r="B558" s="107">
        <v>2</v>
      </c>
      <c r="C558" s="109">
        <v>0.0009094471081736752</v>
      </c>
      <c r="D558" s="107" t="s">
        <v>4359</v>
      </c>
      <c r="E558" s="107" t="b">
        <v>0</v>
      </c>
      <c r="F558" s="107" t="b">
        <v>0</v>
      </c>
      <c r="G558" s="107" t="b">
        <v>0</v>
      </c>
    </row>
    <row r="559" spans="1:7" ht="15">
      <c r="A559" s="87" t="s">
        <v>4063</v>
      </c>
      <c r="B559" s="107">
        <v>2</v>
      </c>
      <c r="C559" s="109">
        <v>0.0010226162794759238</v>
      </c>
      <c r="D559" s="107" t="s">
        <v>4359</v>
      </c>
      <c r="E559" s="107" t="b">
        <v>0</v>
      </c>
      <c r="F559" s="107" t="b">
        <v>0</v>
      </c>
      <c r="G559" s="107" t="b">
        <v>0</v>
      </c>
    </row>
    <row r="560" spans="1:7" ht="15">
      <c r="A560" s="87" t="s">
        <v>4064</v>
      </c>
      <c r="B560" s="107">
        <v>2</v>
      </c>
      <c r="C560" s="109">
        <v>0.0009094471081736752</v>
      </c>
      <c r="D560" s="107" t="s">
        <v>4359</v>
      </c>
      <c r="E560" s="107" t="b">
        <v>0</v>
      </c>
      <c r="F560" s="107" t="b">
        <v>0</v>
      </c>
      <c r="G560" s="107" t="b">
        <v>0</v>
      </c>
    </row>
    <row r="561" spans="1:7" ht="15">
      <c r="A561" s="87" t="s">
        <v>4065</v>
      </c>
      <c r="B561" s="107">
        <v>2</v>
      </c>
      <c r="C561" s="109">
        <v>0.0009094471081736752</v>
      </c>
      <c r="D561" s="107" t="s">
        <v>4359</v>
      </c>
      <c r="E561" s="107" t="b">
        <v>0</v>
      </c>
      <c r="F561" s="107" t="b">
        <v>0</v>
      </c>
      <c r="G561" s="107" t="b">
        <v>0</v>
      </c>
    </row>
    <row r="562" spans="1:7" ht="15">
      <c r="A562" s="87" t="s">
        <v>4066</v>
      </c>
      <c r="B562" s="107">
        <v>2</v>
      </c>
      <c r="C562" s="109">
        <v>0.0010226162794759238</v>
      </c>
      <c r="D562" s="107" t="s">
        <v>4359</v>
      </c>
      <c r="E562" s="107" t="b">
        <v>0</v>
      </c>
      <c r="F562" s="107" t="b">
        <v>0</v>
      </c>
      <c r="G562" s="107" t="b">
        <v>0</v>
      </c>
    </row>
    <row r="563" spans="1:7" ht="15">
      <c r="A563" s="87" t="s">
        <v>4067</v>
      </c>
      <c r="B563" s="107">
        <v>2</v>
      </c>
      <c r="C563" s="109">
        <v>0.0009094471081736752</v>
      </c>
      <c r="D563" s="107" t="s">
        <v>4359</v>
      </c>
      <c r="E563" s="107" t="b">
        <v>0</v>
      </c>
      <c r="F563" s="107" t="b">
        <v>0</v>
      </c>
      <c r="G563" s="107" t="b">
        <v>0</v>
      </c>
    </row>
    <row r="564" spans="1:7" ht="15">
      <c r="A564" s="87" t="s">
        <v>4068</v>
      </c>
      <c r="B564" s="107">
        <v>2</v>
      </c>
      <c r="C564" s="109">
        <v>0.0009094471081736752</v>
      </c>
      <c r="D564" s="107" t="s">
        <v>4359</v>
      </c>
      <c r="E564" s="107" t="b">
        <v>1</v>
      </c>
      <c r="F564" s="107" t="b">
        <v>0</v>
      </c>
      <c r="G564" s="107" t="b">
        <v>0</v>
      </c>
    </row>
    <row r="565" spans="1:7" ht="15">
      <c r="A565" s="87" t="s">
        <v>4069</v>
      </c>
      <c r="B565" s="107">
        <v>2</v>
      </c>
      <c r="C565" s="109">
        <v>0.0009094471081736752</v>
      </c>
      <c r="D565" s="107" t="s">
        <v>4359</v>
      </c>
      <c r="E565" s="107" t="b">
        <v>0</v>
      </c>
      <c r="F565" s="107" t="b">
        <v>0</v>
      </c>
      <c r="G565" s="107" t="b">
        <v>0</v>
      </c>
    </row>
    <row r="566" spans="1:7" ht="15">
      <c r="A566" s="87" t="s">
        <v>4070</v>
      </c>
      <c r="B566" s="107">
        <v>2</v>
      </c>
      <c r="C566" s="109">
        <v>0.0009094471081736752</v>
      </c>
      <c r="D566" s="107" t="s">
        <v>4359</v>
      </c>
      <c r="E566" s="107" t="b">
        <v>0</v>
      </c>
      <c r="F566" s="107" t="b">
        <v>0</v>
      </c>
      <c r="G566" s="107" t="b">
        <v>0</v>
      </c>
    </row>
    <row r="567" spans="1:7" ht="15">
      <c r="A567" s="87" t="s">
        <v>4071</v>
      </c>
      <c r="B567" s="107">
        <v>2</v>
      </c>
      <c r="C567" s="109">
        <v>0.0009094471081736752</v>
      </c>
      <c r="D567" s="107" t="s">
        <v>4359</v>
      </c>
      <c r="E567" s="107" t="b">
        <v>0</v>
      </c>
      <c r="F567" s="107" t="b">
        <v>0</v>
      </c>
      <c r="G567" s="107" t="b">
        <v>0</v>
      </c>
    </row>
    <row r="568" spans="1:7" ht="15">
      <c r="A568" s="87" t="s">
        <v>2783</v>
      </c>
      <c r="B568" s="107">
        <v>2</v>
      </c>
      <c r="C568" s="109">
        <v>0.0009094471081736752</v>
      </c>
      <c r="D568" s="107" t="s">
        <v>4359</v>
      </c>
      <c r="E568" s="107" t="b">
        <v>0</v>
      </c>
      <c r="F568" s="107" t="b">
        <v>0</v>
      </c>
      <c r="G568" s="107" t="b">
        <v>0</v>
      </c>
    </row>
    <row r="569" spans="1:7" ht="15">
      <c r="A569" s="87" t="s">
        <v>4072</v>
      </c>
      <c r="B569" s="107">
        <v>2</v>
      </c>
      <c r="C569" s="109">
        <v>0.0009094471081736752</v>
      </c>
      <c r="D569" s="107" t="s">
        <v>4359</v>
      </c>
      <c r="E569" s="107" t="b">
        <v>0</v>
      </c>
      <c r="F569" s="107" t="b">
        <v>0</v>
      </c>
      <c r="G569" s="107" t="b">
        <v>0</v>
      </c>
    </row>
    <row r="570" spans="1:7" ht="15">
      <c r="A570" s="87" t="s">
        <v>4073</v>
      </c>
      <c r="B570" s="107">
        <v>2</v>
      </c>
      <c r="C570" s="109">
        <v>0.0009094471081736752</v>
      </c>
      <c r="D570" s="107" t="s">
        <v>4359</v>
      </c>
      <c r="E570" s="107" t="b">
        <v>0</v>
      </c>
      <c r="F570" s="107" t="b">
        <v>1</v>
      </c>
      <c r="G570" s="107" t="b">
        <v>0</v>
      </c>
    </row>
    <row r="571" spans="1:7" ht="15">
      <c r="A571" s="87" t="s">
        <v>4074</v>
      </c>
      <c r="B571" s="107">
        <v>2</v>
      </c>
      <c r="C571" s="109">
        <v>0.0009094471081736752</v>
      </c>
      <c r="D571" s="107" t="s">
        <v>4359</v>
      </c>
      <c r="E571" s="107" t="b">
        <v>0</v>
      </c>
      <c r="F571" s="107" t="b">
        <v>1</v>
      </c>
      <c r="G571" s="107" t="b">
        <v>0</v>
      </c>
    </row>
    <row r="572" spans="1:7" ht="15">
      <c r="A572" s="87" t="s">
        <v>4075</v>
      </c>
      <c r="B572" s="107">
        <v>2</v>
      </c>
      <c r="C572" s="109">
        <v>0.0009094471081736752</v>
      </c>
      <c r="D572" s="107" t="s">
        <v>4359</v>
      </c>
      <c r="E572" s="107" t="b">
        <v>0</v>
      </c>
      <c r="F572" s="107" t="b">
        <v>0</v>
      </c>
      <c r="G572" s="107" t="b">
        <v>0</v>
      </c>
    </row>
    <row r="573" spans="1:7" ht="15">
      <c r="A573" s="87" t="s">
        <v>4076</v>
      </c>
      <c r="B573" s="107">
        <v>2</v>
      </c>
      <c r="C573" s="109">
        <v>0.0009094471081736752</v>
      </c>
      <c r="D573" s="107" t="s">
        <v>4359</v>
      </c>
      <c r="E573" s="107" t="b">
        <v>0</v>
      </c>
      <c r="F573" s="107" t="b">
        <v>0</v>
      </c>
      <c r="G573" s="107" t="b">
        <v>0</v>
      </c>
    </row>
    <row r="574" spans="1:7" ht="15">
      <c r="A574" s="87" t="s">
        <v>4077</v>
      </c>
      <c r="B574" s="107">
        <v>2</v>
      </c>
      <c r="C574" s="109">
        <v>0.0010226162794759238</v>
      </c>
      <c r="D574" s="107" t="s">
        <v>4359</v>
      </c>
      <c r="E574" s="107" t="b">
        <v>0</v>
      </c>
      <c r="F574" s="107" t="b">
        <v>0</v>
      </c>
      <c r="G574" s="107" t="b">
        <v>0</v>
      </c>
    </row>
    <row r="575" spans="1:7" ht="15">
      <c r="A575" s="87" t="s">
        <v>4078</v>
      </c>
      <c r="B575" s="107">
        <v>2</v>
      </c>
      <c r="C575" s="109">
        <v>0.0009094471081736752</v>
      </c>
      <c r="D575" s="107" t="s">
        <v>4359</v>
      </c>
      <c r="E575" s="107" t="b">
        <v>0</v>
      </c>
      <c r="F575" s="107" t="b">
        <v>1</v>
      </c>
      <c r="G575" s="107" t="b">
        <v>0</v>
      </c>
    </row>
    <row r="576" spans="1:7" ht="15">
      <c r="A576" s="87" t="s">
        <v>4079</v>
      </c>
      <c r="B576" s="107">
        <v>2</v>
      </c>
      <c r="C576" s="109">
        <v>0.0009094471081736752</v>
      </c>
      <c r="D576" s="107" t="s">
        <v>4359</v>
      </c>
      <c r="E576" s="107" t="b">
        <v>0</v>
      </c>
      <c r="F576" s="107" t="b">
        <v>0</v>
      </c>
      <c r="G576" s="107" t="b">
        <v>0</v>
      </c>
    </row>
    <row r="577" spans="1:7" ht="15">
      <c r="A577" s="87" t="s">
        <v>4080</v>
      </c>
      <c r="B577" s="107">
        <v>2</v>
      </c>
      <c r="C577" s="109">
        <v>0.0009094471081736752</v>
      </c>
      <c r="D577" s="107" t="s">
        <v>4359</v>
      </c>
      <c r="E577" s="107" t="b">
        <v>0</v>
      </c>
      <c r="F577" s="107" t="b">
        <v>1</v>
      </c>
      <c r="G577" s="107" t="b">
        <v>0</v>
      </c>
    </row>
    <row r="578" spans="1:7" ht="15">
      <c r="A578" s="87" t="s">
        <v>4081</v>
      </c>
      <c r="B578" s="107">
        <v>2</v>
      </c>
      <c r="C578" s="109">
        <v>0.0009094471081736752</v>
      </c>
      <c r="D578" s="107" t="s">
        <v>4359</v>
      </c>
      <c r="E578" s="107" t="b">
        <v>0</v>
      </c>
      <c r="F578" s="107" t="b">
        <v>0</v>
      </c>
      <c r="G578" s="107" t="b">
        <v>0</v>
      </c>
    </row>
    <row r="579" spans="1:7" ht="15">
      <c r="A579" s="87" t="s">
        <v>4082</v>
      </c>
      <c r="B579" s="107">
        <v>2</v>
      </c>
      <c r="C579" s="109">
        <v>0.0009094471081736752</v>
      </c>
      <c r="D579" s="107" t="s">
        <v>4359</v>
      </c>
      <c r="E579" s="107" t="b">
        <v>0</v>
      </c>
      <c r="F579" s="107" t="b">
        <v>0</v>
      </c>
      <c r="G579" s="107" t="b">
        <v>0</v>
      </c>
    </row>
    <row r="580" spans="1:7" ht="15">
      <c r="A580" s="87" t="s">
        <v>4083</v>
      </c>
      <c r="B580" s="107">
        <v>2</v>
      </c>
      <c r="C580" s="109">
        <v>0.0009094471081736752</v>
      </c>
      <c r="D580" s="107" t="s">
        <v>4359</v>
      </c>
      <c r="E580" s="107" t="b">
        <v>0</v>
      </c>
      <c r="F580" s="107" t="b">
        <v>0</v>
      </c>
      <c r="G580" s="107" t="b">
        <v>0</v>
      </c>
    </row>
    <row r="581" spans="1:7" ht="15">
      <c r="A581" s="87" t="s">
        <v>4084</v>
      </c>
      <c r="B581" s="107">
        <v>2</v>
      </c>
      <c r="C581" s="109">
        <v>0.0009094471081736752</v>
      </c>
      <c r="D581" s="107" t="s">
        <v>4359</v>
      </c>
      <c r="E581" s="107" t="b">
        <v>0</v>
      </c>
      <c r="F581" s="107" t="b">
        <v>1</v>
      </c>
      <c r="G581" s="107" t="b">
        <v>0</v>
      </c>
    </row>
    <row r="582" spans="1:7" ht="15">
      <c r="A582" s="87" t="s">
        <v>4085</v>
      </c>
      <c r="B582" s="107">
        <v>2</v>
      </c>
      <c r="C582" s="109">
        <v>0.0009094471081736752</v>
      </c>
      <c r="D582" s="107" t="s">
        <v>4359</v>
      </c>
      <c r="E582" s="107" t="b">
        <v>0</v>
      </c>
      <c r="F582" s="107" t="b">
        <v>0</v>
      </c>
      <c r="G582" s="107" t="b">
        <v>0</v>
      </c>
    </row>
    <row r="583" spans="1:7" ht="15">
      <c r="A583" s="87" t="s">
        <v>4086</v>
      </c>
      <c r="B583" s="107">
        <v>2</v>
      </c>
      <c r="C583" s="109">
        <v>0.0009094471081736752</v>
      </c>
      <c r="D583" s="107" t="s">
        <v>4359</v>
      </c>
      <c r="E583" s="107" t="b">
        <v>0</v>
      </c>
      <c r="F583" s="107" t="b">
        <v>1</v>
      </c>
      <c r="G583" s="107" t="b">
        <v>0</v>
      </c>
    </row>
    <row r="584" spans="1:7" ht="15">
      <c r="A584" s="87" t="s">
        <v>4087</v>
      </c>
      <c r="B584" s="107">
        <v>2</v>
      </c>
      <c r="C584" s="109">
        <v>0.0009094471081736752</v>
      </c>
      <c r="D584" s="107" t="s">
        <v>4359</v>
      </c>
      <c r="E584" s="107" t="b">
        <v>0</v>
      </c>
      <c r="F584" s="107" t="b">
        <v>0</v>
      </c>
      <c r="G584" s="107" t="b">
        <v>0</v>
      </c>
    </row>
    <row r="585" spans="1:7" ht="15">
      <c r="A585" s="87" t="s">
        <v>4088</v>
      </c>
      <c r="B585" s="107">
        <v>2</v>
      </c>
      <c r="C585" s="109">
        <v>0.0009094471081736752</v>
      </c>
      <c r="D585" s="107" t="s">
        <v>4359</v>
      </c>
      <c r="E585" s="107" t="b">
        <v>0</v>
      </c>
      <c r="F585" s="107" t="b">
        <v>0</v>
      </c>
      <c r="G585" s="107" t="b">
        <v>0</v>
      </c>
    </row>
    <row r="586" spans="1:7" ht="15">
      <c r="A586" s="87" t="s">
        <v>4089</v>
      </c>
      <c r="B586" s="107">
        <v>2</v>
      </c>
      <c r="C586" s="109">
        <v>0.0009094471081736752</v>
      </c>
      <c r="D586" s="107" t="s">
        <v>4359</v>
      </c>
      <c r="E586" s="107" t="b">
        <v>0</v>
      </c>
      <c r="F586" s="107" t="b">
        <v>1</v>
      </c>
      <c r="G586" s="107" t="b">
        <v>0</v>
      </c>
    </row>
    <row r="587" spans="1:7" ht="15">
      <c r="A587" s="87" t="s">
        <v>4090</v>
      </c>
      <c r="B587" s="107">
        <v>2</v>
      </c>
      <c r="C587" s="109">
        <v>0.0010226162794759238</v>
      </c>
      <c r="D587" s="107" t="s">
        <v>4359</v>
      </c>
      <c r="E587" s="107" t="b">
        <v>0</v>
      </c>
      <c r="F587" s="107" t="b">
        <v>0</v>
      </c>
      <c r="G587" s="107" t="b">
        <v>0</v>
      </c>
    </row>
    <row r="588" spans="1:7" ht="15">
      <c r="A588" s="87" t="s">
        <v>4091</v>
      </c>
      <c r="B588" s="107">
        <v>2</v>
      </c>
      <c r="C588" s="109">
        <v>0.0010226162794759238</v>
      </c>
      <c r="D588" s="107" t="s">
        <v>4359</v>
      </c>
      <c r="E588" s="107" t="b">
        <v>0</v>
      </c>
      <c r="F588" s="107" t="b">
        <v>0</v>
      </c>
      <c r="G588" s="107" t="b">
        <v>0</v>
      </c>
    </row>
    <row r="589" spans="1:7" ht="15">
      <c r="A589" s="87" t="s">
        <v>4092</v>
      </c>
      <c r="B589" s="107">
        <v>2</v>
      </c>
      <c r="C589" s="109">
        <v>0.0009094471081736752</v>
      </c>
      <c r="D589" s="107" t="s">
        <v>4359</v>
      </c>
      <c r="E589" s="107" t="b">
        <v>0</v>
      </c>
      <c r="F589" s="107" t="b">
        <v>0</v>
      </c>
      <c r="G589" s="107" t="b">
        <v>0</v>
      </c>
    </row>
    <row r="590" spans="1:7" ht="15">
      <c r="A590" s="87" t="s">
        <v>4093</v>
      </c>
      <c r="B590" s="107">
        <v>2</v>
      </c>
      <c r="C590" s="109">
        <v>0.0010226162794759238</v>
      </c>
      <c r="D590" s="107" t="s">
        <v>4359</v>
      </c>
      <c r="E590" s="107" t="b">
        <v>0</v>
      </c>
      <c r="F590" s="107" t="b">
        <v>0</v>
      </c>
      <c r="G590" s="107" t="b">
        <v>0</v>
      </c>
    </row>
    <row r="591" spans="1:7" ht="15">
      <c r="A591" s="87" t="s">
        <v>4094</v>
      </c>
      <c r="B591" s="107">
        <v>2</v>
      </c>
      <c r="C591" s="109">
        <v>0.0009094471081736752</v>
      </c>
      <c r="D591" s="107" t="s">
        <v>4359</v>
      </c>
      <c r="E591" s="107" t="b">
        <v>0</v>
      </c>
      <c r="F591" s="107" t="b">
        <v>0</v>
      </c>
      <c r="G591" s="107" t="b">
        <v>0</v>
      </c>
    </row>
    <row r="592" spans="1:7" ht="15">
      <c r="A592" s="87" t="s">
        <v>2912</v>
      </c>
      <c r="B592" s="107">
        <v>2</v>
      </c>
      <c r="C592" s="109">
        <v>0.0009094471081736752</v>
      </c>
      <c r="D592" s="107" t="s">
        <v>4359</v>
      </c>
      <c r="E592" s="107" t="b">
        <v>0</v>
      </c>
      <c r="F592" s="107" t="b">
        <v>0</v>
      </c>
      <c r="G592" s="107" t="b">
        <v>0</v>
      </c>
    </row>
    <row r="593" spans="1:7" ht="15">
      <c r="A593" s="87" t="s">
        <v>4095</v>
      </c>
      <c r="B593" s="107">
        <v>2</v>
      </c>
      <c r="C593" s="109">
        <v>0.0009094471081736752</v>
      </c>
      <c r="D593" s="107" t="s">
        <v>4359</v>
      </c>
      <c r="E593" s="107" t="b">
        <v>0</v>
      </c>
      <c r="F593" s="107" t="b">
        <v>0</v>
      </c>
      <c r="G593" s="107" t="b">
        <v>0</v>
      </c>
    </row>
    <row r="594" spans="1:7" ht="15">
      <c r="A594" s="87" t="s">
        <v>4096</v>
      </c>
      <c r="B594" s="107">
        <v>2</v>
      </c>
      <c r="C594" s="109">
        <v>0.0009094471081736752</v>
      </c>
      <c r="D594" s="107" t="s">
        <v>4359</v>
      </c>
      <c r="E594" s="107" t="b">
        <v>0</v>
      </c>
      <c r="F594" s="107" t="b">
        <v>0</v>
      </c>
      <c r="G594" s="107" t="b">
        <v>0</v>
      </c>
    </row>
    <row r="595" spans="1:7" ht="15">
      <c r="A595" s="87" t="s">
        <v>4097</v>
      </c>
      <c r="B595" s="107">
        <v>2</v>
      </c>
      <c r="C595" s="109">
        <v>0.0009094471081736752</v>
      </c>
      <c r="D595" s="107" t="s">
        <v>4359</v>
      </c>
      <c r="E595" s="107" t="b">
        <v>0</v>
      </c>
      <c r="F595" s="107" t="b">
        <v>0</v>
      </c>
      <c r="G595" s="107" t="b">
        <v>0</v>
      </c>
    </row>
    <row r="596" spans="1:7" ht="15">
      <c r="A596" s="87" t="s">
        <v>4098</v>
      </c>
      <c r="B596" s="107">
        <v>2</v>
      </c>
      <c r="C596" s="109">
        <v>0.0009094471081736752</v>
      </c>
      <c r="D596" s="107" t="s">
        <v>4359</v>
      </c>
      <c r="E596" s="107" t="b">
        <v>0</v>
      </c>
      <c r="F596" s="107" t="b">
        <v>0</v>
      </c>
      <c r="G596" s="107" t="b">
        <v>0</v>
      </c>
    </row>
    <row r="597" spans="1:7" ht="15">
      <c r="A597" s="87" t="s">
        <v>4099</v>
      </c>
      <c r="B597" s="107">
        <v>2</v>
      </c>
      <c r="C597" s="109">
        <v>0.0009094471081736752</v>
      </c>
      <c r="D597" s="107" t="s">
        <v>4359</v>
      </c>
      <c r="E597" s="107" t="b">
        <v>0</v>
      </c>
      <c r="F597" s="107" t="b">
        <v>0</v>
      </c>
      <c r="G597" s="107" t="b">
        <v>0</v>
      </c>
    </row>
    <row r="598" spans="1:7" ht="15">
      <c r="A598" s="87" t="s">
        <v>4100</v>
      </c>
      <c r="B598" s="107">
        <v>2</v>
      </c>
      <c r="C598" s="109">
        <v>0.0009094471081736752</v>
      </c>
      <c r="D598" s="107" t="s">
        <v>4359</v>
      </c>
      <c r="E598" s="107" t="b">
        <v>0</v>
      </c>
      <c r="F598" s="107" t="b">
        <v>0</v>
      </c>
      <c r="G598" s="107" t="b">
        <v>0</v>
      </c>
    </row>
    <row r="599" spans="1:7" ht="15">
      <c r="A599" s="87" t="s">
        <v>4101</v>
      </c>
      <c r="B599" s="107">
        <v>2</v>
      </c>
      <c r="C599" s="109">
        <v>0.0009094471081736752</v>
      </c>
      <c r="D599" s="107" t="s">
        <v>4359</v>
      </c>
      <c r="E599" s="107" t="b">
        <v>0</v>
      </c>
      <c r="F599" s="107" t="b">
        <v>0</v>
      </c>
      <c r="G599" s="107" t="b">
        <v>0</v>
      </c>
    </row>
    <row r="600" spans="1:7" ht="15">
      <c r="A600" s="87" t="s">
        <v>4102</v>
      </c>
      <c r="B600" s="107">
        <v>2</v>
      </c>
      <c r="C600" s="109">
        <v>0.0010226162794759238</v>
      </c>
      <c r="D600" s="107" t="s">
        <v>4359</v>
      </c>
      <c r="E600" s="107" t="b">
        <v>0</v>
      </c>
      <c r="F600" s="107" t="b">
        <v>0</v>
      </c>
      <c r="G600" s="107" t="b">
        <v>0</v>
      </c>
    </row>
    <row r="601" spans="1:7" ht="15">
      <c r="A601" s="87" t="s">
        <v>4103</v>
      </c>
      <c r="B601" s="107">
        <v>2</v>
      </c>
      <c r="C601" s="109">
        <v>0.0009094471081736752</v>
      </c>
      <c r="D601" s="107" t="s">
        <v>4359</v>
      </c>
      <c r="E601" s="107" t="b">
        <v>0</v>
      </c>
      <c r="F601" s="107" t="b">
        <v>0</v>
      </c>
      <c r="G601" s="107" t="b">
        <v>0</v>
      </c>
    </row>
    <row r="602" spans="1:7" ht="15">
      <c r="A602" s="87" t="s">
        <v>4104</v>
      </c>
      <c r="B602" s="107">
        <v>2</v>
      </c>
      <c r="C602" s="109">
        <v>0.0009094471081736752</v>
      </c>
      <c r="D602" s="107" t="s">
        <v>4359</v>
      </c>
      <c r="E602" s="107" t="b">
        <v>1</v>
      </c>
      <c r="F602" s="107" t="b">
        <v>0</v>
      </c>
      <c r="G602" s="107" t="b">
        <v>0</v>
      </c>
    </row>
    <row r="603" spans="1:7" ht="15">
      <c r="A603" s="87" t="s">
        <v>4105</v>
      </c>
      <c r="B603" s="107">
        <v>2</v>
      </c>
      <c r="C603" s="109">
        <v>0.0009094471081736752</v>
      </c>
      <c r="D603" s="107" t="s">
        <v>4359</v>
      </c>
      <c r="E603" s="107" t="b">
        <v>0</v>
      </c>
      <c r="F603" s="107" t="b">
        <v>0</v>
      </c>
      <c r="G603" s="107" t="b">
        <v>0</v>
      </c>
    </row>
    <row r="604" spans="1:7" ht="15">
      <c r="A604" s="87" t="s">
        <v>4106</v>
      </c>
      <c r="B604" s="107">
        <v>2</v>
      </c>
      <c r="C604" s="109">
        <v>0.0009094471081736752</v>
      </c>
      <c r="D604" s="107" t="s">
        <v>4359</v>
      </c>
      <c r="E604" s="107" t="b">
        <v>0</v>
      </c>
      <c r="F604" s="107" t="b">
        <v>0</v>
      </c>
      <c r="G604" s="107" t="b">
        <v>0</v>
      </c>
    </row>
    <row r="605" spans="1:7" ht="15">
      <c r="A605" s="87" t="s">
        <v>4107</v>
      </c>
      <c r="B605" s="107">
        <v>2</v>
      </c>
      <c r="C605" s="109">
        <v>0.0009094471081736752</v>
      </c>
      <c r="D605" s="107" t="s">
        <v>4359</v>
      </c>
      <c r="E605" s="107" t="b">
        <v>1</v>
      </c>
      <c r="F605" s="107" t="b">
        <v>0</v>
      </c>
      <c r="G605" s="107" t="b">
        <v>0</v>
      </c>
    </row>
    <row r="606" spans="1:7" ht="15">
      <c r="A606" s="87" t="s">
        <v>4108</v>
      </c>
      <c r="B606" s="107">
        <v>2</v>
      </c>
      <c r="C606" s="109">
        <v>0.0009094471081736752</v>
      </c>
      <c r="D606" s="107" t="s">
        <v>4359</v>
      </c>
      <c r="E606" s="107" t="b">
        <v>0</v>
      </c>
      <c r="F606" s="107" t="b">
        <v>0</v>
      </c>
      <c r="G606" s="107" t="b">
        <v>0</v>
      </c>
    </row>
    <row r="607" spans="1:7" ht="15">
      <c r="A607" s="87" t="s">
        <v>4109</v>
      </c>
      <c r="B607" s="107">
        <v>2</v>
      </c>
      <c r="C607" s="109">
        <v>0.0009094471081736752</v>
      </c>
      <c r="D607" s="107" t="s">
        <v>4359</v>
      </c>
      <c r="E607" s="107" t="b">
        <v>0</v>
      </c>
      <c r="F607" s="107" t="b">
        <v>0</v>
      </c>
      <c r="G607" s="107" t="b">
        <v>0</v>
      </c>
    </row>
    <row r="608" spans="1:7" ht="15">
      <c r="A608" s="87" t="s">
        <v>4110</v>
      </c>
      <c r="B608" s="107">
        <v>2</v>
      </c>
      <c r="C608" s="109">
        <v>0.0009094471081736752</v>
      </c>
      <c r="D608" s="107" t="s">
        <v>4359</v>
      </c>
      <c r="E608" s="107" t="b">
        <v>0</v>
      </c>
      <c r="F608" s="107" t="b">
        <v>0</v>
      </c>
      <c r="G608" s="107" t="b">
        <v>0</v>
      </c>
    </row>
    <row r="609" spans="1:7" ht="15">
      <c r="A609" s="87" t="s">
        <v>4111</v>
      </c>
      <c r="B609" s="107">
        <v>2</v>
      </c>
      <c r="C609" s="109">
        <v>0.0009094471081736752</v>
      </c>
      <c r="D609" s="107" t="s">
        <v>4359</v>
      </c>
      <c r="E609" s="107" t="b">
        <v>0</v>
      </c>
      <c r="F609" s="107" t="b">
        <v>0</v>
      </c>
      <c r="G609" s="107" t="b">
        <v>0</v>
      </c>
    </row>
    <row r="610" spans="1:7" ht="15">
      <c r="A610" s="87" t="s">
        <v>4112</v>
      </c>
      <c r="B610" s="107">
        <v>2</v>
      </c>
      <c r="C610" s="109">
        <v>0.0009094471081736752</v>
      </c>
      <c r="D610" s="107" t="s">
        <v>4359</v>
      </c>
      <c r="E610" s="107" t="b">
        <v>0</v>
      </c>
      <c r="F610" s="107" t="b">
        <v>0</v>
      </c>
      <c r="G610" s="107" t="b">
        <v>0</v>
      </c>
    </row>
    <row r="611" spans="1:7" ht="15">
      <c r="A611" s="87" t="s">
        <v>4113</v>
      </c>
      <c r="B611" s="107">
        <v>2</v>
      </c>
      <c r="C611" s="109">
        <v>0.0009094471081736752</v>
      </c>
      <c r="D611" s="107" t="s">
        <v>4359</v>
      </c>
      <c r="E611" s="107" t="b">
        <v>0</v>
      </c>
      <c r="F611" s="107" t="b">
        <v>0</v>
      </c>
      <c r="G611" s="107" t="b">
        <v>0</v>
      </c>
    </row>
    <row r="612" spans="1:7" ht="15">
      <c r="A612" s="87" t="s">
        <v>4114</v>
      </c>
      <c r="B612" s="107">
        <v>2</v>
      </c>
      <c r="C612" s="109">
        <v>0.0010226162794759238</v>
      </c>
      <c r="D612" s="107" t="s">
        <v>4359</v>
      </c>
      <c r="E612" s="107" t="b">
        <v>0</v>
      </c>
      <c r="F612" s="107" t="b">
        <v>0</v>
      </c>
      <c r="G612" s="107" t="b">
        <v>0</v>
      </c>
    </row>
    <row r="613" spans="1:7" ht="15">
      <c r="A613" s="87" t="s">
        <v>4115</v>
      </c>
      <c r="B613" s="107">
        <v>2</v>
      </c>
      <c r="C613" s="109">
        <v>0.0009094471081736752</v>
      </c>
      <c r="D613" s="107" t="s">
        <v>4359</v>
      </c>
      <c r="E613" s="107" t="b">
        <v>0</v>
      </c>
      <c r="F613" s="107" t="b">
        <v>0</v>
      </c>
      <c r="G613" s="107" t="b">
        <v>0</v>
      </c>
    </row>
    <row r="614" spans="1:7" ht="15">
      <c r="A614" s="87" t="s">
        <v>4116</v>
      </c>
      <c r="B614" s="107">
        <v>2</v>
      </c>
      <c r="C614" s="109">
        <v>0.0009094471081736752</v>
      </c>
      <c r="D614" s="107" t="s">
        <v>4359</v>
      </c>
      <c r="E614" s="107" t="b">
        <v>1</v>
      </c>
      <c r="F614" s="107" t="b">
        <v>0</v>
      </c>
      <c r="G614" s="107" t="b">
        <v>0</v>
      </c>
    </row>
    <row r="615" spans="1:7" ht="15">
      <c r="A615" s="87" t="s">
        <v>4117</v>
      </c>
      <c r="B615" s="107">
        <v>2</v>
      </c>
      <c r="C615" s="109">
        <v>0.0010226162794759238</v>
      </c>
      <c r="D615" s="107" t="s">
        <v>4359</v>
      </c>
      <c r="E615" s="107" t="b">
        <v>0</v>
      </c>
      <c r="F615" s="107" t="b">
        <v>1</v>
      </c>
      <c r="G615" s="107" t="b">
        <v>0</v>
      </c>
    </row>
    <row r="616" spans="1:7" ht="15">
      <c r="A616" s="87" t="s">
        <v>4118</v>
      </c>
      <c r="B616" s="107">
        <v>2</v>
      </c>
      <c r="C616" s="109">
        <v>0.0009094471081736752</v>
      </c>
      <c r="D616" s="107" t="s">
        <v>4359</v>
      </c>
      <c r="E616" s="107" t="b">
        <v>0</v>
      </c>
      <c r="F616" s="107" t="b">
        <v>0</v>
      </c>
      <c r="G616" s="107" t="b">
        <v>0</v>
      </c>
    </row>
    <row r="617" spans="1:7" ht="15">
      <c r="A617" s="87" t="s">
        <v>4119</v>
      </c>
      <c r="B617" s="107">
        <v>2</v>
      </c>
      <c r="C617" s="109">
        <v>0.0009094471081736752</v>
      </c>
      <c r="D617" s="107" t="s">
        <v>4359</v>
      </c>
      <c r="E617" s="107" t="b">
        <v>0</v>
      </c>
      <c r="F617" s="107" t="b">
        <v>0</v>
      </c>
      <c r="G617" s="107" t="b">
        <v>0</v>
      </c>
    </row>
    <row r="618" spans="1:7" ht="15">
      <c r="A618" s="87" t="s">
        <v>4120</v>
      </c>
      <c r="B618" s="107">
        <v>2</v>
      </c>
      <c r="C618" s="109">
        <v>0.0010226162794759238</v>
      </c>
      <c r="D618" s="107" t="s">
        <v>4359</v>
      </c>
      <c r="E618" s="107" t="b">
        <v>0</v>
      </c>
      <c r="F618" s="107" t="b">
        <v>0</v>
      </c>
      <c r="G618" s="107" t="b">
        <v>0</v>
      </c>
    </row>
    <row r="619" spans="1:7" ht="15">
      <c r="A619" s="87" t="s">
        <v>4121</v>
      </c>
      <c r="B619" s="107">
        <v>2</v>
      </c>
      <c r="C619" s="109">
        <v>0.0009094471081736752</v>
      </c>
      <c r="D619" s="107" t="s">
        <v>4359</v>
      </c>
      <c r="E619" s="107" t="b">
        <v>0</v>
      </c>
      <c r="F619" s="107" t="b">
        <v>0</v>
      </c>
      <c r="G619" s="107" t="b">
        <v>0</v>
      </c>
    </row>
    <row r="620" spans="1:7" ht="15">
      <c r="A620" s="87" t="s">
        <v>4122</v>
      </c>
      <c r="B620" s="107">
        <v>2</v>
      </c>
      <c r="C620" s="109">
        <v>0.0009094471081736752</v>
      </c>
      <c r="D620" s="107" t="s">
        <v>4359</v>
      </c>
      <c r="E620" s="107" t="b">
        <v>0</v>
      </c>
      <c r="F620" s="107" t="b">
        <v>1</v>
      </c>
      <c r="G620" s="107" t="b">
        <v>0</v>
      </c>
    </row>
    <row r="621" spans="1:7" ht="15">
      <c r="A621" s="87" t="s">
        <v>4123</v>
      </c>
      <c r="B621" s="107">
        <v>2</v>
      </c>
      <c r="C621" s="109">
        <v>0.0009094471081736752</v>
      </c>
      <c r="D621" s="107" t="s">
        <v>4359</v>
      </c>
      <c r="E621" s="107" t="b">
        <v>0</v>
      </c>
      <c r="F621" s="107" t="b">
        <v>0</v>
      </c>
      <c r="G621" s="107" t="b">
        <v>0</v>
      </c>
    </row>
    <row r="622" spans="1:7" ht="15">
      <c r="A622" s="87" t="s">
        <v>4124</v>
      </c>
      <c r="B622" s="107">
        <v>2</v>
      </c>
      <c r="C622" s="109">
        <v>0.0009094471081736752</v>
      </c>
      <c r="D622" s="107" t="s">
        <v>4359</v>
      </c>
      <c r="E622" s="107" t="b">
        <v>0</v>
      </c>
      <c r="F622" s="107" t="b">
        <v>0</v>
      </c>
      <c r="G622" s="107" t="b">
        <v>0</v>
      </c>
    </row>
    <row r="623" spans="1:7" ht="15">
      <c r="A623" s="87" t="s">
        <v>4125</v>
      </c>
      <c r="B623" s="107">
        <v>2</v>
      </c>
      <c r="C623" s="109">
        <v>0.0009094471081736752</v>
      </c>
      <c r="D623" s="107" t="s">
        <v>4359</v>
      </c>
      <c r="E623" s="107" t="b">
        <v>0</v>
      </c>
      <c r="F623" s="107" t="b">
        <v>0</v>
      </c>
      <c r="G623" s="107" t="b">
        <v>0</v>
      </c>
    </row>
    <row r="624" spans="1:7" ht="15">
      <c r="A624" s="87" t="s">
        <v>4126</v>
      </c>
      <c r="B624" s="107">
        <v>2</v>
      </c>
      <c r="C624" s="109">
        <v>0.0009094471081736752</v>
      </c>
      <c r="D624" s="107" t="s">
        <v>4359</v>
      </c>
      <c r="E624" s="107" t="b">
        <v>0</v>
      </c>
      <c r="F624" s="107" t="b">
        <v>0</v>
      </c>
      <c r="G624" s="107" t="b">
        <v>0</v>
      </c>
    </row>
    <row r="625" spans="1:7" ht="15">
      <c r="A625" s="87" t="s">
        <v>4127</v>
      </c>
      <c r="B625" s="107">
        <v>2</v>
      </c>
      <c r="C625" s="109">
        <v>0.0009094471081736752</v>
      </c>
      <c r="D625" s="107" t="s">
        <v>4359</v>
      </c>
      <c r="E625" s="107" t="b">
        <v>0</v>
      </c>
      <c r="F625" s="107" t="b">
        <v>0</v>
      </c>
      <c r="G625" s="107" t="b">
        <v>0</v>
      </c>
    </row>
    <row r="626" spans="1:7" ht="15">
      <c r="A626" s="87" t="s">
        <v>4128</v>
      </c>
      <c r="B626" s="107">
        <v>2</v>
      </c>
      <c r="C626" s="109">
        <v>0.0010226162794759238</v>
      </c>
      <c r="D626" s="107" t="s">
        <v>4359</v>
      </c>
      <c r="E626" s="107" t="b">
        <v>1</v>
      </c>
      <c r="F626" s="107" t="b">
        <v>0</v>
      </c>
      <c r="G626" s="107" t="b">
        <v>0</v>
      </c>
    </row>
    <row r="627" spans="1:7" ht="15">
      <c r="A627" s="87" t="s">
        <v>4129</v>
      </c>
      <c r="B627" s="107">
        <v>2</v>
      </c>
      <c r="C627" s="109">
        <v>0.0010226162794759238</v>
      </c>
      <c r="D627" s="107" t="s">
        <v>4359</v>
      </c>
      <c r="E627" s="107" t="b">
        <v>0</v>
      </c>
      <c r="F627" s="107" t="b">
        <v>0</v>
      </c>
      <c r="G627" s="107" t="b">
        <v>0</v>
      </c>
    </row>
    <row r="628" spans="1:7" ht="15">
      <c r="A628" s="87" t="s">
        <v>4130</v>
      </c>
      <c r="B628" s="107">
        <v>2</v>
      </c>
      <c r="C628" s="109">
        <v>0.0009094471081736752</v>
      </c>
      <c r="D628" s="107" t="s">
        <v>4359</v>
      </c>
      <c r="E628" s="107" t="b">
        <v>1</v>
      </c>
      <c r="F628" s="107" t="b">
        <v>0</v>
      </c>
      <c r="G628" s="107" t="b">
        <v>0</v>
      </c>
    </row>
    <row r="629" spans="1:7" ht="15">
      <c r="A629" s="87" t="s">
        <v>4131</v>
      </c>
      <c r="B629" s="107">
        <v>2</v>
      </c>
      <c r="C629" s="109">
        <v>0.0009094471081736752</v>
      </c>
      <c r="D629" s="107" t="s">
        <v>4359</v>
      </c>
      <c r="E629" s="107" t="b">
        <v>0</v>
      </c>
      <c r="F629" s="107" t="b">
        <v>0</v>
      </c>
      <c r="G629" s="107" t="b">
        <v>0</v>
      </c>
    </row>
    <row r="630" spans="1:7" ht="15">
      <c r="A630" s="87" t="s">
        <v>4132</v>
      </c>
      <c r="B630" s="107">
        <v>2</v>
      </c>
      <c r="C630" s="109">
        <v>0.0009094471081736752</v>
      </c>
      <c r="D630" s="107" t="s">
        <v>4359</v>
      </c>
      <c r="E630" s="107" t="b">
        <v>0</v>
      </c>
      <c r="F630" s="107" t="b">
        <v>0</v>
      </c>
      <c r="G630" s="107" t="b">
        <v>0</v>
      </c>
    </row>
    <row r="631" spans="1:7" ht="15">
      <c r="A631" s="87" t="s">
        <v>4133</v>
      </c>
      <c r="B631" s="107">
        <v>2</v>
      </c>
      <c r="C631" s="109">
        <v>0.0009094471081736752</v>
      </c>
      <c r="D631" s="107" t="s">
        <v>4359</v>
      </c>
      <c r="E631" s="107" t="b">
        <v>1</v>
      </c>
      <c r="F631" s="107" t="b">
        <v>0</v>
      </c>
      <c r="G631" s="107" t="b">
        <v>0</v>
      </c>
    </row>
    <row r="632" spans="1:7" ht="15">
      <c r="A632" s="87" t="s">
        <v>4134</v>
      </c>
      <c r="B632" s="107">
        <v>2</v>
      </c>
      <c r="C632" s="109">
        <v>0.0009094471081736752</v>
      </c>
      <c r="D632" s="107" t="s">
        <v>4359</v>
      </c>
      <c r="E632" s="107" t="b">
        <v>0</v>
      </c>
      <c r="F632" s="107" t="b">
        <v>0</v>
      </c>
      <c r="G632" s="107" t="b">
        <v>0</v>
      </c>
    </row>
    <row r="633" spans="1:7" ht="15">
      <c r="A633" s="87" t="s">
        <v>4135</v>
      </c>
      <c r="B633" s="107">
        <v>2</v>
      </c>
      <c r="C633" s="109">
        <v>0.0010226162794759238</v>
      </c>
      <c r="D633" s="107" t="s">
        <v>4359</v>
      </c>
      <c r="E633" s="107" t="b">
        <v>0</v>
      </c>
      <c r="F633" s="107" t="b">
        <v>0</v>
      </c>
      <c r="G633" s="107" t="b">
        <v>0</v>
      </c>
    </row>
    <row r="634" spans="1:7" ht="15">
      <c r="A634" s="87" t="s">
        <v>4136</v>
      </c>
      <c r="B634" s="107">
        <v>2</v>
      </c>
      <c r="C634" s="109">
        <v>0.0009094471081736752</v>
      </c>
      <c r="D634" s="107" t="s">
        <v>4359</v>
      </c>
      <c r="E634" s="107" t="b">
        <v>0</v>
      </c>
      <c r="F634" s="107" t="b">
        <v>1</v>
      </c>
      <c r="G634" s="107" t="b">
        <v>0</v>
      </c>
    </row>
    <row r="635" spans="1:7" ht="15">
      <c r="A635" s="87" t="s">
        <v>4137</v>
      </c>
      <c r="B635" s="107">
        <v>2</v>
      </c>
      <c r="C635" s="109">
        <v>0.0009094471081736752</v>
      </c>
      <c r="D635" s="107" t="s">
        <v>4359</v>
      </c>
      <c r="E635" s="107" t="b">
        <v>0</v>
      </c>
      <c r="F635" s="107" t="b">
        <v>0</v>
      </c>
      <c r="G635" s="107" t="b">
        <v>0</v>
      </c>
    </row>
    <row r="636" spans="1:7" ht="15">
      <c r="A636" s="87" t="s">
        <v>4138</v>
      </c>
      <c r="B636" s="107">
        <v>2</v>
      </c>
      <c r="C636" s="109">
        <v>0.0009094471081736752</v>
      </c>
      <c r="D636" s="107" t="s">
        <v>4359</v>
      </c>
      <c r="E636" s="107" t="b">
        <v>0</v>
      </c>
      <c r="F636" s="107" t="b">
        <v>0</v>
      </c>
      <c r="G636" s="107" t="b">
        <v>0</v>
      </c>
    </row>
    <row r="637" spans="1:7" ht="15">
      <c r="A637" s="87" t="s">
        <v>4139</v>
      </c>
      <c r="B637" s="107">
        <v>2</v>
      </c>
      <c r="C637" s="109">
        <v>0.0009094471081736752</v>
      </c>
      <c r="D637" s="107" t="s">
        <v>4359</v>
      </c>
      <c r="E637" s="107" t="b">
        <v>0</v>
      </c>
      <c r="F637" s="107" t="b">
        <v>0</v>
      </c>
      <c r="G637" s="107" t="b">
        <v>0</v>
      </c>
    </row>
    <row r="638" spans="1:7" ht="15">
      <c r="A638" s="87" t="s">
        <v>4140</v>
      </c>
      <c r="B638" s="107">
        <v>2</v>
      </c>
      <c r="C638" s="109">
        <v>0.0009094471081736752</v>
      </c>
      <c r="D638" s="107" t="s">
        <v>4359</v>
      </c>
      <c r="E638" s="107" t="b">
        <v>0</v>
      </c>
      <c r="F638" s="107" t="b">
        <v>0</v>
      </c>
      <c r="G638" s="107" t="b">
        <v>0</v>
      </c>
    </row>
    <row r="639" spans="1:7" ht="15">
      <c r="A639" s="87" t="s">
        <v>4141</v>
      </c>
      <c r="B639" s="107">
        <v>2</v>
      </c>
      <c r="C639" s="109">
        <v>0.0009094471081736752</v>
      </c>
      <c r="D639" s="107" t="s">
        <v>4359</v>
      </c>
      <c r="E639" s="107" t="b">
        <v>0</v>
      </c>
      <c r="F639" s="107" t="b">
        <v>0</v>
      </c>
      <c r="G639" s="107" t="b">
        <v>0</v>
      </c>
    </row>
    <row r="640" spans="1:7" ht="15">
      <c r="A640" s="87" t="s">
        <v>4142</v>
      </c>
      <c r="B640" s="107">
        <v>2</v>
      </c>
      <c r="C640" s="109">
        <v>0.0009094471081736752</v>
      </c>
      <c r="D640" s="107" t="s">
        <v>4359</v>
      </c>
      <c r="E640" s="107" t="b">
        <v>0</v>
      </c>
      <c r="F640" s="107" t="b">
        <v>0</v>
      </c>
      <c r="G640" s="107" t="b">
        <v>0</v>
      </c>
    </row>
    <row r="641" spans="1:7" ht="15">
      <c r="A641" s="87" t="s">
        <v>4143</v>
      </c>
      <c r="B641" s="107">
        <v>2</v>
      </c>
      <c r="C641" s="109">
        <v>0.0009094471081736752</v>
      </c>
      <c r="D641" s="107" t="s">
        <v>4359</v>
      </c>
      <c r="E641" s="107" t="b">
        <v>0</v>
      </c>
      <c r="F641" s="107" t="b">
        <v>0</v>
      </c>
      <c r="G641" s="107" t="b">
        <v>0</v>
      </c>
    </row>
    <row r="642" spans="1:7" ht="15">
      <c r="A642" s="87" t="s">
        <v>4144</v>
      </c>
      <c r="B642" s="107">
        <v>2</v>
      </c>
      <c r="C642" s="109">
        <v>0.0009094471081736752</v>
      </c>
      <c r="D642" s="107" t="s">
        <v>4359</v>
      </c>
      <c r="E642" s="107" t="b">
        <v>0</v>
      </c>
      <c r="F642" s="107" t="b">
        <v>1</v>
      </c>
      <c r="G642" s="107" t="b">
        <v>0</v>
      </c>
    </row>
    <row r="643" spans="1:7" ht="15">
      <c r="A643" s="87" t="s">
        <v>4145</v>
      </c>
      <c r="B643" s="107">
        <v>2</v>
      </c>
      <c r="C643" s="109">
        <v>0.0009094471081736752</v>
      </c>
      <c r="D643" s="107" t="s">
        <v>4359</v>
      </c>
      <c r="E643" s="107" t="b">
        <v>0</v>
      </c>
      <c r="F643" s="107" t="b">
        <v>0</v>
      </c>
      <c r="G643" s="107" t="b">
        <v>0</v>
      </c>
    </row>
    <row r="644" spans="1:7" ht="15">
      <c r="A644" s="87" t="s">
        <v>4146</v>
      </c>
      <c r="B644" s="107">
        <v>2</v>
      </c>
      <c r="C644" s="109">
        <v>0.0010226162794759238</v>
      </c>
      <c r="D644" s="107" t="s">
        <v>4359</v>
      </c>
      <c r="E644" s="107" t="b">
        <v>0</v>
      </c>
      <c r="F644" s="107" t="b">
        <v>1</v>
      </c>
      <c r="G644" s="107" t="b">
        <v>0</v>
      </c>
    </row>
    <row r="645" spans="1:7" ht="15">
      <c r="A645" s="87" t="s">
        <v>4147</v>
      </c>
      <c r="B645" s="107">
        <v>2</v>
      </c>
      <c r="C645" s="109">
        <v>0.0009094471081736752</v>
      </c>
      <c r="D645" s="107" t="s">
        <v>4359</v>
      </c>
      <c r="E645" s="107" t="b">
        <v>0</v>
      </c>
      <c r="F645" s="107" t="b">
        <v>0</v>
      </c>
      <c r="G645" s="107" t="b">
        <v>0</v>
      </c>
    </row>
    <row r="646" spans="1:7" ht="15">
      <c r="A646" s="87" t="s">
        <v>4148</v>
      </c>
      <c r="B646" s="107">
        <v>2</v>
      </c>
      <c r="C646" s="109">
        <v>0.0009094471081736752</v>
      </c>
      <c r="D646" s="107" t="s">
        <v>4359</v>
      </c>
      <c r="E646" s="107" t="b">
        <v>1</v>
      </c>
      <c r="F646" s="107" t="b">
        <v>0</v>
      </c>
      <c r="G646" s="107" t="b">
        <v>0</v>
      </c>
    </row>
    <row r="647" spans="1:7" ht="15">
      <c r="A647" s="87" t="s">
        <v>4149</v>
      </c>
      <c r="B647" s="107">
        <v>2</v>
      </c>
      <c r="C647" s="109">
        <v>0.0010226162794759238</v>
      </c>
      <c r="D647" s="107" t="s">
        <v>4359</v>
      </c>
      <c r="E647" s="107" t="b">
        <v>0</v>
      </c>
      <c r="F647" s="107" t="b">
        <v>0</v>
      </c>
      <c r="G647" s="107" t="b">
        <v>0</v>
      </c>
    </row>
    <row r="648" spans="1:7" ht="15">
      <c r="A648" s="87" t="s">
        <v>4150</v>
      </c>
      <c r="B648" s="107">
        <v>2</v>
      </c>
      <c r="C648" s="109">
        <v>0.0009094471081736752</v>
      </c>
      <c r="D648" s="107" t="s">
        <v>4359</v>
      </c>
      <c r="E648" s="107" t="b">
        <v>0</v>
      </c>
      <c r="F648" s="107" t="b">
        <v>0</v>
      </c>
      <c r="G648" s="107" t="b">
        <v>0</v>
      </c>
    </row>
    <row r="649" spans="1:7" ht="15">
      <c r="A649" s="87" t="s">
        <v>4151</v>
      </c>
      <c r="B649" s="107">
        <v>2</v>
      </c>
      <c r="C649" s="109">
        <v>0.0010226162794759238</v>
      </c>
      <c r="D649" s="107" t="s">
        <v>4359</v>
      </c>
      <c r="E649" s="107" t="b">
        <v>0</v>
      </c>
      <c r="F649" s="107" t="b">
        <v>0</v>
      </c>
      <c r="G649" s="107" t="b">
        <v>0</v>
      </c>
    </row>
    <row r="650" spans="1:7" ht="15">
      <c r="A650" s="87" t="s">
        <v>4152</v>
      </c>
      <c r="B650" s="107">
        <v>2</v>
      </c>
      <c r="C650" s="109">
        <v>0.0010226162794759238</v>
      </c>
      <c r="D650" s="107" t="s">
        <v>4359</v>
      </c>
      <c r="E650" s="107" t="b">
        <v>0</v>
      </c>
      <c r="F650" s="107" t="b">
        <v>0</v>
      </c>
      <c r="G650" s="107" t="b">
        <v>0</v>
      </c>
    </row>
    <row r="651" spans="1:7" ht="15">
      <c r="A651" s="87" t="s">
        <v>4153</v>
      </c>
      <c r="B651" s="107">
        <v>2</v>
      </c>
      <c r="C651" s="109">
        <v>0.0009094471081736752</v>
      </c>
      <c r="D651" s="107" t="s">
        <v>4359</v>
      </c>
      <c r="E651" s="107" t="b">
        <v>0</v>
      </c>
      <c r="F651" s="107" t="b">
        <v>0</v>
      </c>
      <c r="G651" s="107" t="b">
        <v>0</v>
      </c>
    </row>
    <row r="652" spans="1:7" ht="15">
      <c r="A652" s="87" t="s">
        <v>4154</v>
      </c>
      <c r="B652" s="107">
        <v>2</v>
      </c>
      <c r="C652" s="109">
        <v>0.0009094471081736752</v>
      </c>
      <c r="D652" s="107" t="s">
        <v>4359</v>
      </c>
      <c r="E652" s="107" t="b">
        <v>0</v>
      </c>
      <c r="F652" s="107" t="b">
        <v>0</v>
      </c>
      <c r="G652" s="107" t="b">
        <v>0</v>
      </c>
    </row>
    <row r="653" spans="1:7" ht="15">
      <c r="A653" s="87" t="s">
        <v>4155</v>
      </c>
      <c r="B653" s="107">
        <v>2</v>
      </c>
      <c r="C653" s="109">
        <v>0.0009094471081736752</v>
      </c>
      <c r="D653" s="107" t="s">
        <v>4359</v>
      </c>
      <c r="E653" s="107" t="b">
        <v>0</v>
      </c>
      <c r="F653" s="107" t="b">
        <v>0</v>
      </c>
      <c r="G653" s="107" t="b">
        <v>0</v>
      </c>
    </row>
    <row r="654" spans="1:7" ht="15">
      <c r="A654" s="87" t="s">
        <v>4156</v>
      </c>
      <c r="B654" s="107">
        <v>2</v>
      </c>
      <c r="C654" s="109">
        <v>0.0009094471081736752</v>
      </c>
      <c r="D654" s="107" t="s">
        <v>4359</v>
      </c>
      <c r="E654" s="107" t="b">
        <v>0</v>
      </c>
      <c r="F654" s="107" t="b">
        <v>0</v>
      </c>
      <c r="G654" s="107" t="b">
        <v>0</v>
      </c>
    </row>
    <row r="655" spans="1:7" ht="15">
      <c r="A655" s="87" t="s">
        <v>4157</v>
      </c>
      <c r="B655" s="107">
        <v>2</v>
      </c>
      <c r="C655" s="109">
        <v>0.0009094471081736752</v>
      </c>
      <c r="D655" s="107" t="s">
        <v>4359</v>
      </c>
      <c r="E655" s="107" t="b">
        <v>0</v>
      </c>
      <c r="F655" s="107" t="b">
        <v>1</v>
      </c>
      <c r="G655" s="107" t="b">
        <v>0</v>
      </c>
    </row>
    <row r="656" spans="1:7" ht="15">
      <c r="A656" s="87" t="s">
        <v>4158</v>
      </c>
      <c r="B656" s="107">
        <v>2</v>
      </c>
      <c r="C656" s="109">
        <v>0.0009094471081736752</v>
      </c>
      <c r="D656" s="107" t="s">
        <v>4359</v>
      </c>
      <c r="E656" s="107" t="b">
        <v>0</v>
      </c>
      <c r="F656" s="107" t="b">
        <v>0</v>
      </c>
      <c r="G656" s="107" t="b">
        <v>0</v>
      </c>
    </row>
    <row r="657" spans="1:7" ht="15">
      <c r="A657" s="87" t="s">
        <v>4159</v>
      </c>
      <c r="B657" s="107">
        <v>2</v>
      </c>
      <c r="C657" s="109">
        <v>0.0010226162794759238</v>
      </c>
      <c r="D657" s="107" t="s">
        <v>4359</v>
      </c>
      <c r="E657" s="107" t="b">
        <v>0</v>
      </c>
      <c r="F657" s="107" t="b">
        <v>0</v>
      </c>
      <c r="G657" s="107" t="b">
        <v>0</v>
      </c>
    </row>
    <row r="658" spans="1:7" ht="15">
      <c r="A658" s="87" t="s">
        <v>4160</v>
      </c>
      <c r="B658" s="107">
        <v>2</v>
      </c>
      <c r="C658" s="109">
        <v>0.0009094471081736752</v>
      </c>
      <c r="D658" s="107" t="s">
        <v>4359</v>
      </c>
      <c r="E658" s="107" t="b">
        <v>0</v>
      </c>
      <c r="F658" s="107" t="b">
        <v>0</v>
      </c>
      <c r="G658" s="107" t="b">
        <v>0</v>
      </c>
    </row>
    <row r="659" spans="1:7" ht="15">
      <c r="A659" s="87" t="s">
        <v>4161</v>
      </c>
      <c r="B659" s="107">
        <v>2</v>
      </c>
      <c r="C659" s="109">
        <v>0.0009094471081736752</v>
      </c>
      <c r="D659" s="107" t="s">
        <v>4359</v>
      </c>
      <c r="E659" s="107" t="b">
        <v>0</v>
      </c>
      <c r="F659" s="107" t="b">
        <v>0</v>
      </c>
      <c r="G659" s="107" t="b">
        <v>0</v>
      </c>
    </row>
    <row r="660" spans="1:7" ht="15">
      <c r="A660" s="87" t="s">
        <v>4162</v>
      </c>
      <c r="B660" s="107">
        <v>2</v>
      </c>
      <c r="C660" s="109">
        <v>0.0009094471081736752</v>
      </c>
      <c r="D660" s="107" t="s">
        <v>4359</v>
      </c>
      <c r="E660" s="107" t="b">
        <v>0</v>
      </c>
      <c r="F660" s="107" t="b">
        <v>0</v>
      </c>
      <c r="G660" s="107" t="b">
        <v>0</v>
      </c>
    </row>
    <row r="661" spans="1:7" ht="15">
      <c r="A661" s="87" t="s">
        <v>4163</v>
      </c>
      <c r="B661" s="107">
        <v>2</v>
      </c>
      <c r="C661" s="109">
        <v>0.0009094471081736752</v>
      </c>
      <c r="D661" s="107" t="s">
        <v>4359</v>
      </c>
      <c r="E661" s="107" t="b">
        <v>0</v>
      </c>
      <c r="F661" s="107" t="b">
        <v>0</v>
      </c>
      <c r="G661" s="107" t="b">
        <v>0</v>
      </c>
    </row>
    <row r="662" spans="1:7" ht="15">
      <c r="A662" s="87" t="s">
        <v>4164</v>
      </c>
      <c r="B662" s="107">
        <v>2</v>
      </c>
      <c r="C662" s="109">
        <v>0.0009094471081736752</v>
      </c>
      <c r="D662" s="107" t="s">
        <v>4359</v>
      </c>
      <c r="E662" s="107" t="b">
        <v>0</v>
      </c>
      <c r="F662" s="107" t="b">
        <v>0</v>
      </c>
      <c r="G662" s="107" t="b">
        <v>0</v>
      </c>
    </row>
    <row r="663" spans="1:7" ht="15">
      <c r="A663" s="87" t="s">
        <v>4165</v>
      </c>
      <c r="B663" s="107">
        <v>2</v>
      </c>
      <c r="C663" s="109">
        <v>0.0009094471081736752</v>
      </c>
      <c r="D663" s="107" t="s">
        <v>4359</v>
      </c>
      <c r="E663" s="107" t="b">
        <v>0</v>
      </c>
      <c r="F663" s="107" t="b">
        <v>0</v>
      </c>
      <c r="G663" s="107" t="b">
        <v>0</v>
      </c>
    </row>
    <row r="664" spans="1:7" ht="15">
      <c r="A664" s="87" t="s">
        <v>4166</v>
      </c>
      <c r="B664" s="107">
        <v>2</v>
      </c>
      <c r="C664" s="109">
        <v>0.0009094471081736752</v>
      </c>
      <c r="D664" s="107" t="s">
        <v>4359</v>
      </c>
      <c r="E664" s="107" t="b">
        <v>0</v>
      </c>
      <c r="F664" s="107" t="b">
        <v>0</v>
      </c>
      <c r="G664" s="107" t="b">
        <v>0</v>
      </c>
    </row>
    <row r="665" spans="1:7" ht="15">
      <c r="A665" s="87" t="s">
        <v>4167</v>
      </c>
      <c r="B665" s="107">
        <v>2</v>
      </c>
      <c r="C665" s="109">
        <v>0.0009094471081736752</v>
      </c>
      <c r="D665" s="107" t="s">
        <v>4359</v>
      </c>
      <c r="E665" s="107" t="b">
        <v>0</v>
      </c>
      <c r="F665" s="107" t="b">
        <v>0</v>
      </c>
      <c r="G665" s="107" t="b">
        <v>0</v>
      </c>
    </row>
    <row r="666" spans="1:7" ht="15">
      <c r="A666" s="87" t="s">
        <v>4168</v>
      </c>
      <c r="B666" s="107">
        <v>2</v>
      </c>
      <c r="C666" s="109">
        <v>0.0009094471081736752</v>
      </c>
      <c r="D666" s="107" t="s">
        <v>4359</v>
      </c>
      <c r="E666" s="107" t="b">
        <v>0</v>
      </c>
      <c r="F666" s="107" t="b">
        <v>0</v>
      </c>
      <c r="G666" s="107" t="b">
        <v>0</v>
      </c>
    </row>
    <row r="667" spans="1:7" ht="15">
      <c r="A667" s="87" t="s">
        <v>4169</v>
      </c>
      <c r="B667" s="107">
        <v>2</v>
      </c>
      <c r="C667" s="109">
        <v>0.0009094471081736752</v>
      </c>
      <c r="D667" s="107" t="s">
        <v>4359</v>
      </c>
      <c r="E667" s="107" t="b">
        <v>0</v>
      </c>
      <c r="F667" s="107" t="b">
        <v>0</v>
      </c>
      <c r="G667" s="107" t="b">
        <v>0</v>
      </c>
    </row>
    <row r="668" spans="1:7" ht="15">
      <c r="A668" s="87" t="s">
        <v>4170</v>
      </c>
      <c r="B668" s="107">
        <v>2</v>
      </c>
      <c r="C668" s="109">
        <v>0.0009094471081736752</v>
      </c>
      <c r="D668" s="107" t="s">
        <v>4359</v>
      </c>
      <c r="E668" s="107" t="b">
        <v>0</v>
      </c>
      <c r="F668" s="107" t="b">
        <v>0</v>
      </c>
      <c r="G668" s="107" t="b">
        <v>0</v>
      </c>
    </row>
    <row r="669" spans="1:7" ht="15">
      <c r="A669" s="87" t="s">
        <v>4171</v>
      </c>
      <c r="B669" s="107">
        <v>2</v>
      </c>
      <c r="C669" s="109">
        <v>0.0010226162794759238</v>
      </c>
      <c r="D669" s="107" t="s">
        <v>4359</v>
      </c>
      <c r="E669" s="107" t="b">
        <v>0</v>
      </c>
      <c r="F669" s="107" t="b">
        <v>0</v>
      </c>
      <c r="G669" s="107" t="b">
        <v>0</v>
      </c>
    </row>
    <row r="670" spans="1:7" ht="15">
      <c r="A670" s="87" t="s">
        <v>4172</v>
      </c>
      <c r="B670" s="107">
        <v>2</v>
      </c>
      <c r="C670" s="109">
        <v>0.0009094471081736752</v>
      </c>
      <c r="D670" s="107" t="s">
        <v>4359</v>
      </c>
      <c r="E670" s="107" t="b">
        <v>0</v>
      </c>
      <c r="F670" s="107" t="b">
        <v>0</v>
      </c>
      <c r="G670" s="107" t="b">
        <v>0</v>
      </c>
    </row>
    <row r="671" spans="1:7" ht="15">
      <c r="A671" s="87" t="s">
        <v>4173</v>
      </c>
      <c r="B671" s="107">
        <v>2</v>
      </c>
      <c r="C671" s="109">
        <v>0.0009094471081736752</v>
      </c>
      <c r="D671" s="107" t="s">
        <v>4359</v>
      </c>
      <c r="E671" s="107" t="b">
        <v>0</v>
      </c>
      <c r="F671" s="107" t="b">
        <v>0</v>
      </c>
      <c r="G671" s="107" t="b">
        <v>0</v>
      </c>
    </row>
    <row r="672" spans="1:7" ht="15">
      <c r="A672" s="87" t="s">
        <v>4174</v>
      </c>
      <c r="B672" s="107">
        <v>2</v>
      </c>
      <c r="C672" s="109">
        <v>0.0009094471081736752</v>
      </c>
      <c r="D672" s="107" t="s">
        <v>4359</v>
      </c>
      <c r="E672" s="107" t="b">
        <v>0</v>
      </c>
      <c r="F672" s="107" t="b">
        <v>1</v>
      </c>
      <c r="G672" s="107" t="b">
        <v>0</v>
      </c>
    </row>
    <row r="673" spans="1:7" ht="15">
      <c r="A673" s="87" t="s">
        <v>4175</v>
      </c>
      <c r="B673" s="107">
        <v>2</v>
      </c>
      <c r="C673" s="109">
        <v>0.0010226162794759238</v>
      </c>
      <c r="D673" s="107" t="s">
        <v>4359</v>
      </c>
      <c r="E673" s="107" t="b">
        <v>0</v>
      </c>
      <c r="F673" s="107" t="b">
        <v>0</v>
      </c>
      <c r="G673" s="107" t="b">
        <v>0</v>
      </c>
    </row>
    <row r="674" spans="1:7" ht="15">
      <c r="A674" s="87" t="s">
        <v>4176</v>
      </c>
      <c r="B674" s="107">
        <v>2</v>
      </c>
      <c r="C674" s="109">
        <v>0.0009094471081736752</v>
      </c>
      <c r="D674" s="107" t="s">
        <v>4359</v>
      </c>
      <c r="E674" s="107" t="b">
        <v>0</v>
      </c>
      <c r="F674" s="107" t="b">
        <v>1</v>
      </c>
      <c r="G674" s="107" t="b">
        <v>0</v>
      </c>
    </row>
    <row r="675" spans="1:7" ht="15">
      <c r="A675" s="87" t="s">
        <v>4177</v>
      </c>
      <c r="B675" s="107">
        <v>2</v>
      </c>
      <c r="C675" s="109">
        <v>0.0009094471081736752</v>
      </c>
      <c r="D675" s="107" t="s">
        <v>4359</v>
      </c>
      <c r="E675" s="107" t="b">
        <v>0</v>
      </c>
      <c r="F675" s="107" t="b">
        <v>0</v>
      </c>
      <c r="G675" s="107" t="b">
        <v>0</v>
      </c>
    </row>
    <row r="676" spans="1:7" ht="15">
      <c r="A676" s="87" t="s">
        <v>4178</v>
      </c>
      <c r="B676" s="107">
        <v>2</v>
      </c>
      <c r="C676" s="109">
        <v>0.0009094471081736752</v>
      </c>
      <c r="D676" s="107" t="s">
        <v>4359</v>
      </c>
      <c r="E676" s="107" t="b">
        <v>0</v>
      </c>
      <c r="F676" s="107" t="b">
        <v>0</v>
      </c>
      <c r="G676" s="107" t="b">
        <v>0</v>
      </c>
    </row>
    <row r="677" spans="1:7" ht="15">
      <c r="A677" s="87" t="s">
        <v>4179</v>
      </c>
      <c r="B677" s="107">
        <v>2</v>
      </c>
      <c r="C677" s="109">
        <v>0.0009094471081736752</v>
      </c>
      <c r="D677" s="107" t="s">
        <v>4359</v>
      </c>
      <c r="E677" s="107" t="b">
        <v>0</v>
      </c>
      <c r="F677" s="107" t="b">
        <v>0</v>
      </c>
      <c r="G677" s="107" t="b">
        <v>0</v>
      </c>
    </row>
    <row r="678" spans="1:7" ht="15">
      <c r="A678" s="87" t="s">
        <v>4180</v>
      </c>
      <c r="B678" s="107">
        <v>2</v>
      </c>
      <c r="C678" s="109">
        <v>0.0010226162794759238</v>
      </c>
      <c r="D678" s="107" t="s">
        <v>4359</v>
      </c>
      <c r="E678" s="107" t="b">
        <v>0</v>
      </c>
      <c r="F678" s="107" t="b">
        <v>0</v>
      </c>
      <c r="G678" s="107" t="b">
        <v>0</v>
      </c>
    </row>
    <row r="679" spans="1:7" ht="15">
      <c r="A679" s="87" t="s">
        <v>4181</v>
      </c>
      <c r="B679" s="107">
        <v>2</v>
      </c>
      <c r="C679" s="109">
        <v>0.0009094471081736752</v>
      </c>
      <c r="D679" s="107" t="s">
        <v>4359</v>
      </c>
      <c r="E679" s="107" t="b">
        <v>0</v>
      </c>
      <c r="F679" s="107" t="b">
        <v>0</v>
      </c>
      <c r="G679" s="107" t="b">
        <v>0</v>
      </c>
    </row>
    <row r="680" spans="1:7" ht="15">
      <c r="A680" s="87" t="s">
        <v>4182</v>
      </c>
      <c r="B680" s="107">
        <v>2</v>
      </c>
      <c r="C680" s="109">
        <v>0.0009094471081736752</v>
      </c>
      <c r="D680" s="107" t="s">
        <v>4359</v>
      </c>
      <c r="E680" s="107" t="b">
        <v>0</v>
      </c>
      <c r="F680" s="107" t="b">
        <v>0</v>
      </c>
      <c r="G680" s="107" t="b">
        <v>0</v>
      </c>
    </row>
    <row r="681" spans="1:7" ht="15">
      <c r="A681" s="87" t="s">
        <v>4183</v>
      </c>
      <c r="B681" s="107">
        <v>2</v>
      </c>
      <c r="C681" s="109">
        <v>0.0009094471081736752</v>
      </c>
      <c r="D681" s="107" t="s">
        <v>4359</v>
      </c>
      <c r="E681" s="107" t="b">
        <v>0</v>
      </c>
      <c r="F681" s="107" t="b">
        <v>0</v>
      </c>
      <c r="G681" s="107" t="b">
        <v>0</v>
      </c>
    </row>
    <row r="682" spans="1:7" ht="15">
      <c r="A682" s="87" t="s">
        <v>4184</v>
      </c>
      <c r="B682" s="107">
        <v>2</v>
      </c>
      <c r="C682" s="109">
        <v>0.0009094471081736752</v>
      </c>
      <c r="D682" s="107" t="s">
        <v>4359</v>
      </c>
      <c r="E682" s="107" t="b">
        <v>0</v>
      </c>
      <c r="F682" s="107" t="b">
        <v>0</v>
      </c>
      <c r="G682" s="107" t="b">
        <v>0</v>
      </c>
    </row>
    <row r="683" spans="1:7" ht="15">
      <c r="A683" s="87" t="s">
        <v>4185</v>
      </c>
      <c r="B683" s="107">
        <v>2</v>
      </c>
      <c r="C683" s="109">
        <v>0.0010226162794759238</v>
      </c>
      <c r="D683" s="107" t="s">
        <v>4359</v>
      </c>
      <c r="E683" s="107" t="b">
        <v>0</v>
      </c>
      <c r="F683" s="107" t="b">
        <v>0</v>
      </c>
      <c r="G683" s="107" t="b">
        <v>0</v>
      </c>
    </row>
    <row r="684" spans="1:7" ht="15">
      <c r="A684" s="87" t="s">
        <v>4186</v>
      </c>
      <c r="B684" s="107">
        <v>2</v>
      </c>
      <c r="C684" s="109">
        <v>0.0009094471081736752</v>
      </c>
      <c r="D684" s="107" t="s">
        <v>4359</v>
      </c>
      <c r="E684" s="107" t="b">
        <v>0</v>
      </c>
      <c r="F684" s="107" t="b">
        <v>0</v>
      </c>
      <c r="G684" s="107" t="b">
        <v>0</v>
      </c>
    </row>
    <row r="685" spans="1:7" ht="15">
      <c r="A685" s="87" t="s">
        <v>4187</v>
      </c>
      <c r="B685" s="107">
        <v>2</v>
      </c>
      <c r="C685" s="109">
        <v>0.0009094471081736752</v>
      </c>
      <c r="D685" s="107" t="s">
        <v>4359</v>
      </c>
      <c r="E685" s="107" t="b">
        <v>0</v>
      </c>
      <c r="F685" s="107" t="b">
        <v>0</v>
      </c>
      <c r="G685" s="107" t="b">
        <v>0</v>
      </c>
    </row>
    <row r="686" spans="1:7" ht="15">
      <c r="A686" s="87" t="s">
        <v>4188</v>
      </c>
      <c r="B686" s="107">
        <v>2</v>
      </c>
      <c r="C686" s="109">
        <v>0.0009094471081736752</v>
      </c>
      <c r="D686" s="107" t="s">
        <v>4359</v>
      </c>
      <c r="E686" s="107" t="b">
        <v>0</v>
      </c>
      <c r="F686" s="107" t="b">
        <v>1</v>
      </c>
      <c r="G686" s="107" t="b">
        <v>0</v>
      </c>
    </row>
    <row r="687" spans="1:7" ht="15">
      <c r="A687" s="87" t="s">
        <v>4189</v>
      </c>
      <c r="B687" s="107">
        <v>2</v>
      </c>
      <c r="C687" s="109">
        <v>0.0009094471081736752</v>
      </c>
      <c r="D687" s="107" t="s">
        <v>4359</v>
      </c>
      <c r="E687" s="107" t="b">
        <v>1</v>
      </c>
      <c r="F687" s="107" t="b">
        <v>0</v>
      </c>
      <c r="G687" s="107" t="b">
        <v>0</v>
      </c>
    </row>
    <row r="688" spans="1:7" ht="15">
      <c r="A688" s="87" t="s">
        <v>4190</v>
      </c>
      <c r="B688" s="107">
        <v>2</v>
      </c>
      <c r="C688" s="109">
        <v>0.0009094471081736752</v>
      </c>
      <c r="D688" s="107" t="s">
        <v>4359</v>
      </c>
      <c r="E688" s="107" t="b">
        <v>0</v>
      </c>
      <c r="F688" s="107" t="b">
        <v>0</v>
      </c>
      <c r="G688" s="107" t="b">
        <v>0</v>
      </c>
    </row>
    <row r="689" spans="1:7" ht="15">
      <c r="A689" s="87" t="s">
        <v>4191</v>
      </c>
      <c r="B689" s="107">
        <v>2</v>
      </c>
      <c r="C689" s="109">
        <v>0.0010226162794759238</v>
      </c>
      <c r="D689" s="107" t="s">
        <v>4359</v>
      </c>
      <c r="E689" s="107" t="b">
        <v>0</v>
      </c>
      <c r="F689" s="107" t="b">
        <v>0</v>
      </c>
      <c r="G689" s="107" t="b">
        <v>0</v>
      </c>
    </row>
    <row r="690" spans="1:7" ht="15">
      <c r="A690" s="87" t="s">
        <v>4192</v>
      </c>
      <c r="B690" s="107">
        <v>2</v>
      </c>
      <c r="C690" s="109">
        <v>0.0010226162794759238</v>
      </c>
      <c r="D690" s="107" t="s">
        <v>4359</v>
      </c>
      <c r="E690" s="107" t="b">
        <v>0</v>
      </c>
      <c r="F690" s="107" t="b">
        <v>0</v>
      </c>
      <c r="G690" s="107" t="b">
        <v>0</v>
      </c>
    </row>
    <row r="691" spans="1:7" ht="15">
      <c r="A691" s="87" t="s">
        <v>4193</v>
      </c>
      <c r="B691" s="107">
        <v>2</v>
      </c>
      <c r="C691" s="109">
        <v>0.0009094471081736752</v>
      </c>
      <c r="D691" s="107" t="s">
        <v>4359</v>
      </c>
      <c r="E691" s="107" t="b">
        <v>1</v>
      </c>
      <c r="F691" s="107" t="b">
        <v>0</v>
      </c>
      <c r="G691" s="107" t="b">
        <v>0</v>
      </c>
    </row>
    <row r="692" spans="1:7" ht="15">
      <c r="A692" s="87" t="s">
        <v>4194</v>
      </c>
      <c r="B692" s="107">
        <v>2</v>
      </c>
      <c r="C692" s="109">
        <v>0.0010226162794759238</v>
      </c>
      <c r="D692" s="107" t="s">
        <v>4359</v>
      </c>
      <c r="E692" s="107" t="b">
        <v>0</v>
      </c>
      <c r="F692" s="107" t="b">
        <v>0</v>
      </c>
      <c r="G692" s="107" t="b">
        <v>0</v>
      </c>
    </row>
    <row r="693" spans="1:7" ht="15">
      <c r="A693" s="87" t="s">
        <v>4195</v>
      </c>
      <c r="B693" s="107">
        <v>2</v>
      </c>
      <c r="C693" s="109">
        <v>0.0010226162794759238</v>
      </c>
      <c r="D693" s="107" t="s">
        <v>4359</v>
      </c>
      <c r="E693" s="107" t="b">
        <v>0</v>
      </c>
      <c r="F693" s="107" t="b">
        <v>0</v>
      </c>
      <c r="G693" s="107" t="b">
        <v>0</v>
      </c>
    </row>
    <row r="694" spans="1:7" ht="15">
      <c r="A694" s="87" t="s">
        <v>4196</v>
      </c>
      <c r="B694" s="107">
        <v>2</v>
      </c>
      <c r="C694" s="109">
        <v>0.0009094471081736752</v>
      </c>
      <c r="D694" s="107" t="s">
        <v>4359</v>
      </c>
      <c r="E694" s="107" t="b">
        <v>1</v>
      </c>
      <c r="F694" s="107" t="b">
        <v>0</v>
      </c>
      <c r="G694" s="107" t="b">
        <v>0</v>
      </c>
    </row>
    <row r="695" spans="1:7" ht="15">
      <c r="A695" s="87" t="s">
        <v>4197</v>
      </c>
      <c r="B695" s="107">
        <v>2</v>
      </c>
      <c r="C695" s="109">
        <v>0.0009094471081736752</v>
      </c>
      <c r="D695" s="107" t="s">
        <v>4359</v>
      </c>
      <c r="E695" s="107" t="b">
        <v>1</v>
      </c>
      <c r="F695" s="107" t="b">
        <v>0</v>
      </c>
      <c r="G695" s="107" t="b">
        <v>0</v>
      </c>
    </row>
    <row r="696" spans="1:7" ht="15">
      <c r="A696" s="87" t="s">
        <v>4198</v>
      </c>
      <c r="B696" s="107">
        <v>2</v>
      </c>
      <c r="C696" s="109">
        <v>0.0009094471081736752</v>
      </c>
      <c r="D696" s="107" t="s">
        <v>4359</v>
      </c>
      <c r="E696" s="107" t="b">
        <v>0</v>
      </c>
      <c r="F696" s="107" t="b">
        <v>0</v>
      </c>
      <c r="G696" s="107" t="b">
        <v>0</v>
      </c>
    </row>
    <row r="697" spans="1:7" ht="15">
      <c r="A697" s="87" t="s">
        <v>4199</v>
      </c>
      <c r="B697" s="107">
        <v>2</v>
      </c>
      <c r="C697" s="109">
        <v>0.0009094471081736752</v>
      </c>
      <c r="D697" s="107" t="s">
        <v>4359</v>
      </c>
      <c r="E697" s="107" t="b">
        <v>0</v>
      </c>
      <c r="F697" s="107" t="b">
        <v>0</v>
      </c>
      <c r="G697" s="107" t="b">
        <v>0</v>
      </c>
    </row>
    <row r="698" spans="1:7" ht="15">
      <c r="A698" s="87" t="s">
        <v>4200</v>
      </c>
      <c r="B698" s="107">
        <v>2</v>
      </c>
      <c r="C698" s="109">
        <v>0.0009094471081736752</v>
      </c>
      <c r="D698" s="107" t="s">
        <v>4359</v>
      </c>
      <c r="E698" s="107" t="b">
        <v>0</v>
      </c>
      <c r="F698" s="107" t="b">
        <v>0</v>
      </c>
      <c r="G698" s="107" t="b">
        <v>0</v>
      </c>
    </row>
    <row r="699" spans="1:7" ht="15">
      <c r="A699" s="87" t="s">
        <v>4201</v>
      </c>
      <c r="B699" s="107">
        <v>2</v>
      </c>
      <c r="C699" s="109">
        <v>0.0009094471081736752</v>
      </c>
      <c r="D699" s="107" t="s">
        <v>4359</v>
      </c>
      <c r="E699" s="107" t="b">
        <v>0</v>
      </c>
      <c r="F699" s="107" t="b">
        <v>0</v>
      </c>
      <c r="G699" s="107" t="b">
        <v>0</v>
      </c>
    </row>
    <row r="700" spans="1:7" ht="15">
      <c r="A700" s="87" t="s">
        <v>4202</v>
      </c>
      <c r="B700" s="107">
        <v>2</v>
      </c>
      <c r="C700" s="109">
        <v>0.0010226162794759238</v>
      </c>
      <c r="D700" s="107" t="s">
        <v>4359</v>
      </c>
      <c r="E700" s="107" t="b">
        <v>0</v>
      </c>
      <c r="F700" s="107" t="b">
        <v>0</v>
      </c>
      <c r="G700" s="107" t="b">
        <v>0</v>
      </c>
    </row>
    <row r="701" spans="1:7" ht="15">
      <c r="A701" s="87" t="s">
        <v>4203</v>
      </c>
      <c r="B701" s="107">
        <v>2</v>
      </c>
      <c r="C701" s="109">
        <v>0.0009094471081736752</v>
      </c>
      <c r="D701" s="107" t="s">
        <v>4359</v>
      </c>
      <c r="E701" s="107" t="b">
        <v>0</v>
      </c>
      <c r="F701" s="107" t="b">
        <v>0</v>
      </c>
      <c r="G701" s="107" t="b">
        <v>0</v>
      </c>
    </row>
    <row r="702" spans="1:7" ht="15">
      <c r="A702" s="87" t="s">
        <v>4204</v>
      </c>
      <c r="B702" s="107">
        <v>2</v>
      </c>
      <c r="C702" s="109">
        <v>0.0009094471081736752</v>
      </c>
      <c r="D702" s="107" t="s">
        <v>4359</v>
      </c>
      <c r="E702" s="107" t="b">
        <v>0</v>
      </c>
      <c r="F702" s="107" t="b">
        <v>0</v>
      </c>
      <c r="G702" s="107" t="b">
        <v>0</v>
      </c>
    </row>
    <row r="703" spans="1:7" ht="15">
      <c r="A703" s="87" t="s">
        <v>4205</v>
      </c>
      <c r="B703" s="107">
        <v>2</v>
      </c>
      <c r="C703" s="109">
        <v>0.0009094471081736752</v>
      </c>
      <c r="D703" s="107" t="s">
        <v>4359</v>
      </c>
      <c r="E703" s="107" t="b">
        <v>0</v>
      </c>
      <c r="F703" s="107" t="b">
        <v>0</v>
      </c>
      <c r="G703" s="107" t="b">
        <v>0</v>
      </c>
    </row>
    <row r="704" spans="1:7" ht="15">
      <c r="A704" s="87" t="s">
        <v>4206</v>
      </c>
      <c r="B704" s="107">
        <v>2</v>
      </c>
      <c r="C704" s="109">
        <v>0.0009094471081736752</v>
      </c>
      <c r="D704" s="107" t="s">
        <v>4359</v>
      </c>
      <c r="E704" s="107" t="b">
        <v>0</v>
      </c>
      <c r="F704" s="107" t="b">
        <v>1</v>
      </c>
      <c r="G704" s="107" t="b">
        <v>0</v>
      </c>
    </row>
    <row r="705" spans="1:7" ht="15">
      <c r="A705" s="87" t="s">
        <v>4207</v>
      </c>
      <c r="B705" s="107">
        <v>2</v>
      </c>
      <c r="C705" s="109">
        <v>0.0010226162794759238</v>
      </c>
      <c r="D705" s="107" t="s">
        <v>4359</v>
      </c>
      <c r="E705" s="107" t="b">
        <v>0</v>
      </c>
      <c r="F705" s="107" t="b">
        <v>0</v>
      </c>
      <c r="G705" s="107" t="b">
        <v>0</v>
      </c>
    </row>
    <row r="706" spans="1:7" ht="15">
      <c r="A706" s="87" t="s">
        <v>4208</v>
      </c>
      <c r="B706" s="107">
        <v>2</v>
      </c>
      <c r="C706" s="109">
        <v>0.0010226162794759238</v>
      </c>
      <c r="D706" s="107" t="s">
        <v>4359</v>
      </c>
      <c r="E706" s="107" t="b">
        <v>0</v>
      </c>
      <c r="F706" s="107" t="b">
        <v>0</v>
      </c>
      <c r="G706" s="107" t="b">
        <v>0</v>
      </c>
    </row>
    <row r="707" spans="1:7" ht="15">
      <c r="A707" s="87" t="s">
        <v>4209</v>
      </c>
      <c r="B707" s="107">
        <v>2</v>
      </c>
      <c r="C707" s="109">
        <v>0.0009094471081736752</v>
      </c>
      <c r="D707" s="107" t="s">
        <v>4359</v>
      </c>
      <c r="E707" s="107" t="b">
        <v>0</v>
      </c>
      <c r="F707" s="107" t="b">
        <v>0</v>
      </c>
      <c r="G707" s="107" t="b">
        <v>0</v>
      </c>
    </row>
    <row r="708" spans="1:7" ht="15">
      <c r="A708" s="87" t="s">
        <v>4210</v>
      </c>
      <c r="B708" s="107">
        <v>2</v>
      </c>
      <c r="C708" s="109">
        <v>0.0010226162794759238</v>
      </c>
      <c r="D708" s="107" t="s">
        <v>4359</v>
      </c>
      <c r="E708" s="107" t="b">
        <v>0</v>
      </c>
      <c r="F708" s="107" t="b">
        <v>0</v>
      </c>
      <c r="G708" s="107" t="b">
        <v>0</v>
      </c>
    </row>
    <row r="709" spans="1:7" ht="15">
      <c r="A709" s="87" t="s">
        <v>4211</v>
      </c>
      <c r="B709" s="107">
        <v>2</v>
      </c>
      <c r="C709" s="109">
        <v>0.0009094471081736752</v>
      </c>
      <c r="D709" s="107" t="s">
        <v>4359</v>
      </c>
      <c r="E709" s="107" t="b">
        <v>0</v>
      </c>
      <c r="F709" s="107" t="b">
        <v>1</v>
      </c>
      <c r="G709" s="107" t="b">
        <v>0</v>
      </c>
    </row>
    <row r="710" spans="1:7" ht="15">
      <c r="A710" s="87" t="s">
        <v>4212</v>
      </c>
      <c r="B710" s="107">
        <v>2</v>
      </c>
      <c r="C710" s="109">
        <v>0.0010226162794759238</v>
      </c>
      <c r="D710" s="107" t="s">
        <v>4359</v>
      </c>
      <c r="E710" s="107" t="b">
        <v>0</v>
      </c>
      <c r="F710" s="107" t="b">
        <v>1</v>
      </c>
      <c r="G710" s="107" t="b">
        <v>0</v>
      </c>
    </row>
    <row r="711" spans="1:7" ht="15">
      <c r="A711" s="87" t="s">
        <v>4213</v>
      </c>
      <c r="B711" s="107">
        <v>2</v>
      </c>
      <c r="C711" s="109">
        <v>0.0009094471081736752</v>
      </c>
      <c r="D711" s="107" t="s">
        <v>4359</v>
      </c>
      <c r="E711" s="107" t="b">
        <v>0</v>
      </c>
      <c r="F711" s="107" t="b">
        <v>0</v>
      </c>
      <c r="G711" s="107" t="b">
        <v>0</v>
      </c>
    </row>
    <row r="712" spans="1:7" ht="15">
      <c r="A712" s="87" t="s">
        <v>4214</v>
      </c>
      <c r="B712" s="107">
        <v>2</v>
      </c>
      <c r="C712" s="109">
        <v>0.0009094471081736752</v>
      </c>
      <c r="D712" s="107" t="s">
        <v>4359</v>
      </c>
      <c r="E712" s="107" t="b">
        <v>0</v>
      </c>
      <c r="F712" s="107" t="b">
        <v>0</v>
      </c>
      <c r="G712" s="107" t="b">
        <v>0</v>
      </c>
    </row>
    <row r="713" spans="1:7" ht="15">
      <c r="A713" s="87" t="s">
        <v>4215</v>
      </c>
      <c r="B713" s="107">
        <v>2</v>
      </c>
      <c r="C713" s="109">
        <v>0.0010226162794759238</v>
      </c>
      <c r="D713" s="107" t="s">
        <v>4359</v>
      </c>
      <c r="E713" s="107" t="b">
        <v>0</v>
      </c>
      <c r="F713" s="107" t="b">
        <v>0</v>
      </c>
      <c r="G713" s="107" t="b">
        <v>0</v>
      </c>
    </row>
    <row r="714" spans="1:7" ht="15">
      <c r="A714" s="87" t="s">
        <v>4216</v>
      </c>
      <c r="B714" s="107">
        <v>2</v>
      </c>
      <c r="C714" s="109">
        <v>0.0009094471081736752</v>
      </c>
      <c r="D714" s="107" t="s">
        <v>4359</v>
      </c>
      <c r="E714" s="107" t="b">
        <v>0</v>
      </c>
      <c r="F714" s="107" t="b">
        <v>0</v>
      </c>
      <c r="G714" s="107" t="b">
        <v>0</v>
      </c>
    </row>
    <row r="715" spans="1:7" ht="15">
      <c r="A715" s="87" t="s">
        <v>4217</v>
      </c>
      <c r="B715" s="107">
        <v>2</v>
      </c>
      <c r="C715" s="109">
        <v>0.0009094471081736752</v>
      </c>
      <c r="D715" s="107" t="s">
        <v>4359</v>
      </c>
      <c r="E715" s="107" t="b">
        <v>0</v>
      </c>
      <c r="F715" s="107" t="b">
        <v>0</v>
      </c>
      <c r="G715" s="107" t="b">
        <v>0</v>
      </c>
    </row>
    <row r="716" spans="1:7" ht="15">
      <c r="A716" s="87" t="s">
        <v>4218</v>
      </c>
      <c r="B716" s="107">
        <v>2</v>
      </c>
      <c r="C716" s="109">
        <v>0.0009094471081736752</v>
      </c>
      <c r="D716" s="107" t="s">
        <v>4359</v>
      </c>
      <c r="E716" s="107" t="b">
        <v>0</v>
      </c>
      <c r="F716" s="107" t="b">
        <v>1</v>
      </c>
      <c r="G716" s="107" t="b">
        <v>0</v>
      </c>
    </row>
    <row r="717" spans="1:7" ht="15">
      <c r="A717" s="87" t="s">
        <v>4219</v>
      </c>
      <c r="B717" s="107">
        <v>2</v>
      </c>
      <c r="C717" s="109">
        <v>0.0009094471081736752</v>
      </c>
      <c r="D717" s="107" t="s">
        <v>4359</v>
      </c>
      <c r="E717" s="107" t="b">
        <v>0</v>
      </c>
      <c r="F717" s="107" t="b">
        <v>0</v>
      </c>
      <c r="G717" s="107" t="b">
        <v>0</v>
      </c>
    </row>
    <row r="718" spans="1:7" ht="15">
      <c r="A718" s="87" t="s">
        <v>4220</v>
      </c>
      <c r="B718" s="107">
        <v>2</v>
      </c>
      <c r="C718" s="109">
        <v>0.0009094471081736752</v>
      </c>
      <c r="D718" s="107" t="s">
        <v>4359</v>
      </c>
      <c r="E718" s="107" t="b">
        <v>0</v>
      </c>
      <c r="F718" s="107" t="b">
        <v>0</v>
      </c>
      <c r="G718" s="107" t="b">
        <v>0</v>
      </c>
    </row>
    <row r="719" spans="1:7" ht="15">
      <c r="A719" s="87" t="s">
        <v>4221</v>
      </c>
      <c r="B719" s="107">
        <v>2</v>
      </c>
      <c r="C719" s="109">
        <v>0.0010226162794759238</v>
      </c>
      <c r="D719" s="107" t="s">
        <v>4359</v>
      </c>
      <c r="E719" s="107" t="b">
        <v>0</v>
      </c>
      <c r="F719" s="107" t="b">
        <v>0</v>
      </c>
      <c r="G719" s="107" t="b">
        <v>0</v>
      </c>
    </row>
    <row r="720" spans="1:7" ht="15">
      <c r="A720" s="87" t="s">
        <v>4222</v>
      </c>
      <c r="B720" s="107">
        <v>2</v>
      </c>
      <c r="C720" s="109">
        <v>0.0009094471081736752</v>
      </c>
      <c r="D720" s="107" t="s">
        <v>4359</v>
      </c>
      <c r="E720" s="107" t="b">
        <v>0</v>
      </c>
      <c r="F720" s="107" t="b">
        <v>0</v>
      </c>
      <c r="G720" s="107" t="b">
        <v>0</v>
      </c>
    </row>
    <row r="721" spans="1:7" ht="15">
      <c r="A721" s="87" t="s">
        <v>4223</v>
      </c>
      <c r="B721" s="107">
        <v>2</v>
      </c>
      <c r="C721" s="109">
        <v>0.0009094471081736752</v>
      </c>
      <c r="D721" s="107" t="s">
        <v>4359</v>
      </c>
      <c r="E721" s="107" t="b">
        <v>0</v>
      </c>
      <c r="F721" s="107" t="b">
        <v>0</v>
      </c>
      <c r="G721" s="107" t="b">
        <v>0</v>
      </c>
    </row>
    <row r="722" spans="1:7" ht="15">
      <c r="A722" s="87" t="s">
        <v>4224</v>
      </c>
      <c r="B722" s="107">
        <v>2</v>
      </c>
      <c r="C722" s="109">
        <v>0.0009094471081736752</v>
      </c>
      <c r="D722" s="107" t="s">
        <v>4359</v>
      </c>
      <c r="E722" s="107" t="b">
        <v>0</v>
      </c>
      <c r="F722" s="107" t="b">
        <v>0</v>
      </c>
      <c r="G722" s="107" t="b">
        <v>0</v>
      </c>
    </row>
    <row r="723" spans="1:7" ht="15">
      <c r="A723" s="87" t="s">
        <v>4225</v>
      </c>
      <c r="B723" s="107">
        <v>2</v>
      </c>
      <c r="C723" s="109">
        <v>0.0009094471081736752</v>
      </c>
      <c r="D723" s="107" t="s">
        <v>4359</v>
      </c>
      <c r="E723" s="107" t="b">
        <v>0</v>
      </c>
      <c r="F723" s="107" t="b">
        <v>1</v>
      </c>
      <c r="G723" s="107" t="b">
        <v>0</v>
      </c>
    </row>
    <row r="724" spans="1:7" ht="15">
      <c r="A724" s="87" t="s">
        <v>4226</v>
      </c>
      <c r="B724" s="107">
        <v>2</v>
      </c>
      <c r="C724" s="109">
        <v>0.0009094471081736752</v>
      </c>
      <c r="D724" s="107" t="s">
        <v>4359</v>
      </c>
      <c r="E724" s="107" t="b">
        <v>0</v>
      </c>
      <c r="F724" s="107" t="b">
        <v>0</v>
      </c>
      <c r="G724" s="107" t="b">
        <v>0</v>
      </c>
    </row>
    <row r="725" spans="1:7" ht="15">
      <c r="A725" s="87" t="s">
        <v>4227</v>
      </c>
      <c r="B725" s="107">
        <v>2</v>
      </c>
      <c r="C725" s="109">
        <v>0.0009094471081736752</v>
      </c>
      <c r="D725" s="107" t="s">
        <v>4359</v>
      </c>
      <c r="E725" s="107" t="b">
        <v>0</v>
      </c>
      <c r="F725" s="107" t="b">
        <v>0</v>
      </c>
      <c r="G725" s="107" t="b">
        <v>0</v>
      </c>
    </row>
    <row r="726" spans="1:7" ht="15">
      <c r="A726" s="87" t="s">
        <v>4228</v>
      </c>
      <c r="B726" s="107">
        <v>2</v>
      </c>
      <c r="C726" s="109">
        <v>0.0009094471081736752</v>
      </c>
      <c r="D726" s="107" t="s">
        <v>4359</v>
      </c>
      <c r="E726" s="107" t="b">
        <v>0</v>
      </c>
      <c r="F726" s="107" t="b">
        <v>0</v>
      </c>
      <c r="G726" s="107" t="b">
        <v>0</v>
      </c>
    </row>
    <row r="727" spans="1:7" ht="15">
      <c r="A727" s="87" t="s">
        <v>4229</v>
      </c>
      <c r="B727" s="107">
        <v>2</v>
      </c>
      <c r="C727" s="109">
        <v>0.0009094471081736752</v>
      </c>
      <c r="D727" s="107" t="s">
        <v>4359</v>
      </c>
      <c r="E727" s="107" t="b">
        <v>0</v>
      </c>
      <c r="F727" s="107" t="b">
        <v>0</v>
      </c>
      <c r="G727" s="107" t="b">
        <v>0</v>
      </c>
    </row>
    <row r="728" spans="1:7" ht="15">
      <c r="A728" s="87" t="s">
        <v>4230</v>
      </c>
      <c r="B728" s="107">
        <v>2</v>
      </c>
      <c r="C728" s="109">
        <v>0.0009094471081736752</v>
      </c>
      <c r="D728" s="107" t="s">
        <v>4359</v>
      </c>
      <c r="E728" s="107" t="b">
        <v>0</v>
      </c>
      <c r="F728" s="107" t="b">
        <v>1</v>
      </c>
      <c r="G728" s="107" t="b">
        <v>0</v>
      </c>
    </row>
    <row r="729" spans="1:7" ht="15">
      <c r="A729" s="87" t="s">
        <v>4231</v>
      </c>
      <c r="B729" s="107">
        <v>2</v>
      </c>
      <c r="C729" s="109">
        <v>0.0009094471081736752</v>
      </c>
      <c r="D729" s="107" t="s">
        <v>4359</v>
      </c>
      <c r="E729" s="107" t="b">
        <v>0</v>
      </c>
      <c r="F729" s="107" t="b">
        <v>0</v>
      </c>
      <c r="G729" s="107" t="b">
        <v>0</v>
      </c>
    </row>
    <row r="730" spans="1:7" ht="15">
      <c r="A730" s="87" t="s">
        <v>4232</v>
      </c>
      <c r="B730" s="107">
        <v>2</v>
      </c>
      <c r="C730" s="109">
        <v>0.0009094471081736752</v>
      </c>
      <c r="D730" s="107" t="s">
        <v>4359</v>
      </c>
      <c r="E730" s="107" t="b">
        <v>0</v>
      </c>
      <c r="F730" s="107" t="b">
        <v>0</v>
      </c>
      <c r="G730" s="107" t="b">
        <v>0</v>
      </c>
    </row>
    <row r="731" spans="1:7" ht="15">
      <c r="A731" s="87" t="s">
        <v>4233</v>
      </c>
      <c r="B731" s="107">
        <v>2</v>
      </c>
      <c r="C731" s="109">
        <v>0.0009094471081736752</v>
      </c>
      <c r="D731" s="107" t="s">
        <v>4359</v>
      </c>
      <c r="E731" s="107" t="b">
        <v>0</v>
      </c>
      <c r="F731" s="107" t="b">
        <v>1</v>
      </c>
      <c r="G731" s="107" t="b">
        <v>0</v>
      </c>
    </row>
    <row r="732" spans="1:7" ht="15">
      <c r="A732" s="87" t="s">
        <v>4234</v>
      </c>
      <c r="B732" s="107">
        <v>2</v>
      </c>
      <c r="C732" s="109">
        <v>0.0010226162794759238</v>
      </c>
      <c r="D732" s="107" t="s">
        <v>4359</v>
      </c>
      <c r="E732" s="107" t="b">
        <v>0</v>
      </c>
      <c r="F732" s="107" t="b">
        <v>0</v>
      </c>
      <c r="G732" s="107" t="b">
        <v>0</v>
      </c>
    </row>
    <row r="733" spans="1:7" ht="15">
      <c r="A733" s="87" t="s">
        <v>4235</v>
      </c>
      <c r="B733" s="107">
        <v>2</v>
      </c>
      <c r="C733" s="109">
        <v>0.0009094471081736752</v>
      </c>
      <c r="D733" s="107" t="s">
        <v>4359</v>
      </c>
      <c r="E733" s="107" t="b">
        <v>0</v>
      </c>
      <c r="F733" s="107" t="b">
        <v>0</v>
      </c>
      <c r="G733" s="107" t="b">
        <v>0</v>
      </c>
    </row>
    <row r="734" spans="1:7" ht="15">
      <c r="A734" s="87" t="s">
        <v>4236</v>
      </c>
      <c r="B734" s="107">
        <v>2</v>
      </c>
      <c r="C734" s="109">
        <v>0.0009094471081736752</v>
      </c>
      <c r="D734" s="107" t="s">
        <v>4359</v>
      </c>
      <c r="E734" s="107" t="b">
        <v>0</v>
      </c>
      <c r="F734" s="107" t="b">
        <v>0</v>
      </c>
      <c r="G734" s="107" t="b">
        <v>0</v>
      </c>
    </row>
    <row r="735" spans="1:7" ht="15">
      <c r="A735" s="87" t="s">
        <v>4237</v>
      </c>
      <c r="B735" s="107">
        <v>2</v>
      </c>
      <c r="C735" s="109">
        <v>0.0009094471081736752</v>
      </c>
      <c r="D735" s="107" t="s">
        <v>4359</v>
      </c>
      <c r="E735" s="107" t="b">
        <v>0</v>
      </c>
      <c r="F735" s="107" t="b">
        <v>0</v>
      </c>
      <c r="G735" s="107" t="b">
        <v>0</v>
      </c>
    </row>
    <row r="736" spans="1:7" ht="15">
      <c r="A736" s="87" t="s">
        <v>4238</v>
      </c>
      <c r="B736" s="107">
        <v>2</v>
      </c>
      <c r="C736" s="109">
        <v>0.0009094471081736752</v>
      </c>
      <c r="D736" s="107" t="s">
        <v>4359</v>
      </c>
      <c r="E736" s="107" t="b">
        <v>1</v>
      </c>
      <c r="F736" s="107" t="b">
        <v>0</v>
      </c>
      <c r="G736" s="107" t="b">
        <v>0</v>
      </c>
    </row>
    <row r="737" spans="1:7" ht="15">
      <c r="A737" s="87" t="s">
        <v>4239</v>
      </c>
      <c r="B737" s="107">
        <v>2</v>
      </c>
      <c r="C737" s="109">
        <v>0.0009094471081736752</v>
      </c>
      <c r="D737" s="107" t="s">
        <v>4359</v>
      </c>
      <c r="E737" s="107" t="b">
        <v>0</v>
      </c>
      <c r="F737" s="107" t="b">
        <v>0</v>
      </c>
      <c r="G737" s="107" t="b">
        <v>0</v>
      </c>
    </row>
    <row r="738" spans="1:7" ht="15">
      <c r="A738" s="87" t="s">
        <v>4240</v>
      </c>
      <c r="B738" s="107">
        <v>2</v>
      </c>
      <c r="C738" s="109">
        <v>0.0009094471081736752</v>
      </c>
      <c r="D738" s="107" t="s">
        <v>4359</v>
      </c>
      <c r="E738" s="107" t="b">
        <v>0</v>
      </c>
      <c r="F738" s="107" t="b">
        <v>0</v>
      </c>
      <c r="G738" s="107" t="b">
        <v>0</v>
      </c>
    </row>
    <row r="739" spans="1:7" ht="15">
      <c r="A739" s="87" t="s">
        <v>4241</v>
      </c>
      <c r="B739" s="107">
        <v>2</v>
      </c>
      <c r="C739" s="109">
        <v>0.0010226162794759238</v>
      </c>
      <c r="D739" s="107" t="s">
        <v>4359</v>
      </c>
      <c r="E739" s="107" t="b">
        <v>0</v>
      </c>
      <c r="F739" s="107" t="b">
        <v>1</v>
      </c>
      <c r="G739" s="107" t="b">
        <v>0</v>
      </c>
    </row>
    <row r="740" spans="1:7" ht="15">
      <c r="A740" s="87" t="s">
        <v>4242</v>
      </c>
      <c r="B740" s="107">
        <v>2</v>
      </c>
      <c r="C740" s="109">
        <v>0.0009094471081736752</v>
      </c>
      <c r="D740" s="107" t="s">
        <v>4359</v>
      </c>
      <c r="E740" s="107" t="b">
        <v>0</v>
      </c>
      <c r="F740" s="107" t="b">
        <v>0</v>
      </c>
      <c r="G740" s="107" t="b">
        <v>0</v>
      </c>
    </row>
    <row r="741" spans="1:7" ht="15">
      <c r="A741" s="87" t="s">
        <v>4243</v>
      </c>
      <c r="B741" s="107">
        <v>2</v>
      </c>
      <c r="C741" s="109">
        <v>0.0009094471081736752</v>
      </c>
      <c r="D741" s="107" t="s">
        <v>4359</v>
      </c>
      <c r="E741" s="107" t="b">
        <v>0</v>
      </c>
      <c r="F741" s="107" t="b">
        <v>0</v>
      </c>
      <c r="G741" s="107" t="b">
        <v>0</v>
      </c>
    </row>
    <row r="742" spans="1:7" ht="15">
      <c r="A742" s="87" t="s">
        <v>4244</v>
      </c>
      <c r="B742" s="107">
        <v>2</v>
      </c>
      <c r="C742" s="109">
        <v>0.0009094471081736752</v>
      </c>
      <c r="D742" s="107" t="s">
        <v>4359</v>
      </c>
      <c r="E742" s="107" t="b">
        <v>0</v>
      </c>
      <c r="F742" s="107" t="b">
        <v>0</v>
      </c>
      <c r="G742" s="107" t="b">
        <v>0</v>
      </c>
    </row>
    <row r="743" spans="1:7" ht="15">
      <c r="A743" s="87" t="s">
        <v>4245</v>
      </c>
      <c r="B743" s="107">
        <v>2</v>
      </c>
      <c r="C743" s="109">
        <v>0.0010226162794759238</v>
      </c>
      <c r="D743" s="107" t="s">
        <v>4359</v>
      </c>
      <c r="E743" s="107" t="b">
        <v>0</v>
      </c>
      <c r="F743" s="107" t="b">
        <v>0</v>
      </c>
      <c r="G743" s="107" t="b">
        <v>0</v>
      </c>
    </row>
    <row r="744" spans="1:7" ht="15">
      <c r="A744" s="87" t="s">
        <v>4246</v>
      </c>
      <c r="B744" s="107">
        <v>2</v>
      </c>
      <c r="C744" s="109">
        <v>0.0009094471081736752</v>
      </c>
      <c r="D744" s="107" t="s">
        <v>4359</v>
      </c>
      <c r="E744" s="107" t="b">
        <v>0</v>
      </c>
      <c r="F744" s="107" t="b">
        <v>0</v>
      </c>
      <c r="G744" s="107" t="b">
        <v>0</v>
      </c>
    </row>
    <row r="745" spans="1:7" ht="15">
      <c r="A745" s="87" t="s">
        <v>4247</v>
      </c>
      <c r="B745" s="107">
        <v>2</v>
      </c>
      <c r="C745" s="109">
        <v>0.0009094471081736752</v>
      </c>
      <c r="D745" s="107" t="s">
        <v>4359</v>
      </c>
      <c r="E745" s="107" t="b">
        <v>0</v>
      </c>
      <c r="F745" s="107" t="b">
        <v>0</v>
      </c>
      <c r="G745" s="107" t="b">
        <v>0</v>
      </c>
    </row>
    <row r="746" spans="1:7" ht="15">
      <c r="A746" s="87" t="s">
        <v>4248</v>
      </c>
      <c r="B746" s="107">
        <v>2</v>
      </c>
      <c r="C746" s="109">
        <v>0.0009094471081736752</v>
      </c>
      <c r="D746" s="107" t="s">
        <v>4359</v>
      </c>
      <c r="E746" s="107" t="b">
        <v>0</v>
      </c>
      <c r="F746" s="107" t="b">
        <v>0</v>
      </c>
      <c r="G746" s="107" t="b">
        <v>0</v>
      </c>
    </row>
    <row r="747" spans="1:7" ht="15">
      <c r="A747" s="87" t="s">
        <v>4249</v>
      </c>
      <c r="B747" s="107">
        <v>2</v>
      </c>
      <c r="C747" s="109">
        <v>0.0009094471081736752</v>
      </c>
      <c r="D747" s="107" t="s">
        <v>4359</v>
      </c>
      <c r="E747" s="107" t="b">
        <v>0</v>
      </c>
      <c r="F747" s="107" t="b">
        <v>1</v>
      </c>
      <c r="G747" s="107" t="b">
        <v>0</v>
      </c>
    </row>
    <row r="748" spans="1:7" ht="15">
      <c r="A748" s="87" t="s">
        <v>4250</v>
      </c>
      <c r="B748" s="107">
        <v>2</v>
      </c>
      <c r="C748" s="109">
        <v>0.0010226162794759238</v>
      </c>
      <c r="D748" s="107" t="s">
        <v>4359</v>
      </c>
      <c r="E748" s="107" t="b">
        <v>0</v>
      </c>
      <c r="F748" s="107" t="b">
        <v>0</v>
      </c>
      <c r="G748" s="107" t="b">
        <v>0</v>
      </c>
    </row>
    <row r="749" spans="1:7" ht="15">
      <c r="A749" s="87" t="s">
        <v>4251</v>
      </c>
      <c r="B749" s="107">
        <v>2</v>
      </c>
      <c r="C749" s="109">
        <v>0.0009094471081736752</v>
      </c>
      <c r="D749" s="107" t="s">
        <v>4359</v>
      </c>
      <c r="E749" s="107" t="b">
        <v>0</v>
      </c>
      <c r="F749" s="107" t="b">
        <v>0</v>
      </c>
      <c r="G749" s="107" t="b">
        <v>0</v>
      </c>
    </row>
    <row r="750" spans="1:7" ht="15">
      <c r="A750" s="87" t="s">
        <v>4252</v>
      </c>
      <c r="B750" s="107">
        <v>2</v>
      </c>
      <c r="C750" s="109">
        <v>0.0009094471081736752</v>
      </c>
      <c r="D750" s="107" t="s">
        <v>4359</v>
      </c>
      <c r="E750" s="107" t="b">
        <v>0</v>
      </c>
      <c r="F750" s="107" t="b">
        <v>0</v>
      </c>
      <c r="G750" s="107" t="b">
        <v>0</v>
      </c>
    </row>
    <row r="751" spans="1:7" ht="15">
      <c r="A751" s="87" t="s">
        <v>4253</v>
      </c>
      <c r="B751" s="107">
        <v>2</v>
      </c>
      <c r="C751" s="109">
        <v>0.0009094471081736752</v>
      </c>
      <c r="D751" s="107" t="s">
        <v>4359</v>
      </c>
      <c r="E751" s="107" t="b">
        <v>0</v>
      </c>
      <c r="F751" s="107" t="b">
        <v>0</v>
      </c>
      <c r="G751" s="107" t="b">
        <v>0</v>
      </c>
    </row>
    <row r="752" spans="1:7" ht="15">
      <c r="A752" s="87" t="s">
        <v>4254</v>
      </c>
      <c r="B752" s="107">
        <v>2</v>
      </c>
      <c r="C752" s="109">
        <v>0.0010226162794759238</v>
      </c>
      <c r="D752" s="107" t="s">
        <v>4359</v>
      </c>
      <c r="E752" s="107" t="b">
        <v>0</v>
      </c>
      <c r="F752" s="107" t="b">
        <v>0</v>
      </c>
      <c r="G752" s="107" t="b">
        <v>0</v>
      </c>
    </row>
    <row r="753" spans="1:7" ht="15">
      <c r="A753" s="87" t="s">
        <v>4255</v>
      </c>
      <c r="B753" s="107">
        <v>2</v>
      </c>
      <c r="C753" s="109">
        <v>0.0009094471081736752</v>
      </c>
      <c r="D753" s="107" t="s">
        <v>4359</v>
      </c>
      <c r="E753" s="107" t="b">
        <v>0</v>
      </c>
      <c r="F753" s="107" t="b">
        <v>0</v>
      </c>
      <c r="G753" s="107" t="b">
        <v>0</v>
      </c>
    </row>
    <row r="754" spans="1:7" ht="15">
      <c r="A754" s="87" t="s">
        <v>4256</v>
      </c>
      <c r="B754" s="107">
        <v>2</v>
      </c>
      <c r="C754" s="109">
        <v>0.0009094471081736752</v>
      </c>
      <c r="D754" s="107" t="s">
        <v>4359</v>
      </c>
      <c r="E754" s="107" t="b">
        <v>0</v>
      </c>
      <c r="F754" s="107" t="b">
        <v>0</v>
      </c>
      <c r="G754" s="107" t="b">
        <v>0</v>
      </c>
    </row>
    <row r="755" spans="1:7" ht="15">
      <c r="A755" s="87" t="s">
        <v>4257</v>
      </c>
      <c r="B755" s="107">
        <v>2</v>
      </c>
      <c r="C755" s="109">
        <v>0.0009094471081736752</v>
      </c>
      <c r="D755" s="107" t="s">
        <v>4359</v>
      </c>
      <c r="E755" s="107" t="b">
        <v>0</v>
      </c>
      <c r="F755" s="107" t="b">
        <v>0</v>
      </c>
      <c r="G755" s="107" t="b">
        <v>0</v>
      </c>
    </row>
    <row r="756" spans="1:7" ht="15">
      <c r="A756" s="87" t="s">
        <v>4258</v>
      </c>
      <c r="B756" s="107">
        <v>2</v>
      </c>
      <c r="C756" s="109">
        <v>0.0010226162794759238</v>
      </c>
      <c r="D756" s="107" t="s">
        <v>4359</v>
      </c>
      <c r="E756" s="107" t="b">
        <v>0</v>
      </c>
      <c r="F756" s="107" t="b">
        <v>0</v>
      </c>
      <c r="G756" s="107" t="b">
        <v>0</v>
      </c>
    </row>
    <row r="757" spans="1:7" ht="15">
      <c r="A757" s="87" t="s">
        <v>4259</v>
      </c>
      <c r="B757" s="107">
        <v>2</v>
      </c>
      <c r="C757" s="109">
        <v>0.0009094471081736752</v>
      </c>
      <c r="D757" s="107" t="s">
        <v>4359</v>
      </c>
      <c r="E757" s="107" t="b">
        <v>0</v>
      </c>
      <c r="F757" s="107" t="b">
        <v>0</v>
      </c>
      <c r="G757" s="107" t="b">
        <v>0</v>
      </c>
    </row>
    <row r="758" spans="1:7" ht="15">
      <c r="A758" s="87" t="s">
        <v>4260</v>
      </c>
      <c r="B758" s="107">
        <v>2</v>
      </c>
      <c r="C758" s="109">
        <v>0.0010226162794759238</v>
      </c>
      <c r="D758" s="107" t="s">
        <v>4359</v>
      </c>
      <c r="E758" s="107" t="b">
        <v>0</v>
      </c>
      <c r="F758" s="107" t="b">
        <v>0</v>
      </c>
      <c r="G758" s="107" t="b">
        <v>0</v>
      </c>
    </row>
    <row r="759" spans="1:7" ht="15">
      <c r="A759" s="87" t="s">
        <v>4261</v>
      </c>
      <c r="B759" s="107">
        <v>2</v>
      </c>
      <c r="C759" s="109">
        <v>0.0009094471081736752</v>
      </c>
      <c r="D759" s="107" t="s">
        <v>4359</v>
      </c>
      <c r="E759" s="107" t="b">
        <v>0</v>
      </c>
      <c r="F759" s="107" t="b">
        <v>0</v>
      </c>
      <c r="G759" s="107" t="b">
        <v>0</v>
      </c>
    </row>
    <row r="760" spans="1:7" ht="15">
      <c r="A760" s="87" t="s">
        <v>4262</v>
      </c>
      <c r="B760" s="107">
        <v>2</v>
      </c>
      <c r="C760" s="109">
        <v>0.0009094471081736752</v>
      </c>
      <c r="D760" s="107" t="s">
        <v>4359</v>
      </c>
      <c r="E760" s="107" t="b">
        <v>0</v>
      </c>
      <c r="F760" s="107" t="b">
        <v>0</v>
      </c>
      <c r="G760" s="107" t="b">
        <v>0</v>
      </c>
    </row>
    <row r="761" spans="1:7" ht="15">
      <c r="A761" s="87" t="s">
        <v>4263</v>
      </c>
      <c r="B761" s="107">
        <v>2</v>
      </c>
      <c r="C761" s="109">
        <v>0.0010226162794759238</v>
      </c>
      <c r="D761" s="107" t="s">
        <v>4359</v>
      </c>
      <c r="E761" s="107" t="b">
        <v>0</v>
      </c>
      <c r="F761" s="107" t="b">
        <v>0</v>
      </c>
      <c r="G761" s="107" t="b">
        <v>0</v>
      </c>
    </row>
    <row r="762" spans="1:7" ht="15">
      <c r="A762" s="87" t="s">
        <v>4264</v>
      </c>
      <c r="B762" s="107">
        <v>2</v>
      </c>
      <c r="C762" s="109">
        <v>0.0009094471081736752</v>
      </c>
      <c r="D762" s="107" t="s">
        <v>4359</v>
      </c>
      <c r="E762" s="107" t="b">
        <v>0</v>
      </c>
      <c r="F762" s="107" t="b">
        <v>0</v>
      </c>
      <c r="G762" s="107" t="b">
        <v>0</v>
      </c>
    </row>
    <row r="763" spans="1:7" ht="15">
      <c r="A763" s="87" t="s">
        <v>4265</v>
      </c>
      <c r="B763" s="107">
        <v>2</v>
      </c>
      <c r="C763" s="109">
        <v>0.0009094471081736752</v>
      </c>
      <c r="D763" s="107" t="s">
        <v>4359</v>
      </c>
      <c r="E763" s="107" t="b">
        <v>0</v>
      </c>
      <c r="F763" s="107" t="b">
        <v>0</v>
      </c>
      <c r="G763" s="107" t="b">
        <v>0</v>
      </c>
    </row>
    <row r="764" spans="1:7" ht="15">
      <c r="A764" s="87" t="s">
        <v>4266</v>
      </c>
      <c r="B764" s="107">
        <v>2</v>
      </c>
      <c r="C764" s="109">
        <v>0.0009094471081736752</v>
      </c>
      <c r="D764" s="107" t="s">
        <v>4359</v>
      </c>
      <c r="E764" s="107" t="b">
        <v>0</v>
      </c>
      <c r="F764" s="107" t="b">
        <v>1</v>
      </c>
      <c r="G764" s="107" t="b">
        <v>0</v>
      </c>
    </row>
    <row r="765" spans="1:7" ht="15">
      <c r="A765" s="87" t="s">
        <v>4267</v>
      </c>
      <c r="B765" s="107">
        <v>2</v>
      </c>
      <c r="C765" s="109">
        <v>0.0009094471081736752</v>
      </c>
      <c r="D765" s="107" t="s">
        <v>4359</v>
      </c>
      <c r="E765" s="107" t="b">
        <v>0</v>
      </c>
      <c r="F765" s="107" t="b">
        <v>0</v>
      </c>
      <c r="G765" s="107" t="b">
        <v>0</v>
      </c>
    </row>
    <row r="766" spans="1:7" ht="15">
      <c r="A766" s="87" t="s">
        <v>4268</v>
      </c>
      <c r="B766" s="107">
        <v>2</v>
      </c>
      <c r="C766" s="109">
        <v>0.0009094471081736752</v>
      </c>
      <c r="D766" s="107" t="s">
        <v>4359</v>
      </c>
      <c r="E766" s="107" t="b">
        <v>0</v>
      </c>
      <c r="F766" s="107" t="b">
        <v>0</v>
      </c>
      <c r="G766" s="107" t="b">
        <v>0</v>
      </c>
    </row>
    <row r="767" spans="1:7" ht="15">
      <c r="A767" s="87" t="s">
        <v>4269</v>
      </c>
      <c r="B767" s="107">
        <v>2</v>
      </c>
      <c r="C767" s="109">
        <v>0.0009094471081736752</v>
      </c>
      <c r="D767" s="107" t="s">
        <v>4359</v>
      </c>
      <c r="E767" s="107" t="b">
        <v>0</v>
      </c>
      <c r="F767" s="107" t="b">
        <v>0</v>
      </c>
      <c r="G767" s="107" t="b">
        <v>0</v>
      </c>
    </row>
    <row r="768" spans="1:7" ht="15">
      <c r="A768" s="87" t="s">
        <v>4270</v>
      </c>
      <c r="B768" s="107">
        <v>2</v>
      </c>
      <c r="C768" s="109">
        <v>0.0009094471081736752</v>
      </c>
      <c r="D768" s="107" t="s">
        <v>4359</v>
      </c>
      <c r="E768" s="107" t="b">
        <v>0</v>
      </c>
      <c r="F768" s="107" t="b">
        <v>0</v>
      </c>
      <c r="G768" s="107" t="b">
        <v>0</v>
      </c>
    </row>
    <row r="769" spans="1:7" ht="15">
      <c r="A769" s="87" t="s">
        <v>4271</v>
      </c>
      <c r="B769" s="107">
        <v>2</v>
      </c>
      <c r="C769" s="109">
        <v>0.0010226162794759238</v>
      </c>
      <c r="D769" s="107" t="s">
        <v>4359</v>
      </c>
      <c r="E769" s="107" t="b">
        <v>0</v>
      </c>
      <c r="F769" s="107" t="b">
        <v>1</v>
      </c>
      <c r="G769" s="107" t="b">
        <v>0</v>
      </c>
    </row>
    <row r="770" spans="1:7" ht="15">
      <c r="A770" s="87" t="s">
        <v>4272</v>
      </c>
      <c r="B770" s="107">
        <v>2</v>
      </c>
      <c r="C770" s="109">
        <v>0.0009094471081736752</v>
      </c>
      <c r="D770" s="107" t="s">
        <v>4359</v>
      </c>
      <c r="E770" s="107" t="b">
        <v>0</v>
      </c>
      <c r="F770" s="107" t="b">
        <v>0</v>
      </c>
      <c r="G770" s="107" t="b">
        <v>0</v>
      </c>
    </row>
    <row r="771" spans="1:7" ht="15">
      <c r="A771" s="87" t="s">
        <v>4273</v>
      </c>
      <c r="B771" s="107">
        <v>2</v>
      </c>
      <c r="C771" s="109">
        <v>0.0009094471081736752</v>
      </c>
      <c r="D771" s="107" t="s">
        <v>4359</v>
      </c>
      <c r="E771" s="107" t="b">
        <v>0</v>
      </c>
      <c r="F771" s="107" t="b">
        <v>0</v>
      </c>
      <c r="G771" s="107" t="b">
        <v>0</v>
      </c>
    </row>
    <row r="772" spans="1:7" ht="15">
      <c r="A772" s="87" t="s">
        <v>4274</v>
      </c>
      <c r="B772" s="107">
        <v>2</v>
      </c>
      <c r="C772" s="109">
        <v>0.0009094471081736752</v>
      </c>
      <c r="D772" s="107" t="s">
        <v>4359</v>
      </c>
      <c r="E772" s="107" t="b">
        <v>0</v>
      </c>
      <c r="F772" s="107" t="b">
        <v>1</v>
      </c>
      <c r="G772" s="107" t="b">
        <v>0</v>
      </c>
    </row>
    <row r="773" spans="1:7" ht="15">
      <c r="A773" s="87" t="s">
        <v>4275</v>
      </c>
      <c r="B773" s="107">
        <v>2</v>
      </c>
      <c r="C773" s="109">
        <v>0.0009094471081736752</v>
      </c>
      <c r="D773" s="107" t="s">
        <v>4359</v>
      </c>
      <c r="E773" s="107" t="b">
        <v>0</v>
      </c>
      <c r="F773" s="107" t="b">
        <v>0</v>
      </c>
      <c r="G773" s="107" t="b">
        <v>0</v>
      </c>
    </row>
    <row r="774" spans="1:7" ht="15">
      <c r="A774" s="87" t="s">
        <v>4276</v>
      </c>
      <c r="B774" s="107">
        <v>2</v>
      </c>
      <c r="C774" s="109">
        <v>0.0009094471081736752</v>
      </c>
      <c r="D774" s="107" t="s">
        <v>4359</v>
      </c>
      <c r="E774" s="107" t="b">
        <v>0</v>
      </c>
      <c r="F774" s="107" t="b">
        <v>0</v>
      </c>
      <c r="G774" s="107" t="b">
        <v>0</v>
      </c>
    </row>
    <row r="775" spans="1:7" ht="15">
      <c r="A775" s="87" t="s">
        <v>4277</v>
      </c>
      <c r="B775" s="107">
        <v>2</v>
      </c>
      <c r="C775" s="109">
        <v>0.0009094471081736752</v>
      </c>
      <c r="D775" s="107" t="s">
        <v>4359</v>
      </c>
      <c r="E775" s="107" t="b">
        <v>0</v>
      </c>
      <c r="F775" s="107" t="b">
        <v>0</v>
      </c>
      <c r="G775" s="107" t="b">
        <v>0</v>
      </c>
    </row>
    <row r="776" spans="1:7" ht="15">
      <c r="A776" s="87" t="s">
        <v>4278</v>
      </c>
      <c r="B776" s="107">
        <v>2</v>
      </c>
      <c r="C776" s="109">
        <v>0.0009094471081736752</v>
      </c>
      <c r="D776" s="107" t="s">
        <v>4359</v>
      </c>
      <c r="E776" s="107" t="b">
        <v>0</v>
      </c>
      <c r="F776" s="107" t="b">
        <v>0</v>
      </c>
      <c r="G776" s="107" t="b">
        <v>0</v>
      </c>
    </row>
    <row r="777" spans="1:7" ht="15">
      <c r="A777" s="87" t="s">
        <v>4279</v>
      </c>
      <c r="B777" s="107">
        <v>2</v>
      </c>
      <c r="C777" s="109">
        <v>0.0010226162794759238</v>
      </c>
      <c r="D777" s="107" t="s">
        <v>4359</v>
      </c>
      <c r="E777" s="107" t="b">
        <v>0</v>
      </c>
      <c r="F777" s="107" t="b">
        <v>0</v>
      </c>
      <c r="G777" s="107" t="b">
        <v>0</v>
      </c>
    </row>
    <row r="778" spans="1:7" ht="15">
      <c r="A778" s="87" t="s">
        <v>4280</v>
      </c>
      <c r="B778" s="107">
        <v>2</v>
      </c>
      <c r="C778" s="109">
        <v>0.0010226162794759238</v>
      </c>
      <c r="D778" s="107" t="s">
        <v>4359</v>
      </c>
      <c r="E778" s="107" t="b">
        <v>0</v>
      </c>
      <c r="F778" s="107" t="b">
        <v>0</v>
      </c>
      <c r="G778" s="107" t="b">
        <v>0</v>
      </c>
    </row>
    <row r="779" spans="1:7" ht="15">
      <c r="A779" s="87" t="s">
        <v>4281</v>
      </c>
      <c r="B779" s="107">
        <v>2</v>
      </c>
      <c r="C779" s="109">
        <v>0.0010226162794759238</v>
      </c>
      <c r="D779" s="107" t="s">
        <v>4359</v>
      </c>
      <c r="E779" s="107" t="b">
        <v>0</v>
      </c>
      <c r="F779" s="107" t="b">
        <v>0</v>
      </c>
      <c r="G779" s="107" t="b">
        <v>0</v>
      </c>
    </row>
    <row r="780" spans="1:7" ht="15">
      <c r="A780" s="87" t="s">
        <v>4282</v>
      </c>
      <c r="B780" s="107">
        <v>2</v>
      </c>
      <c r="C780" s="109">
        <v>0.0009094471081736752</v>
      </c>
      <c r="D780" s="107" t="s">
        <v>4359</v>
      </c>
      <c r="E780" s="107" t="b">
        <v>0</v>
      </c>
      <c r="F780" s="107" t="b">
        <v>0</v>
      </c>
      <c r="G780" s="107" t="b">
        <v>0</v>
      </c>
    </row>
    <row r="781" spans="1:7" ht="15">
      <c r="A781" s="87" t="s">
        <v>4283</v>
      </c>
      <c r="B781" s="107">
        <v>2</v>
      </c>
      <c r="C781" s="109">
        <v>0.0010226162794759238</v>
      </c>
      <c r="D781" s="107" t="s">
        <v>4359</v>
      </c>
      <c r="E781" s="107" t="b">
        <v>0</v>
      </c>
      <c r="F781" s="107" t="b">
        <v>1</v>
      </c>
      <c r="G781" s="107" t="b">
        <v>0</v>
      </c>
    </row>
    <row r="782" spans="1:7" ht="15">
      <c r="A782" s="87" t="s">
        <v>4284</v>
      </c>
      <c r="B782" s="107">
        <v>2</v>
      </c>
      <c r="C782" s="109">
        <v>0.0009094471081736752</v>
      </c>
      <c r="D782" s="107" t="s">
        <v>4359</v>
      </c>
      <c r="E782" s="107" t="b">
        <v>0</v>
      </c>
      <c r="F782" s="107" t="b">
        <v>0</v>
      </c>
      <c r="G782" s="107" t="b">
        <v>0</v>
      </c>
    </row>
    <row r="783" spans="1:7" ht="15">
      <c r="A783" s="87" t="s">
        <v>4285</v>
      </c>
      <c r="B783" s="107">
        <v>2</v>
      </c>
      <c r="C783" s="109">
        <v>0.0009094471081736752</v>
      </c>
      <c r="D783" s="107" t="s">
        <v>4359</v>
      </c>
      <c r="E783" s="107" t="b">
        <v>0</v>
      </c>
      <c r="F783" s="107" t="b">
        <v>0</v>
      </c>
      <c r="G783" s="107" t="b">
        <v>0</v>
      </c>
    </row>
    <row r="784" spans="1:7" ht="15">
      <c r="A784" s="87" t="s">
        <v>4286</v>
      </c>
      <c r="B784" s="107">
        <v>2</v>
      </c>
      <c r="C784" s="109">
        <v>0.0010226162794759238</v>
      </c>
      <c r="D784" s="107" t="s">
        <v>4359</v>
      </c>
      <c r="E784" s="107" t="b">
        <v>0</v>
      </c>
      <c r="F784" s="107" t="b">
        <v>0</v>
      </c>
      <c r="G784" s="107" t="b">
        <v>0</v>
      </c>
    </row>
    <row r="785" spans="1:7" ht="15">
      <c r="A785" s="87" t="s">
        <v>4287</v>
      </c>
      <c r="B785" s="107">
        <v>2</v>
      </c>
      <c r="C785" s="109">
        <v>0.0009094471081736752</v>
      </c>
      <c r="D785" s="107" t="s">
        <v>4359</v>
      </c>
      <c r="E785" s="107" t="b">
        <v>0</v>
      </c>
      <c r="F785" s="107" t="b">
        <v>0</v>
      </c>
      <c r="G785" s="107" t="b">
        <v>0</v>
      </c>
    </row>
    <row r="786" spans="1:7" ht="15">
      <c r="A786" s="87" t="s">
        <v>4288</v>
      </c>
      <c r="B786" s="107">
        <v>2</v>
      </c>
      <c r="C786" s="109">
        <v>0.0009094471081736752</v>
      </c>
      <c r="D786" s="107" t="s">
        <v>4359</v>
      </c>
      <c r="E786" s="107" t="b">
        <v>0</v>
      </c>
      <c r="F786" s="107" t="b">
        <v>0</v>
      </c>
      <c r="G786" s="107" t="b">
        <v>0</v>
      </c>
    </row>
    <row r="787" spans="1:7" ht="15">
      <c r="A787" s="87" t="s">
        <v>4289</v>
      </c>
      <c r="B787" s="107">
        <v>2</v>
      </c>
      <c r="C787" s="109">
        <v>0.0009094471081736752</v>
      </c>
      <c r="D787" s="107" t="s">
        <v>4359</v>
      </c>
      <c r="E787" s="107" t="b">
        <v>0</v>
      </c>
      <c r="F787" s="107" t="b">
        <v>0</v>
      </c>
      <c r="G787" s="107" t="b">
        <v>0</v>
      </c>
    </row>
    <row r="788" spans="1:7" ht="15">
      <c r="A788" s="87" t="s">
        <v>4290</v>
      </c>
      <c r="B788" s="107">
        <v>2</v>
      </c>
      <c r="C788" s="109">
        <v>0.0009094471081736752</v>
      </c>
      <c r="D788" s="107" t="s">
        <v>4359</v>
      </c>
      <c r="E788" s="107" t="b">
        <v>0</v>
      </c>
      <c r="F788" s="107" t="b">
        <v>1</v>
      </c>
      <c r="G788" s="107" t="b">
        <v>0</v>
      </c>
    </row>
    <row r="789" spans="1:7" ht="15">
      <c r="A789" s="87" t="s">
        <v>4291</v>
      </c>
      <c r="B789" s="107">
        <v>2</v>
      </c>
      <c r="C789" s="109">
        <v>0.0009094471081736752</v>
      </c>
      <c r="D789" s="107" t="s">
        <v>4359</v>
      </c>
      <c r="E789" s="107" t="b">
        <v>0</v>
      </c>
      <c r="F789" s="107" t="b">
        <v>0</v>
      </c>
      <c r="G789" s="107" t="b">
        <v>0</v>
      </c>
    </row>
    <row r="790" spans="1:7" ht="15">
      <c r="A790" s="87" t="s">
        <v>4292</v>
      </c>
      <c r="B790" s="107">
        <v>2</v>
      </c>
      <c r="C790" s="109">
        <v>0.0010226162794759238</v>
      </c>
      <c r="D790" s="107" t="s">
        <v>4359</v>
      </c>
      <c r="E790" s="107" t="b">
        <v>0</v>
      </c>
      <c r="F790" s="107" t="b">
        <v>0</v>
      </c>
      <c r="G790" s="107" t="b">
        <v>0</v>
      </c>
    </row>
    <row r="791" spans="1:7" ht="15">
      <c r="A791" s="87" t="s">
        <v>4293</v>
      </c>
      <c r="B791" s="107">
        <v>2</v>
      </c>
      <c r="C791" s="109">
        <v>0.0009094471081736752</v>
      </c>
      <c r="D791" s="107" t="s">
        <v>4359</v>
      </c>
      <c r="E791" s="107" t="b">
        <v>0</v>
      </c>
      <c r="F791" s="107" t="b">
        <v>0</v>
      </c>
      <c r="G791" s="107" t="b">
        <v>0</v>
      </c>
    </row>
    <row r="792" spans="1:7" ht="15">
      <c r="A792" s="87" t="s">
        <v>4294</v>
      </c>
      <c r="B792" s="107">
        <v>2</v>
      </c>
      <c r="C792" s="109">
        <v>0.0009094471081736752</v>
      </c>
      <c r="D792" s="107" t="s">
        <v>4359</v>
      </c>
      <c r="E792" s="107" t="b">
        <v>0</v>
      </c>
      <c r="F792" s="107" t="b">
        <v>0</v>
      </c>
      <c r="G792" s="107" t="b">
        <v>0</v>
      </c>
    </row>
    <row r="793" spans="1:7" ht="15">
      <c r="A793" s="87" t="s">
        <v>4295</v>
      </c>
      <c r="B793" s="107">
        <v>2</v>
      </c>
      <c r="C793" s="109">
        <v>0.0009094471081736752</v>
      </c>
      <c r="D793" s="107" t="s">
        <v>4359</v>
      </c>
      <c r="E793" s="107" t="b">
        <v>0</v>
      </c>
      <c r="F793" s="107" t="b">
        <v>0</v>
      </c>
      <c r="G793" s="107" t="b">
        <v>0</v>
      </c>
    </row>
    <row r="794" spans="1:7" ht="15">
      <c r="A794" s="87" t="s">
        <v>4296</v>
      </c>
      <c r="B794" s="107">
        <v>2</v>
      </c>
      <c r="C794" s="109">
        <v>0.0009094471081736752</v>
      </c>
      <c r="D794" s="107" t="s">
        <v>4359</v>
      </c>
      <c r="E794" s="107" t="b">
        <v>0</v>
      </c>
      <c r="F794" s="107" t="b">
        <v>0</v>
      </c>
      <c r="G794" s="107" t="b">
        <v>0</v>
      </c>
    </row>
    <row r="795" spans="1:7" ht="15">
      <c r="A795" s="87" t="s">
        <v>4297</v>
      </c>
      <c r="B795" s="107">
        <v>2</v>
      </c>
      <c r="C795" s="109">
        <v>0.0009094471081736752</v>
      </c>
      <c r="D795" s="107" t="s">
        <v>4359</v>
      </c>
      <c r="E795" s="107" t="b">
        <v>0</v>
      </c>
      <c r="F795" s="107" t="b">
        <v>0</v>
      </c>
      <c r="G795" s="107" t="b">
        <v>0</v>
      </c>
    </row>
    <row r="796" spans="1:7" ht="15">
      <c r="A796" s="87" t="s">
        <v>4298</v>
      </c>
      <c r="B796" s="107">
        <v>2</v>
      </c>
      <c r="C796" s="109">
        <v>0.0009094471081736752</v>
      </c>
      <c r="D796" s="107" t="s">
        <v>4359</v>
      </c>
      <c r="E796" s="107" t="b">
        <v>0</v>
      </c>
      <c r="F796" s="107" t="b">
        <v>0</v>
      </c>
      <c r="G796" s="107" t="b">
        <v>0</v>
      </c>
    </row>
    <row r="797" spans="1:7" ht="15">
      <c r="A797" s="87" t="s">
        <v>4299</v>
      </c>
      <c r="B797" s="107">
        <v>2</v>
      </c>
      <c r="C797" s="109">
        <v>0.0009094471081736752</v>
      </c>
      <c r="D797" s="107" t="s">
        <v>4359</v>
      </c>
      <c r="E797" s="107" t="b">
        <v>0</v>
      </c>
      <c r="F797" s="107" t="b">
        <v>0</v>
      </c>
      <c r="G797" s="107" t="b">
        <v>0</v>
      </c>
    </row>
    <row r="798" spans="1:7" ht="15">
      <c r="A798" s="87" t="s">
        <v>4300</v>
      </c>
      <c r="B798" s="107">
        <v>2</v>
      </c>
      <c r="C798" s="109">
        <v>0.0009094471081736752</v>
      </c>
      <c r="D798" s="107" t="s">
        <v>4359</v>
      </c>
      <c r="E798" s="107" t="b">
        <v>0</v>
      </c>
      <c r="F798" s="107" t="b">
        <v>1</v>
      </c>
      <c r="G798" s="107" t="b">
        <v>0</v>
      </c>
    </row>
    <row r="799" spans="1:7" ht="15">
      <c r="A799" s="87" t="s">
        <v>4301</v>
      </c>
      <c r="B799" s="107">
        <v>2</v>
      </c>
      <c r="C799" s="109">
        <v>0.0009094471081736752</v>
      </c>
      <c r="D799" s="107" t="s">
        <v>4359</v>
      </c>
      <c r="E799" s="107" t="b">
        <v>0</v>
      </c>
      <c r="F799" s="107" t="b">
        <v>1</v>
      </c>
      <c r="G799" s="107" t="b">
        <v>0</v>
      </c>
    </row>
    <row r="800" spans="1:7" ht="15">
      <c r="A800" s="87" t="s">
        <v>4302</v>
      </c>
      <c r="B800" s="107">
        <v>2</v>
      </c>
      <c r="C800" s="109">
        <v>0.0010226162794759238</v>
      </c>
      <c r="D800" s="107" t="s">
        <v>4359</v>
      </c>
      <c r="E800" s="107" t="b">
        <v>0</v>
      </c>
      <c r="F800" s="107" t="b">
        <v>0</v>
      </c>
      <c r="G800" s="107" t="b">
        <v>0</v>
      </c>
    </row>
    <row r="801" spans="1:7" ht="15">
      <c r="A801" s="87" t="s">
        <v>4303</v>
      </c>
      <c r="B801" s="107">
        <v>2</v>
      </c>
      <c r="C801" s="109">
        <v>0.0010226162794759238</v>
      </c>
      <c r="D801" s="107" t="s">
        <v>4359</v>
      </c>
      <c r="E801" s="107" t="b">
        <v>0</v>
      </c>
      <c r="F801" s="107" t="b">
        <v>0</v>
      </c>
      <c r="G801" s="107" t="b">
        <v>0</v>
      </c>
    </row>
    <row r="802" spans="1:7" ht="15">
      <c r="A802" s="87" t="s">
        <v>4304</v>
      </c>
      <c r="B802" s="107">
        <v>2</v>
      </c>
      <c r="C802" s="109">
        <v>0.0009094471081736752</v>
      </c>
      <c r="D802" s="107" t="s">
        <v>4359</v>
      </c>
      <c r="E802" s="107" t="b">
        <v>0</v>
      </c>
      <c r="F802" s="107" t="b">
        <v>0</v>
      </c>
      <c r="G802" s="107" t="b">
        <v>0</v>
      </c>
    </row>
    <row r="803" spans="1:7" ht="15">
      <c r="A803" s="87" t="s">
        <v>4305</v>
      </c>
      <c r="B803" s="107">
        <v>2</v>
      </c>
      <c r="C803" s="109">
        <v>0.0009094471081736752</v>
      </c>
      <c r="D803" s="107" t="s">
        <v>4359</v>
      </c>
      <c r="E803" s="107" t="b">
        <v>1</v>
      </c>
      <c r="F803" s="107" t="b">
        <v>0</v>
      </c>
      <c r="G803" s="107" t="b">
        <v>0</v>
      </c>
    </row>
    <row r="804" spans="1:7" ht="15">
      <c r="A804" s="87" t="s">
        <v>4306</v>
      </c>
      <c r="B804" s="107">
        <v>2</v>
      </c>
      <c r="C804" s="109">
        <v>0.0009094471081736752</v>
      </c>
      <c r="D804" s="107" t="s">
        <v>4359</v>
      </c>
      <c r="E804" s="107" t="b">
        <v>0</v>
      </c>
      <c r="F804" s="107" t="b">
        <v>0</v>
      </c>
      <c r="G804" s="107" t="b">
        <v>0</v>
      </c>
    </row>
    <row r="805" spans="1:7" ht="15">
      <c r="A805" s="87" t="s">
        <v>4307</v>
      </c>
      <c r="B805" s="107">
        <v>2</v>
      </c>
      <c r="C805" s="109">
        <v>0.0009094471081736752</v>
      </c>
      <c r="D805" s="107" t="s">
        <v>4359</v>
      </c>
      <c r="E805" s="107" t="b">
        <v>0</v>
      </c>
      <c r="F805" s="107" t="b">
        <v>0</v>
      </c>
      <c r="G805" s="107" t="b">
        <v>0</v>
      </c>
    </row>
    <row r="806" spans="1:7" ht="15">
      <c r="A806" s="87" t="s">
        <v>4308</v>
      </c>
      <c r="B806" s="107">
        <v>2</v>
      </c>
      <c r="C806" s="109">
        <v>0.0009094471081736752</v>
      </c>
      <c r="D806" s="107" t="s">
        <v>4359</v>
      </c>
      <c r="E806" s="107" t="b">
        <v>0</v>
      </c>
      <c r="F806" s="107" t="b">
        <v>0</v>
      </c>
      <c r="G806" s="107" t="b">
        <v>0</v>
      </c>
    </row>
    <row r="807" spans="1:7" ht="15">
      <c r="A807" s="87" t="s">
        <v>4309</v>
      </c>
      <c r="B807" s="107">
        <v>2</v>
      </c>
      <c r="C807" s="109">
        <v>0.0010226162794759238</v>
      </c>
      <c r="D807" s="107" t="s">
        <v>4359</v>
      </c>
      <c r="E807" s="107" t="b">
        <v>0</v>
      </c>
      <c r="F807" s="107" t="b">
        <v>0</v>
      </c>
      <c r="G807" s="107" t="b">
        <v>0</v>
      </c>
    </row>
    <row r="808" spans="1:7" ht="15">
      <c r="A808" s="87" t="s">
        <v>4310</v>
      </c>
      <c r="B808" s="107">
        <v>2</v>
      </c>
      <c r="C808" s="109">
        <v>0.0009094471081736752</v>
      </c>
      <c r="D808" s="107" t="s">
        <v>4359</v>
      </c>
      <c r="E808" s="107" t="b">
        <v>0</v>
      </c>
      <c r="F808" s="107" t="b">
        <v>0</v>
      </c>
      <c r="G808" s="107" t="b">
        <v>0</v>
      </c>
    </row>
    <row r="809" spans="1:7" ht="15">
      <c r="A809" s="87" t="s">
        <v>4311</v>
      </c>
      <c r="B809" s="107">
        <v>2</v>
      </c>
      <c r="C809" s="109">
        <v>0.0009094471081736752</v>
      </c>
      <c r="D809" s="107" t="s">
        <v>4359</v>
      </c>
      <c r="E809" s="107" t="b">
        <v>1</v>
      </c>
      <c r="F809" s="107" t="b">
        <v>0</v>
      </c>
      <c r="G809" s="107" t="b">
        <v>0</v>
      </c>
    </row>
    <row r="810" spans="1:7" ht="15">
      <c r="A810" s="87" t="s">
        <v>4312</v>
      </c>
      <c r="B810" s="107">
        <v>2</v>
      </c>
      <c r="C810" s="109">
        <v>0.0009094471081736752</v>
      </c>
      <c r="D810" s="107" t="s">
        <v>4359</v>
      </c>
      <c r="E810" s="107" t="b">
        <v>0</v>
      </c>
      <c r="F810" s="107" t="b">
        <v>0</v>
      </c>
      <c r="G810" s="107" t="b">
        <v>0</v>
      </c>
    </row>
    <row r="811" spans="1:7" ht="15">
      <c r="A811" s="87" t="s">
        <v>4313</v>
      </c>
      <c r="B811" s="107">
        <v>2</v>
      </c>
      <c r="C811" s="109">
        <v>0.0009094471081736752</v>
      </c>
      <c r="D811" s="107" t="s">
        <v>4359</v>
      </c>
      <c r="E811" s="107" t="b">
        <v>1</v>
      </c>
      <c r="F811" s="107" t="b">
        <v>0</v>
      </c>
      <c r="G811" s="107" t="b">
        <v>0</v>
      </c>
    </row>
    <row r="812" spans="1:7" ht="15">
      <c r="A812" s="87" t="s">
        <v>4314</v>
      </c>
      <c r="B812" s="107">
        <v>2</v>
      </c>
      <c r="C812" s="109">
        <v>0.0009094471081736752</v>
      </c>
      <c r="D812" s="107" t="s">
        <v>4359</v>
      </c>
      <c r="E812" s="107" t="b">
        <v>0</v>
      </c>
      <c r="F812" s="107" t="b">
        <v>0</v>
      </c>
      <c r="G812" s="107" t="b">
        <v>0</v>
      </c>
    </row>
    <row r="813" spans="1:7" ht="15">
      <c r="A813" s="87" t="s">
        <v>4315</v>
      </c>
      <c r="B813" s="107">
        <v>2</v>
      </c>
      <c r="C813" s="109">
        <v>0.0009094471081736752</v>
      </c>
      <c r="D813" s="107" t="s">
        <v>4359</v>
      </c>
      <c r="E813" s="107" t="b">
        <v>0</v>
      </c>
      <c r="F813" s="107" t="b">
        <v>0</v>
      </c>
      <c r="G813" s="107" t="b">
        <v>0</v>
      </c>
    </row>
    <row r="814" spans="1:7" ht="15">
      <c r="A814" s="87" t="s">
        <v>4316</v>
      </c>
      <c r="B814" s="107">
        <v>2</v>
      </c>
      <c r="C814" s="109">
        <v>0.0009094471081736752</v>
      </c>
      <c r="D814" s="107" t="s">
        <v>4359</v>
      </c>
      <c r="E814" s="107" t="b">
        <v>0</v>
      </c>
      <c r="F814" s="107" t="b">
        <v>0</v>
      </c>
      <c r="G814" s="107" t="b">
        <v>0</v>
      </c>
    </row>
    <row r="815" spans="1:7" ht="15">
      <c r="A815" s="87" t="s">
        <v>4317</v>
      </c>
      <c r="B815" s="107">
        <v>2</v>
      </c>
      <c r="C815" s="109">
        <v>0.0010226162794759238</v>
      </c>
      <c r="D815" s="107" t="s">
        <v>4359</v>
      </c>
      <c r="E815" s="107" t="b">
        <v>0</v>
      </c>
      <c r="F815" s="107" t="b">
        <v>0</v>
      </c>
      <c r="G815" s="107" t="b">
        <v>0</v>
      </c>
    </row>
    <row r="816" spans="1:7" ht="15">
      <c r="A816" s="87" t="s">
        <v>4318</v>
      </c>
      <c r="B816" s="107">
        <v>2</v>
      </c>
      <c r="C816" s="109">
        <v>0.0009094471081736752</v>
      </c>
      <c r="D816" s="107" t="s">
        <v>4359</v>
      </c>
      <c r="E816" s="107" t="b">
        <v>0</v>
      </c>
      <c r="F816" s="107" t="b">
        <v>0</v>
      </c>
      <c r="G816" s="107" t="b">
        <v>0</v>
      </c>
    </row>
    <row r="817" spans="1:7" ht="15">
      <c r="A817" s="87" t="s">
        <v>4319</v>
      </c>
      <c r="B817" s="107">
        <v>2</v>
      </c>
      <c r="C817" s="109">
        <v>0.0009094471081736752</v>
      </c>
      <c r="D817" s="107" t="s">
        <v>4359</v>
      </c>
      <c r="E817" s="107" t="b">
        <v>0</v>
      </c>
      <c r="F817" s="107" t="b">
        <v>1</v>
      </c>
      <c r="G817" s="107" t="b">
        <v>0</v>
      </c>
    </row>
    <row r="818" spans="1:7" ht="15">
      <c r="A818" s="87" t="s">
        <v>4320</v>
      </c>
      <c r="B818" s="107">
        <v>2</v>
      </c>
      <c r="C818" s="109">
        <v>0.0010226162794759238</v>
      </c>
      <c r="D818" s="107" t="s">
        <v>4359</v>
      </c>
      <c r="E818" s="107" t="b">
        <v>0</v>
      </c>
      <c r="F818" s="107" t="b">
        <v>1</v>
      </c>
      <c r="G818" s="107" t="b">
        <v>0</v>
      </c>
    </row>
    <row r="819" spans="1:7" ht="15">
      <c r="A819" s="87" t="s">
        <v>4321</v>
      </c>
      <c r="B819" s="107">
        <v>2</v>
      </c>
      <c r="C819" s="109">
        <v>0.0009094471081736752</v>
      </c>
      <c r="D819" s="107" t="s">
        <v>4359</v>
      </c>
      <c r="E819" s="107" t="b">
        <v>0</v>
      </c>
      <c r="F819" s="107" t="b">
        <v>0</v>
      </c>
      <c r="G819" s="107" t="b">
        <v>0</v>
      </c>
    </row>
    <row r="820" spans="1:7" ht="15">
      <c r="A820" s="87" t="s">
        <v>4322</v>
      </c>
      <c r="B820" s="107">
        <v>2</v>
      </c>
      <c r="C820" s="109">
        <v>0.0009094471081736752</v>
      </c>
      <c r="D820" s="107" t="s">
        <v>4359</v>
      </c>
      <c r="E820" s="107" t="b">
        <v>0</v>
      </c>
      <c r="F820" s="107" t="b">
        <v>0</v>
      </c>
      <c r="G820" s="107" t="b">
        <v>0</v>
      </c>
    </row>
    <row r="821" spans="1:7" ht="15">
      <c r="A821" s="87" t="s">
        <v>4323</v>
      </c>
      <c r="B821" s="107">
        <v>2</v>
      </c>
      <c r="C821" s="109">
        <v>0.0010226162794759238</v>
      </c>
      <c r="D821" s="107" t="s">
        <v>4359</v>
      </c>
      <c r="E821" s="107" t="b">
        <v>0</v>
      </c>
      <c r="F821" s="107" t="b">
        <v>0</v>
      </c>
      <c r="G821" s="107" t="b">
        <v>0</v>
      </c>
    </row>
    <row r="822" spans="1:7" ht="15">
      <c r="A822" s="87" t="s">
        <v>4324</v>
      </c>
      <c r="B822" s="107">
        <v>2</v>
      </c>
      <c r="C822" s="109">
        <v>0.0009094471081736752</v>
      </c>
      <c r="D822" s="107" t="s">
        <v>4359</v>
      </c>
      <c r="E822" s="107" t="b">
        <v>0</v>
      </c>
      <c r="F822" s="107" t="b">
        <v>0</v>
      </c>
      <c r="G822" s="107" t="b">
        <v>0</v>
      </c>
    </row>
    <row r="823" spans="1:7" ht="15">
      <c r="A823" s="87" t="s">
        <v>4325</v>
      </c>
      <c r="B823" s="107">
        <v>2</v>
      </c>
      <c r="C823" s="109">
        <v>0.0009094471081736752</v>
      </c>
      <c r="D823" s="107" t="s">
        <v>4359</v>
      </c>
      <c r="E823" s="107" t="b">
        <v>0</v>
      </c>
      <c r="F823" s="107" t="b">
        <v>0</v>
      </c>
      <c r="G823" s="107" t="b">
        <v>0</v>
      </c>
    </row>
    <row r="824" spans="1:7" ht="15">
      <c r="A824" s="87" t="s">
        <v>4326</v>
      </c>
      <c r="B824" s="107">
        <v>2</v>
      </c>
      <c r="C824" s="109">
        <v>0.0009094471081736752</v>
      </c>
      <c r="D824" s="107" t="s">
        <v>4359</v>
      </c>
      <c r="E824" s="107" t="b">
        <v>0</v>
      </c>
      <c r="F824" s="107" t="b">
        <v>0</v>
      </c>
      <c r="G824" s="107" t="b">
        <v>0</v>
      </c>
    </row>
    <row r="825" spans="1:7" ht="15">
      <c r="A825" s="87" t="s">
        <v>4327</v>
      </c>
      <c r="B825" s="107">
        <v>2</v>
      </c>
      <c r="C825" s="109">
        <v>0.0009094471081736752</v>
      </c>
      <c r="D825" s="107" t="s">
        <v>4359</v>
      </c>
      <c r="E825" s="107" t="b">
        <v>0</v>
      </c>
      <c r="F825" s="107" t="b">
        <v>0</v>
      </c>
      <c r="G825" s="107" t="b">
        <v>0</v>
      </c>
    </row>
    <row r="826" spans="1:7" ht="15">
      <c r="A826" s="87" t="s">
        <v>4328</v>
      </c>
      <c r="B826" s="107">
        <v>2</v>
      </c>
      <c r="C826" s="109">
        <v>0.0009094471081736752</v>
      </c>
      <c r="D826" s="107" t="s">
        <v>4359</v>
      </c>
      <c r="E826" s="107" t="b">
        <v>0</v>
      </c>
      <c r="F826" s="107" t="b">
        <v>0</v>
      </c>
      <c r="G826" s="107" t="b">
        <v>0</v>
      </c>
    </row>
    <row r="827" spans="1:7" ht="15">
      <c r="A827" s="87" t="s">
        <v>4329</v>
      </c>
      <c r="B827" s="107">
        <v>2</v>
      </c>
      <c r="C827" s="109">
        <v>0.0009094471081736752</v>
      </c>
      <c r="D827" s="107" t="s">
        <v>4359</v>
      </c>
      <c r="E827" s="107" t="b">
        <v>0</v>
      </c>
      <c r="F827" s="107" t="b">
        <v>1</v>
      </c>
      <c r="G827" s="107" t="b">
        <v>0</v>
      </c>
    </row>
    <row r="828" spans="1:7" ht="15">
      <c r="A828" s="87" t="s">
        <v>4330</v>
      </c>
      <c r="B828" s="107">
        <v>2</v>
      </c>
      <c r="C828" s="109">
        <v>0.0009094471081736752</v>
      </c>
      <c r="D828" s="107" t="s">
        <v>4359</v>
      </c>
      <c r="E828" s="107" t="b">
        <v>0</v>
      </c>
      <c r="F828" s="107" t="b">
        <v>0</v>
      </c>
      <c r="G828" s="107" t="b">
        <v>0</v>
      </c>
    </row>
    <row r="829" spans="1:7" ht="15">
      <c r="A829" s="87" t="s">
        <v>4331</v>
      </c>
      <c r="B829" s="107">
        <v>2</v>
      </c>
      <c r="C829" s="109">
        <v>0.0010226162794759238</v>
      </c>
      <c r="D829" s="107" t="s">
        <v>4359</v>
      </c>
      <c r="E829" s="107" t="b">
        <v>0</v>
      </c>
      <c r="F829" s="107" t="b">
        <v>0</v>
      </c>
      <c r="G829" s="107" t="b">
        <v>0</v>
      </c>
    </row>
    <row r="830" spans="1:7" ht="15">
      <c r="A830" s="87" t="s">
        <v>4332</v>
      </c>
      <c r="B830" s="107">
        <v>2</v>
      </c>
      <c r="C830" s="109">
        <v>0.0009094471081736752</v>
      </c>
      <c r="D830" s="107" t="s">
        <v>4359</v>
      </c>
      <c r="E830" s="107" t="b">
        <v>0</v>
      </c>
      <c r="F830" s="107" t="b">
        <v>0</v>
      </c>
      <c r="G830" s="107" t="b">
        <v>0</v>
      </c>
    </row>
    <row r="831" spans="1:7" ht="15">
      <c r="A831" s="87" t="s">
        <v>4333</v>
      </c>
      <c r="B831" s="107">
        <v>2</v>
      </c>
      <c r="C831" s="109">
        <v>0.0009094471081736752</v>
      </c>
      <c r="D831" s="107" t="s">
        <v>4359</v>
      </c>
      <c r="E831" s="107" t="b">
        <v>0</v>
      </c>
      <c r="F831" s="107" t="b">
        <v>0</v>
      </c>
      <c r="G831" s="107" t="b">
        <v>0</v>
      </c>
    </row>
    <row r="832" spans="1:7" ht="15">
      <c r="A832" s="87" t="s">
        <v>4334</v>
      </c>
      <c r="B832" s="107">
        <v>2</v>
      </c>
      <c r="C832" s="109">
        <v>0.0009094471081736752</v>
      </c>
      <c r="D832" s="107" t="s">
        <v>4359</v>
      </c>
      <c r="E832" s="107" t="b">
        <v>0</v>
      </c>
      <c r="F832" s="107" t="b">
        <v>1</v>
      </c>
      <c r="G832" s="107" t="b">
        <v>0</v>
      </c>
    </row>
    <row r="833" spans="1:7" ht="15">
      <c r="A833" s="87" t="s">
        <v>4335</v>
      </c>
      <c r="B833" s="107">
        <v>2</v>
      </c>
      <c r="C833" s="109">
        <v>0.0009094471081736752</v>
      </c>
      <c r="D833" s="107" t="s">
        <v>4359</v>
      </c>
      <c r="E833" s="107" t="b">
        <v>0</v>
      </c>
      <c r="F833" s="107" t="b">
        <v>0</v>
      </c>
      <c r="G833" s="107" t="b">
        <v>0</v>
      </c>
    </row>
    <row r="834" spans="1:7" ht="15">
      <c r="A834" s="87" t="s">
        <v>4336</v>
      </c>
      <c r="B834" s="107">
        <v>2</v>
      </c>
      <c r="C834" s="109">
        <v>0.0009094471081736752</v>
      </c>
      <c r="D834" s="107" t="s">
        <v>4359</v>
      </c>
      <c r="E834" s="107" t="b">
        <v>0</v>
      </c>
      <c r="F834" s="107" t="b">
        <v>1</v>
      </c>
      <c r="G834" s="107" t="b">
        <v>0</v>
      </c>
    </row>
    <row r="835" spans="1:7" ht="15">
      <c r="A835" s="87" t="s">
        <v>4337</v>
      </c>
      <c r="B835" s="107">
        <v>2</v>
      </c>
      <c r="C835" s="109">
        <v>0.0009094471081736752</v>
      </c>
      <c r="D835" s="107" t="s">
        <v>4359</v>
      </c>
      <c r="E835" s="107" t="b">
        <v>0</v>
      </c>
      <c r="F835" s="107" t="b">
        <v>0</v>
      </c>
      <c r="G835" s="107" t="b">
        <v>0</v>
      </c>
    </row>
    <row r="836" spans="1:7" ht="15">
      <c r="A836" s="87" t="s">
        <v>4338</v>
      </c>
      <c r="B836" s="107">
        <v>2</v>
      </c>
      <c r="C836" s="109">
        <v>0.0010226162794759238</v>
      </c>
      <c r="D836" s="107" t="s">
        <v>4359</v>
      </c>
      <c r="E836" s="107" t="b">
        <v>0</v>
      </c>
      <c r="F836" s="107" t="b">
        <v>0</v>
      </c>
      <c r="G836" s="107" t="b">
        <v>0</v>
      </c>
    </row>
    <row r="837" spans="1:7" ht="15">
      <c r="A837" s="87" t="s">
        <v>4339</v>
      </c>
      <c r="B837" s="107">
        <v>2</v>
      </c>
      <c r="C837" s="109">
        <v>0.0009094471081736752</v>
      </c>
      <c r="D837" s="107" t="s">
        <v>4359</v>
      </c>
      <c r="E837" s="107" t="b">
        <v>0</v>
      </c>
      <c r="F837" s="107" t="b">
        <v>0</v>
      </c>
      <c r="G837" s="107" t="b">
        <v>0</v>
      </c>
    </row>
    <row r="838" spans="1:7" ht="15">
      <c r="A838" s="87" t="s">
        <v>4340</v>
      </c>
      <c r="B838" s="107">
        <v>2</v>
      </c>
      <c r="C838" s="109">
        <v>0.0010226162794759238</v>
      </c>
      <c r="D838" s="107" t="s">
        <v>4359</v>
      </c>
      <c r="E838" s="107" t="b">
        <v>0</v>
      </c>
      <c r="F838" s="107" t="b">
        <v>0</v>
      </c>
      <c r="G838" s="107" t="b">
        <v>0</v>
      </c>
    </row>
    <row r="839" spans="1:7" ht="15">
      <c r="A839" s="87" t="s">
        <v>4341</v>
      </c>
      <c r="B839" s="107">
        <v>2</v>
      </c>
      <c r="C839" s="109">
        <v>0.0010226162794759238</v>
      </c>
      <c r="D839" s="107" t="s">
        <v>4359</v>
      </c>
      <c r="E839" s="107" t="b">
        <v>0</v>
      </c>
      <c r="F839" s="107" t="b">
        <v>1</v>
      </c>
      <c r="G839" s="107" t="b">
        <v>0</v>
      </c>
    </row>
    <row r="840" spans="1:7" ht="15">
      <c r="A840" s="87" t="s">
        <v>4342</v>
      </c>
      <c r="B840" s="107">
        <v>2</v>
      </c>
      <c r="C840" s="109">
        <v>0.0009094471081736752</v>
      </c>
      <c r="D840" s="107" t="s">
        <v>4359</v>
      </c>
      <c r="E840" s="107" t="b">
        <v>1</v>
      </c>
      <c r="F840" s="107" t="b">
        <v>0</v>
      </c>
      <c r="G840" s="107" t="b">
        <v>0</v>
      </c>
    </row>
    <row r="841" spans="1:7" ht="15">
      <c r="A841" s="87" t="s">
        <v>4343</v>
      </c>
      <c r="B841" s="107">
        <v>2</v>
      </c>
      <c r="C841" s="109">
        <v>0.0009094471081736752</v>
      </c>
      <c r="D841" s="107" t="s">
        <v>4359</v>
      </c>
      <c r="E841" s="107" t="b">
        <v>0</v>
      </c>
      <c r="F841" s="107" t="b">
        <v>0</v>
      </c>
      <c r="G841" s="107" t="b">
        <v>0</v>
      </c>
    </row>
    <row r="842" spans="1:7" ht="15">
      <c r="A842" s="87" t="s">
        <v>4344</v>
      </c>
      <c r="B842" s="107">
        <v>2</v>
      </c>
      <c r="C842" s="109">
        <v>0.0009094471081736752</v>
      </c>
      <c r="D842" s="107" t="s">
        <v>4359</v>
      </c>
      <c r="E842" s="107" t="b">
        <v>0</v>
      </c>
      <c r="F842" s="107" t="b">
        <v>1</v>
      </c>
      <c r="G842" s="107" t="b">
        <v>0</v>
      </c>
    </row>
    <row r="843" spans="1:7" ht="15">
      <c r="A843" s="87" t="s">
        <v>4345</v>
      </c>
      <c r="B843" s="107">
        <v>2</v>
      </c>
      <c r="C843" s="109">
        <v>0.0009094471081736752</v>
      </c>
      <c r="D843" s="107" t="s">
        <v>4359</v>
      </c>
      <c r="E843" s="107" t="b">
        <v>0</v>
      </c>
      <c r="F843" s="107" t="b">
        <v>0</v>
      </c>
      <c r="G843" s="107" t="b">
        <v>0</v>
      </c>
    </row>
    <row r="844" spans="1:7" ht="15">
      <c r="A844" s="87" t="s">
        <v>4346</v>
      </c>
      <c r="B844" s="107">
        <v>2</v>
      </c>
      <c r="C844" s="109">
        <v>0.0009094471081736752</v>
      </c>
      <c r="D844" s="107" t="s">
        <v>4359</v>
      </c>
      <c r="E844" s="107" t="b">
        <v>0</v>
      </c>
      <c r="F844" s="107" t="b">
        <v>0</v>
      </c>
      <c r="G844" s="107" t="b">
        <v>0</v>
      </c>
    </row>
    <row r="845" spans="1:7" ht="15">
      <c r="A845" s="87" t="s">
        <v>4347</v>
      </c>
      <c r="B845" s="107">
        <v>2</v>
      </c>
      <c r="C845" s="109">
        <v>0.0009094471081736752</v>
      </c>
      <c r="D845" s="107" t="s">
        <v>4359</v>
      </c>
      <c r="E845" s="107" t="b">
        <v>0</v>
      </c>
      <c r="F845" s="107" t="b">
        <v>0</v>
      </c>
      <c r="G845" s="107" t="b">
        <v>0</v>
      </c>
    </row>
    <row r="846" spans="1:7" ht="15">
      <c r="A846" s="87" t="s">
        <v>4348</v>
      </c>
      <c r="B846" s="107">
        <v>2</v>
      </c>
      <c r="C846" s="109">
        <v>0.0009094471081736752</v>
      </c>
      <c r="D846" s="107" t="s">
        <v>4359</v>
      </c>
      <c r="E846" s="107" t="b">
        <v>0</v>
      </c>
      <c r="F846" s="107" t="b">
        <v>0</v>
      </c>
      <c r="G846" s="107" t="b">
        <v>0</v>
      </c>
    </row>
    <row r="847" spans="1:7" ht="15">
      <c r="A847" s="87" t="s">
        <v>4349</v>
      </c>
      <c r="B847" s="107">
        <v>2</v>
      </c>
      <c r="C847" s="109">
        <v>0.0009094471081736752</v>
      </c>
      <c r="D847" s="107" t="s">
        <v>4359</v>
      </c>
      <c r="E847" s="107" t="b">
        <v>0</v>
      </c>
      <c r="F847" s="107" t="b">
        <v>0</v>
      </c>
      <c r="G847" s="107" t="b">
        <v>0</v>
      </c>
    </row>
    <row r="848" spans="1:7" ht="15">
      <c r="A848" s="87" t="s">
        <v>4350</v>
      </c>
      <c r="B848" s="107">
        <v>2</v>
      </c>
      <c r="C848" s="109">
        <v>0.0009094471081736752</v>
      </c>
      <c r="D848" s="107" t="s">
        <v>4359</v>
      </c>
      <c r="E848" s="107" t="b">
        <v>0</v>
      </c>
      <c r="F848" s="107" t="b">
        <v>0</v>
      </c>
      <c r="G848" s="107" t="b">
        <v>0</v>
      </c>
    </row>
    <row r="849" spans="1:7" ht="15">
      <c r="A849" s="87" t="s">
        <v>4351</v>
      </c>
      <c r="B849" s="107">
        <v>2</v>
      </c>
      <c r="C849" s="109">
        <v>0.0009094471081736752</v>
      </c>
      <c r="D849" s="107" t="s">
        <v>4359</v>
      </c>
      <c r="E849" s="107" t="b">
        <v>0</v>
      </c>
      <c r="F849" s="107" t="b">
        <v>0</v>
      </c>
      <c r="G849" s="107" t="b">
        <v>0</v>
      </c>
    </row>
    <row r="850" spans="1:7" ht="15">
      <c r="A850" s="87" t="s">
        <v>4352</v>
      </c>
      <c r="B850" s="107">
        <v>2</v>
      </c>
      <c r="C850" s="109">
        <v>0.0009094471081736752</v>
      </c>
      <c r="D850" s="107" t="s">
        <v>4359</v>
      </c>
      <c r="E850" s="107" t="b">
        <v>0</v>
      </c>
      <c r="F850" s="107" t="b">
        <v>0</v>
      </c>
      <c r="G850" s="107" t="b">
        <v>0</v>
      </c>
    </row>
    <row r="851" spans="1:7" ht="15">
      <c r="A851" s="87" t="s">
        <v>4353</v>
      </c>
      <c r="B851" s="107">
        <v>2</v>
      </c>
      <c r="C851" s="109">
        <v>0.0009094471081736752</v>
      </c>
      <c r="D851" s="107" t="s">
        <v>4359</v>
      </c>
      <c r="E851" s="107" t="b">
        <v>0</v>
      </c>
      <c r="F851" s="107" t="b">
        <v>0</v>
      </c>
      <c r="G851" s="107" t="b">
        <v>0</v>
      </c>
    </row>
    <row r="852" spans="1:7" ht="15">
      <c r="A852" s="87" t="s">
        <v>3541</v>
      </c>
      <c r="B852" s="107">
        <v>34</v>
      </c>
      <c r="C852" s="109">
        <v>0.02154177894716644</v>
      </c>
      <c r="D852" s="107" t="s">
        <v>3500</v>
      </c>
      <c r="E852" s="107" t="b">
        <v>0</v>
      </c>
      <c r="F852" s="107" t="b">
        <v>0</v>
      </c>
      <c r="G852" s="107" t="b">
        <v>0</v>
      </c>
    </row>
    <row r="853" spans="1:7" ht="15">
      <c r="A853" s="87" t="s">
        <v>2785</v>
      </c>
      <c r="B853" s="107">
        <v>17</v>
      </c>
      <c r="C853" s="109">
        <v>0.013187351663799599</v>
      </c>
      <c r="D853" s="107" t="s">
        <v>3500</v>
      </c>
      <c r="E853" s="107" t="b">
        <v>1</v>
      </c>
      <c r="F853" s="107" t="b">
        <v>0</v>
      </c>
      <c r="G853" s="107" t="b">
        <v>0</v>
      </c>
    </row>
    <row r="854" spans="1:7" ht="15">
      <c r="A854" s="87" t="s">
        <v>3549</v>
      </c>
      <c r="B854" s="107">
        <v>17</v>
      </c>
      <c r="C854" s="109">
        <v>0.01392308593589595</v>
      </c>
      <c r="D854" s="107" t="s">
        <v>3500</v>
      </c>
      <c r="E854" s="107" t="b">
        <v>0</v>
      </c>
      <c r="F854" s="107" t="b">
        <v>0</v>
      </c>
      <c r="G854" s="107" t="b">
        <v>0</v>
      </c>
    </row>
    <row r="855" spans="1:7" ht="15">
      <c r="A855" s="87" t="s">
        <v>3544</v>
      </c>
      <c r="B855" s="107">
        <v>14</v>
      </c>
      <c r="C855" s="109">
        <v>0.011152292520598829</v>
      </c>
      <c r="D855" s="107" t="s">
        <v>3500</v>
      </c>
      <c r="E855" s="107" t="b">
        <v>1</v>
      </c>
      <c r="F855" s="107" t="b">
        <v>0</v>
      </c>
      <c r="G855" s="107" t="b">
        <v>0</v>
      </c>
    </row>
    <row r="856" spans="1:7" ht="15">
      <c r="A856" s="87" t="s">
        <v>3575</v>
      </c>
      <c r="B856" s="107">
        <v>13</v>
      </c>
      <c r="C856" s="109">
        <v>0.011303861448924658</v>
      </c>
      <c r="D856" s="107" t="s">
        <v>3500</v>
      </c>
      <c r="E856" s="107" t="b">
        <v>0</v>
      </c>
      <c r="F856" s="107" t="b">
        <v>0</v>
      </c>
      <c r="G856" s="107" t="b">
        <v>0</v>
      </c>
    </row>
    <row r="857" spans="1:7" ht="15">
      <c r="A857" s="87" t="s">
        <v>3536</v>
      </c>
      <c r="B857" s="107">
        <v>11</v>
      </c>
      <c r="C857" s="109">
        <v>0.01062422762400858</v>
      </c>
      <c r="D857" s="107" t="s">
        <v>3500</v>
      </c>
      <c r="E857" s="107" t="b">
        <v>0</v>
      </c>
      <c r="F857" s="107" t="b">
        <v>0</v>
      </c>
      <c r="G857" s="107" t="b">
        <v>0</v>
      </c>
    </row>
    <row r="858" spans="1:7" ht="15">
      <c r="A858" s="87" t="s">
        <v>3580</v>
      </c>
      <c r="B858" s="107">
        <v>10</v>
      </c>
      <c r="C858" s="109">
        <v>0.008983527934279374</v>
      </c>
      <c r="D858" s="107" t="s">
        <v>3500</v>
      </c>
      <c r="E858" s="107" t="b">
        <v>0</v>
      </c>
      <c r="F858" s="107" t="b">
        <v>0</v>
      </c>
      <c r="G858" s="107" t="b">
        <v>0</v>
      </c>
    </row>
    <row r="859" spans="1:7" ht="15">
      <c r="A859" s="87" t="s">
        <v>3591</v>
      </c>
      <c r="B859" s="107">
        <v>10</v>
      </c>
      <c r="C859" s="109">
        <v>0.010528435661412774</v>
      </c>
      <c r="D859" s="107" t="s">
        <v>3500</v>
      </c>
      <c r="E859" s="107" t="b">
        <v>0</v>
      </c>
      <c r="F859" s="107" t="b">
        <v>0</v>
      </c>
      <c r="G859" s="107" t="b">
        <v>0</v>
      </c>
    </row>
    <row r="860" spans="1:7" ht="15">
      <c r="A860" s="87" t="s">
        <v>3599</v>
      </c>
      <c r="B860" s="107">
        <v>10</v>
      </c>
      <c r="C860" s="109">
        <v>0.008983527934279374</v>
      </c>
      <c r="D860" s="107" t="s">
        <v>3500</v>
      </c>
      <c r="E860" s="107" t="b">
        <v>0</v>
      </c>
      <c r="F860" s="107" t="b">
        <v>0</v>
      </c>
      <c r="G860" s="107" t="b">
        <v>0</v>
      </c>
    </row>
    <row r="861" spans="1:7" ht="15">
      <c r="A861" s="87" t="s">
        <v>3598</v>
      </c>
      <c r="B861" s="107">
        <v>9</v>
      </c>
      <c r="C861" s="109">
        <v>0.00837195607054926</v>
      </c>
      <c r="D861" s="107" t="s">
        <v>3500</v>
      </c>
      <c r="E861" s="107" t="b">
        <v>0</v>
      </c>
      <c r="F861" s="107" t="b">
        <v>1</v>
      </c>
      <c r="G861" s="107" t="b">
        <v>0</v>
      </c>
    </row>
    <row r="862" spans="1:7" ht="15">
      <c r="A862" s="87" t="s">
        <v>3607</v>
      </c>
      <c r="B862" s="107">
        <v>9</v>
      </c>
      <c r="C862" s="109">
        <v>0.008692549874188837</v>
      </c>
      <c r="D862" s="107" t="s">
        <v>3500</v>
      </c>
      <c r="E862" s="107" t="b">
        <v>0</v>
      </c>
      <c r="F862" s="107" t="b">
        <v>0</v>
      </c>
      <c r="G862" s="107" t="b">
        <v>0</v>
      </c>
    </row>
    <row r="863" spans="1:7" ht="15">
      <c r="A863" s="87" t="s">
        <v>3556</v>
      </c>
      <c r="B863" s="107">
        <v>9</v>
      </c>
      <c r="C863" s="109">
        <v>0.009056009151904144</v>
      </c>
      <c r="D863" s="107" t="s">
        <v>3500</v>
      </c>
      <c r="E863" s="107" t="b">
        <v>0</v>
      </c>
      <c r="F863" s="107" t="b">
        <v>0</v>
      </c>
      <c r="G863" s="107" t="b">
        <v>0</v>
      </c>
    </row>
    <row r="864" spans="1:7" ht="15">
      <c r="A864" s="87" t="s">
        <v>3632</v>
      </c>
      <c r="B864" s="107">
        <v>7</v>
      </c>
      <c r="C864" s="109">
        <v>0.0077558859673993695</v>
      </c>
      <c r="D864" s="107" t="s">
        <v>3500</v>
      </c>
      <c r="E864" s="107" t="b">
        <v>0</v>
      </c>
      <c r="F864" s="107" t="b">
        <v>0</v>
      </c>
      <c r="G864" s="107" t="b">
        <v>0</v>
      </c>
    </row>
    <row r="865" spans="1:7" ht="15">
      <c r="A865" s="87" t="s">
        <v>3627</v>
      </c>
      <c r="B865" s="107">
        <v>7</v>
      </c>
      <c r="C865" s="109">
        <v>0.0077558859673993695</v>
      </c>
      <c r="D865" s="107" t="s">
        <v>3500</v>
      </c>
      <c r="E865" s="107" t="b">
        <v>0</v>
      </c>
      <c r="F865" s="107" t="b">
        <v>0</v>
      </c>
      <c r="G865" s="107" t="b">
        <v>0</v>
      </c>
    </row>
    <row r="866" spans="1:7" ht="15">
      <c r="A866" s="87" t="s">
        <v>2927</v>
      </c>
      <c r="B866" s="107">
        <v>7</v>
      </c>
      <c r="C866" s="109">
        <v>0.007043562673703223</v>
      </c>
      <c r="D866" s="107" t="s">
        <v>3500</v>
      </c>
      <c r="E866" s="107" t="b">
        <v>0</v>
      </c>
      <c r="F866" s="107" t="b">
        <v>0</v>
      </c>
      <c r="G866" s="107" t="b">
        <v>0</v>
      </c>
    </row>
    <row r="867" spans="1:7" ht="15">
      <c r="A867" s="87" t="s">
        <v>3636</v>
      </c>
      <c r="B867" s="107">
        <v>7</v>
      </c>
      <c r="C867" s="109">
        <v>0.007043562673703223</v>
      </c>
      <c r="D867" s="107" t="s">
        <v>3500</v>
      </c>
      <c r="E867" s="107" t="b">
        <v>0</v>
      </c>
      <c r="F867" s="107" t="b">
        <v>0</v>
      </c>
      <c r="G867" s="107" t="b">
        <v>0</v>
      </c>
    </row>
    <row r="868" spans="1:7" ht="15">
      <c r="A868" s="87" t="s">
        <v>2632</v>
      </c>
      <c r="B868" s="107">
        <v>7</v>
      </c>
      <c r="C868" s="109">
        <v>0.007043562673703223</v>
      </c>
      <c r="D868" s="107" t="s">
        <v>3500</v>
      </c>
      <c r="E868" s="107" t="b">
        <v>1</v>
      </c>
      <c r="F868" s="107" t="b">
        <v>0</v>
      </c>
      <c r="G868" s="107" t="b">
        <v>0</v>
      </c>
    </row>
    <row r="869" spans="1:7" ht="15">
      <c r="A869" s="87" t="s">
        <v>3638</v>
      </c>
      <c r="B869" s="107">
        <v>7</v>
      </c>
      <c r="C869" s="109">
        <v>0.007043562673703223</v>
      </c>
      <c r="D869" s="107" t="s">
        <v>3500</v>
      </c>
      <c r="E869" s="107" t="b">
        <v>0</v>
      </c>
      <c r="F869" s="107" t="b">
        <v>0</v>
      </c>
      <c r="G869" s="107" t="b">
        <v>0</v>
      </c>
    </row>
    <row r="870" spans="1:7" ht="15">
      <c r="A870" s="87" t="s">
        <v>3567</v>
      </c>
      <c r="B870" s="107">
        <v>7</v>
      </c>
      <c r="C870" s="109">
        <v>0.007369904962988942</v>
      </c>
      <c r="D870" s="107" t="s">
        <v>3500</v>
      </c>
      <c r="E870" s="107" t="b">
        <v>0</v>
      </c>
      <c r="F870" s="107" t="b">
        <v>0</v>
      </c>
      <c r="G870" s="107" t="b">
        <v>0</v>
      </c>
    </row>
    <row r="871" spans="1:7" ht="15">
      <c r="A871" s="87" t="s">
        <v>3659</v>
      </c>
      <c r="B871" s="107">
        <v>6</v>
      </c>
      <c r="C871" s="109">
        <v>0.0063170613968476655</v>
      </c>
      <c r="D871" s="107" t="s">
        <v>3500</v>
      </c>
      <c r="E871" s="107" t="b">
        <v>0</v>
      </c>
      <c r="F871" s="107" t="b">
        <v>0</v>
      </c>
      <c r="G871" s="107" t="b">
        <v>0</v>
      </c>
    </row>
    <row r="872" spans="1:7" ht="15">
      <c r="A872" s="87" t="s">
        <v>3649</v>
      </c>
      <c r="B872" s="107">
        <v>6</v>
      </c>
      <c r="C872" s="109">
        <v>0.006647902257770888</v>
      </c>
      <c r="D872" s="107" t="s">
        <v>3500</v>
      </c>
      <c r="E872" s="107" t="b">
        <v>1</v>
      </c>
      <c r="F872" s="107" t="b">
        <v>0</v>
      </c>
      <c r="G872" s="107" t="b">
        <v>0</v>
      </c>
    </row>
    <row r="873" spans="1:7" ht="15">
      <c r="A873" s="87" t="s">
        <v>3583</v>
      </c>
      <c r="B873" s="107">
        <v>6</v>
      </c>
      <c r="C873" s="109">
        <v>0.0063170613968476655</v>
      </c>
      <c r="D873" s="107" t="s">
        <v>3500</v>
      </c>
      <c r="E873" s="107" t="b">
        <v>0</v>
      </c>
      <c r="F873" s="107" t="b">
        <v>0</v>
      </c>
      <c r="G873" s="107" t="b">
        <v>0</v>
      </c>
    </row>
    <row r="874" spans="1:7" ht="15">
      <c r="A874" s="87" t="s">
        <v>2881</v>
      </c>
      <c r="B874" s="107">
        <v>6</v>
      </c>
      <c r="C874" s="109">
        <v>0.006647902257770888</v>
      </c>
      <c r="D874" s="107" t="s">
        <v>3500</v>
      </c>
      <c r="E874" s="107" t="b">
        <v>0</v>
      </c>
      <c r="F874" s="107" t="b">
        <v>0</v>
      </c>
      <c r="G874" s="107" t="b">
        <v>0</v>
      </c>
    </row>
    <row r="875" spans="1:7" ht="15">
      <c r="A875" s="87" t="s">
        <v>3652</v>
      </c>
      <c r="B875" s="107">
        <v>6</v>
      </c>
      <c r="C875" s="109">
        <v>0.0063170613968476655</v>
      </c>
      <c r="D875" s="107" t="s">
        <v>3500</v>
      </c>
      <c r="E875" s="107" t="b">
        <v>0</v>
      </c>
      <c r="F875" s="107" t="b">
        <v>0</v>
      </c>
      <c r="G875" s="107" t="b">
        <v>0</v>
      </c>
    </row>
    <row r="876" spans="1:7" ht="15">
      <c r="A876" s="87" t="s">
        <v>3642</v>
      </c>
      <c r="B876" s="107">
        <v>6</v>
      </c>
      <c r="C876" s="109">
        <v>0.006647902257770888</v>
      </c>
      <c r="D876" s="107" t="s">
        <v>3500</v>
      </c>
      <c r="E876" s="107" t="b">
        <v>0</v>
      </c>
      <c r="F876" s="107" t="b">
        <v>0</v>
      </c>
      <c r="G876" s="107" t="b">
        <v>0</v>
      </c>
    </row>
    <row r="877" spans="1:7" ht="15">
      <c r="A877" s="87" t="s">
        <v>2941</v>
      </c>
      <c r="B877" s="107">
        <v>6</v>
      </c>
      <c r="C877" s="109">
        <v>0.006647902257770888</v>
      </c>
      <c r="D877" s="107" t="s">
        <v>3500</v>
      </c>
      <c r="E877" s="107" t="b">
        <v>0</v>
      </c>
      <c r="F877" s="107" t="b">
        <v>0</v>
      </c>
      <c r="G877" s="107" t="b">
        <v>0</v>
      </c>
    </row>
    <row r="878" spans="1:7" ht="15">
      <c r="A878" s="87" t="s">
        <v>2737</v>
      </c>
      <c r="B878" s="107">
        <v>5</v>
      </c>
      <c r="C878" s="109">
        <v>0.005877348955552073</v>
      </c>
      <c r="D878" s="107" t="s">
        <v>3500</v>
      </c>
      <c r="E878" s="107" t="b">
        <v>0</v>
      </c>
      <c r="F878" s="107" t="b">
        <v>0</v>
      </c>
      <c r="G878" s="107" t="b">
        <v>0</v>
      </c>
    </row>
    <row r="879" spans="1:7" ht="15">
      <c r="A879" s="87" t="s">
        <v>2951</v>
      </c>
      <c r="B879" s="107">
        <v>5</v>
      </c>
      <c r="C879" s="109">
        <v>0.005539918548142406</v>
      </c>
      <c r="D879" s="107" t="s">
        <v>3500</v>
      </c>
      <c r="E879" s="107" t="b">
        <v>1</v>
      </c>
      <c r="F879" s="107" t="b">
        <v>0</v>
      </c>
      <c r="G879" s="107" t="b">
        <v>0</v>
      </c>
    </row>
    <row r="880" spans="1:7" ht="15">
      <c r="A880" s="87" t="s">
        <v>3581</v>
      </c>
      <c r="B880" s="107">
        <v>5</v>
      </c>
      <c r="C880" s="109">
        <v>0.005539918548142406</v>
      </c>
      <c r="D880" s="107" t="s">
        <v>3500</v>
      </c>
      <c r="E880" s="107" t="b">
        <v>0</v>
      </c>
      <c r="F880" s="107" t="b">
        <v>0</v>
      </c>
      <c r="G880" s="107" t="b">
        <v>0</v>
      </c>
    </row>
    <row r="881" spans="1:7" ht="15">
      <c r="A881" s="87" t="s">
        <v>3585</v>
      </c>
      <c r="B881" s="107">
        <v>5</v>
      </c>
      <c r="C881" s="109">
        <v>0.005877348955552073</v>
      </c>
      <c r="D881" s="107" t="s">
        <v>3500</v>
      </c>
      <c r="E881" s="107" t="b">
        <v>0</v>
      </c>
      <c r="F881" s="107" t="b">
        <v>0</v>
      </c>
      <c r="G881" s="107" t="b">
        <v>0</v>
      </c>
    </row>
    <row r="882" spans="1:7" ht="15">
      <c r="A882" s="87" t="s">
        <v>3550</v>
      </c>
      <c r="B882" s="107">
        <v>5</v>
      </c>
      <c r="C882" s="109">
        <v>0.005539918548142406</v>
      </c>
      <c r="D882" s="107" t="s">
        <v>3500</v>
      </c>
      <c r="E882" s="107" t="b">
        <v>0</v>
      </c>
      <c r="F882" s="107" t="b">
        <v>0</v>
      </c>
      <c r="G882" s="107" t="b">
        <v>0</v>
      </c>
    </row>
    <row r="883" spans="1:7" ht="15">
      <c r="A883" s="87" t="s">
        <v>3682</v>
      </c>
      <c r="B883" s="107">
        <v>5</v>
      </c>
      <c r="C883" s="109">
        <v>0.005539918548142406</v>
      </c>
      <c r="D883" s="107" t="s">
        <v>3500</v>
      </c>
      <c r="E883" s="107" t="b">
        <v>0</v>
      </c>
      <c r="F883" s="107" t="b">
        <v>0</v>
      </c>
      <c r="G883" s="107" t="b">
        <v>0</v>
      </c>
    </row>
    <row r="884" spans="1:7" ht="15">
      <c r="A884" s="87" t="s">
        <v>3624</v>
      </c>
      <c r="B884" s="107">
        <v>5</v>
      </c>
      <c r="C884" s="109">
        <v>0.005877348955552073</v>
      </c>
      <c r="D884" s="107" t="s">
        <v>3500</v>
      </c>
      <c r="E884" s="107" t="b">
        <v>0</v>
      </c>
      <c r="F884" s="107" t="b">
        <v>0</v>
      </c>
      <c r="G884" s="107" t="b">
        <v>0</v>
      </c>
    </row>
    <row r="885" spans="1:7" ht="15">
      <c r="A885" s="87" t="s">
        <v>3647</v>
      </c>
      <c r="B885" s="107">
        <v>5</v>
      </c>
      <c r="C885" s="109">
        <v>0.005877348955552073</v>
      </c>
      <c r="D885" s="107" t="s">
        <v>3500</v>
      </c>
      <c r="E885" s="107" t="b">
        <v>0</v>
      </c>
      <c r="F885" s="107" t="b">
        <v>0</v>
      </c>
      <c r="G885" s="107" t="b">
        <v>0</v>
      </c>
    </row>
    <row r="886" spans="1:7" ht="15">
      <c r="A886" s="87" t="s">
        <v>3693</v>
      </c>
      <c r="B886" s="107">
        <v>5</v>
      </c>
      <c r="C886" s="109">
        <v>0.005877348955552073</v>
      </c>
      <c r="D886" s="107" t="s">
        <v>3500</v>
      </c>
      <c r="E886" s="107" t="b">
        <v>0</v>
      </c>
      <c r="F886" s="107" t="b">
        <v>0</v>
      </c>
      <c r="G886" s="107" t="b">
        <v>0</v>
      </c>
    </row>
    <row r="887" spans="1:7" ht="15">
      <c r="A887" s="87" t="s">
        <v>3690</v>
      </c>
      <c r="B887" s="107">
        <v>5</v>
      </c>
      <c r="C887" s="109">
        <v>0.005539918548142406</v>
      </c>
      <c r="D887" s="107" t="s">
        <v>3500</v>
      </c>
      <c r="E887" s="107" t="b">
        <v>0</v>
      </c>
      <c r="F887" s="107" t="b">
        <v>0</v>
      </c>
      <c r="G887" s="107" t="b">
        <v>0</v>
      </c>
    </row>
    <row r="888" spans="1:7" ht="15">
      <c r="A888" s="87" t="s">
        <v>3688</v>
      </c>
      <c r="B888" s="107">
        <v>5</v>
      </c>
      <c r="C888" s="109">
        <v>0.005877348955552073</v>
      </c>
      <c r="D888" s="107" t="s">
        <v>3500</v>
      </c>
      <c r="E888" s="107" t="b">
        <v>0</v>
      </c>
      <c r="F888" s="107" t="b">
        <v>0</v>
      </c>
      <c r="G888" s="107" t="b">
        <v>0</v>
      </c>
    </row>
    <row r="889" spans="1:7" ht="15">
      <c r="A889" s="87" t="s">
        <v>2731</v>
      </c>
      <c r="B889" s="107">
        <v>5</v>
      </c>
      <c r="C889" s="109">
        <v>0.005539918548142406</v>
      </c>
      <c r="D889" s="107" t="s">
        <v>3500</v>
      </c>
      <c r="E889" s="107" t="b">
        <v>0</v>
      </c>
      <c r="F889" s="107" t="b">
        <v>0</v>
      </c>
      <c r="G889" s="107" t="b">
        <v>0</v>
      </c>
    </row>
    <row r="890" spans="1:7" ht="15">
      <c r="A890" s="87" t="s">
        <v>3574</v>
      </c>
      <c r="B890" s="107">
        <v>5</v>
      </c>
      <c r="C890" s="109">
        <v>0.005539918548142406</v>
      </c>
      <c r="D890" s="107" t="s">
        <v>3500</v>
      </c>
      <c r="E890" s="107" t="b">
        <v>0</v>
      </c>
      <c r="F890" s="107" t="b">
        <v>0</v>
      </c>
      <c r="G890" s="107" t="b">
        <v>0</v>
      </c>
    </row>
    <row r="891" spans="1:7" ht="15">
      <c r="A891" s="87" t="s">
        <v>3537</v>
      </c>
      <c r="B891" s="107">
        <v>5</v>
      </c>
      <c r="C891" s="109">
        <v>0.005877348955552073</v>
      </c>
      <c r="D891" s="107" t="s">
        <v>3500</v>
      </c>
      <c r="E891" s="107" t="b">
        <v>0</v>
      </c>
      <c r="F891" s="107" t="b">
        <v>0</v>
      </c>
      <c r="G891" s="107" t="b">
        <v>0</v>
      </c>
    </row>
    <row r="892" spans="1:7" ht="15">
      <c r="A892" s="87" t="s">
        <v>3695</v>
      </c>
      <c r="B892" s="107">
        <v>5</v>
      </c>
      <c r="C892" s="109">
        <v>0.005877348955552073</v>
      </c>
      <c r="D892" s="107" t="s">
        <v>3500</v>
      </c>
      <c r="E892" s="107" t="b">
        <v>0</v>
      </c>
      <c r="F892" s="107" t="b">
        <v>1</v>
      </c>
      <c r="G892" s="107" t="b">
        <v>0</v>
      </c>
    </row>
    <row r="893" spans="1:7" ht="15">
      <c r="A893" s="87" t="s">
        <v>3589</v>
      </c>
      <c r="B893" s="107">
        <v>5</v>
      </c>
      <c r="C893" s="109">
        <v>0.005539918548142406</v>
      </c>
      <c r="D893" s="107" t="s">
        <v>3500</v>
      </c>
      <c r="E893" s="107" t="b">
        <v>0</v>
      </c>
      <c r="F893" s="107" t="b">
        <v>1</v>
      </c>
      <c r="G893" s="107" t="b">
        <v>0</v>
      </c>
    </row>
    <row r="894" spans="1:7" ht="15">
      <c r="A894" s="87" t="s">
        <v>3709</v>
      </c>
      <c r="B894" s="107">
        <v>5</v>
      </c>
      <c r="C894" s="109">
        <v>0.006312372411709107</v>
      </c>
      <c r="D894" s="107" t="s">
        <v>3500</v>
      </c>
      <c r="E894" s="107" t="b">
        <v>0</v>
      </c>
      <c r="F894" s="107" t="b">
        <v>0</v>
      </c>
      <c r="G894" s="107" t="b">
        <v>0</v>
      </c>
    </row>
    <row r="895" spans="1:7" ht="15">
      <c r="A895" s="87" t="s">
        <v>3631</v>
      </c>
      <c r="B895" s="107">
        <v>5</v>
      </c>
      <c r="C895" s="109">
        <v>0.005539918548142406</v>
      </c>
      <c r="D895" s="107" t="s">
        <v>3500</v>
      </c>
      <c r="E895" s="107" t="b">
        <v>0</v>
      </c>
      <c r="F895" s="107" t="b">
        <v>0</v>
      </c>
      <c r="G895" s="107" t="b">
        <v>0</v>
      </c>
    </row>
    <row r="896" spans="1:7" ht="15">
      <c r="A896" s="87" t="s">
        <v>3573</v>
      </c>
      <c r="B896" s="107">
        <v>4</v>
      </c>
      <c r="C896" s="109">
        <v>0.004701879164441659</v>
      </c>
      <c r="D896" s="107" t="s">
        <v>3500</v>
      </c>
      <c r="E896" s="107" t="b">
        <v>0</v>
      </c>
      <c r="F896" s="107" t="b">
        <v>0</v>
      </c>
      <c r="G896" s="107" t="b">
        <v>0</v>
      </c>
    </row>
    <row r="897" spans="1:7" ht="15">
      <c r="A897" s="87" t="s">
        <v>3784</v>
      </c>
      <c r="B897" s="107">
        <v>4</v>
      </c>
      <c r="C897" s="109">
        <v>0.005049897929367286</v>
      </c>
      <c r="D897" s="107" t="s">
        <v>3500</v>
      </c>
      <c r="E897" s="107" t="b">
        <v>0</v>
      </c>
      <c r="F897" s="107" t="b">
        <v>0</v>
      </c>
      <c r="G897" s="107" t="b">
        <v>0</v>
      </c>
    </row>
    <row r="898" spans="1:7" ht="15">
      <c r="A898" s="87" t="s">
        <v>3555</v>
      </c>
      <c r="B898" s="107">
        <v>4</v>
      </c>
      <c r="C898" s="109">
        <v>0.004701879164441659</v>
      </c>
      <c r="D898" s="107" t="s">
        <v>3500</v>
      </c>
      <c r="E898" s="107" t="b">
        <v>1</v>
      </c>
      <c r="F898" s="107" t="b">
        <v>0</v>
      </c>
      <c r="G898" s="107" t="b">
        <v>0</v>
      </c>
    </row>
    <row r="899" spans="1:7" ht="15">
      <c r="A899" s="87" t="s">
        <v>3760</v>
      </c>
      <c r="B899" s="107">
        <v>4</v>
      </c>
      <c r="C899" s="109">
        <v>0.004701879164441659</v>
      </c>
      <c r="D899" s="107" t="s">
        <v>3500</v>
      </c>
      <c r="E899" s="107" t="b">
        <v>0</v>
      </c>
      <c r="F899" s="107" t="b">
        <v>0</v>
      </c>
      <c r="G899" s="107" t="b">
        <v>0</v>
      </c>
    </row>
    <row r="900" spans="1:7" ht="15">
      <c r="A900" s="87" t="s">
        <v>3762</v>
      </c>
      <c r="B900" s="107">
        <v>4</v>
      </c>
      <c r="C900" s="109">
        <v>0.004701879164441659</v>
      </c>
      <c r="D900" s="107" t="s">
        <v>3500</v>
      </c>
      <c r="E900" s="107" t="b">
        <v>0</v>
      </c>
      <c r="F900" s="107" t="b">
        <v>0</v>
      </c>
      <c r="G900" s="107" t="b">
        <v>0</v>
      </c>
    </row>
    <row r="901" spans="1:7" ht="15">
      <c r="A901" s="87" t="s">
        <v>3753</v>
      </c>
      <c r="B901" s="107">
        <v>4</v>
      </c>
      <c r="C901" s="109">
        <v>0.005049897929367286</v>
      </c>
      <c r="D901" s="107" t="s">
        <v>3500</v>
      </c>
      <c r="E901" s="107" t="b">
        <v>0</v>
      </c>
      <c r="F901" s="107" t="b">
        <v>0</v>
      </c>
      <c r="G901" s="107" t="b">
        <v>0</v>
      </c>
    </row>
    <row r="902" spans="1:7" ht="15">
      <c r="A902" s="87" t="s">
        <v>3706</v>
      </c>
      <c r="B902" s="107">
        <v>4</v>
      </c>
      <c r="C902" s="109">
        <v>0.005049897929367286</v>
      </c>
      <c r="D902" s="107" t="s">
        <v>3500</v>
      </c>
      <c r="E902" s="107" t="b">
        <v>0</v>
      </c>
      <c r="F902" s="107" t="b">
        <v>0</v>
      </c>
      <c r="G902" s="107" t="b">
        <v>0</v>
      </c>
    </row>
    <row r="903" spans="1:7" ht="15">
      <c r="A903" s="87" t="s">
        <v>3614</v>
      </c>
      <c r="B903" s="107">
        <v>4</v>
      </c>
      <c r="C903" s="109">
        <v>0.004701879164441659</v>
      </c>
      <c r="D903" s="107" t="s">
        <v>3500</v>
      </c>
      <c r="E903" s="107" t="b">
        <v>0</v>
      </c>
      <c r="F903" s="107" t="b">
        <v>1</v>
      </c>
      <c r="G903" s="107" t="b">
        <v>0</v>
      </c>
    </row>
    <row r="904" spans="1:7" ht="15">
      <c r="A904" s="87" t="s">
        <v>3606</v>
      </c>
      <c r="B904" s="107">
        <v>4</v>
      </c>
      <c r="C904" s="109">
        <v>0.004701879164441659</v>
      </c>
      <c r="D904" s="107" t="s">
        <v>3500</v>
      </c>
      <c r="E904" s="107" t="b">
        <v>0</v>
      </c>
      <c r="F904" s="107" t="b">
        <v>0</v>
      </c>
      <c r="G904" s="107" t="b">
        <v>0</v>
      </c>
    </row>
    <row r="905" spans="1:7" ht="15">
      <c r="A905" s="87" t="s">
        <v>3587</v>
      </c>
      <c r="B905" s="107">
        <v>4</v>
      </c>
      <c r="C905" s="109">
        <v>0.005049897929367286</v>
      </c>
      <c r="D905" s="107" t="s">
        <v>3500</v>
      </c>
      <c r="E905" s="107" t="b">
        <v>1</v>
      </c>
      <c r="F905" s="107" t="b">
        <v>0</v>
      </c>
      <c r="G905" s="107" t="b">
        <v>0</v>
      </c>
    </row>
    <row r="906" spans="1:7" ht="15">
      <c r="A906" s="87" t="s">
        <v>3712</v>
      </c>
      <c r="B906" s="107">
        <v>4</v>
      </c>
      <c r="C906" s="109">
        <v>0.005049897929367286</v>
      </c>
      <c r="D906" s="107" t="s">
        <v>3500</v>
      </c>
      <c r="E906" s="107" t="b">
        <v>0</v>
      </c>
      <c r="F906" s="107" t="b">
        <v>0</v>
      </c>
      <c r="G906" s="107" t="b">
        <v>0</v>
      </c>
    </row>
    <row r="907" spans="1:7" ht="15">
      <c r="A907" s="87" t="s">
        <v>3597</v>
      </c>
      <c r="B907" s="107">
        <v>4</v>
      </c>
      <c r="C907" s="109">
        <v>0.005049897929367286</v>
      </c>
      <c r="D907" s="107" t="s">
        <v>3500</v>
      </c>
      <c r="E907" s="107" t="b">
        <v>0</v>
      </c>
      <c r="F907" s="107" t="b">
        <v>0</v>
      </c>
      <c r="G907" s="107" t="b">
        <v>0</v>
      </c>
    </row>
    <row r="908" spans="1:7" ht="15">
      <c r="A908" s="87" t="s">
        <v>3543</v>
      </c>
      <c r="B908" s="107">
        <v>4</v>
      </c>
      <c r="C908" s="109">
        <v>0.004701879164441659</v>
      </c>
      <c r="D908" s="107" t="s">
        <v>3500</v>
      </c>
      <c r="E908" s="107" t="b">
        <v>1</v>
      </c>
      <c r="F908" s="107" t="b">
        <v>0</v>
      </c>
      <c r="G908" s="107" t="b">
        <v>0</v>
      </c>
    </row>
    <row r="909" spans="1:7" ht="15">
      <c r="A909" s="87" t="s">
        <v>3783</v>
      </c>
      <c r="B909" s="107">
        <v>4</v>
      </c>
      <c r="C909" s="109">
        <v>0.004701879164441659</v>
      </c>
      <c r="D909" s="107" t="s">
        <v>3500</v>
      </c>
      <c r="E909" s="107" t="b">
        <v>0</v>
      </c>
      <c r="F909" s="107" t="b">
        <v>0</v>
      </c>
      <c r="G909" s="107" t="b">
        <v>0</v>
      </c>
    </row>
    <row r="910" spans="1:7" ht="15">
      <c r="A910" s="87" t="s">
        <v>3793</v>
      </c>
      <c r="B910" s="107">
        <v>4</v>
      </c>
      <c r="C910" s="109">
        <v>0.004701879164441659</v>
      </c>
      <c r="D910" s="107" t="s">
        <v>3500</v>
      </c>
      <c r="E910" s="107" t="b">
        <v>0</v>
      </c>
      <c r="F910" s="107" t="b">
        <v>0</v>
      </c>
      <c r="G910" s="107" t="b">
        <v>0</v>
      </c>
    </row>
    <row r="911" spans="1:7" ht="15">
      <c r="A911" s="87" t="s">
        <v>3786</v>
      </c>
      <c r="B911" s="107">
        <v>4</v>
      </c>
      <c r="C911" s="109">
        <v>0.005049897929367286</v>
      </c>
      <c r="D911" s="107" t="s">
        <v>3500</v>
      </c>
      <c r="E911" s="107" t="b">
        <v>0</v>
      </c>
      <c r="F911" s="107" t="b">
        <v>0</v>
      </c>
      <c r="G911" s="107" t="b">
        <v>0</v>
      </c>
    </row>
    <row r="912" spans="1:7" ht="15">
      <c r="A912" s="87" t="s">
        <v>3754</v>
      </c>
      <c r="B912" s="107">
        <v>4</v>
      </c>
      <c r="C912" s="109">
        <v>0.004701879164441659</v>
      </c>
      <c r="D912" s="107" t="s">
        <v>3500</v>
      </c>
      <c r="E912" s="107" t="b">
        <v>0</v>
      </c>
      <c r="F912" s="107" t="b">
        <v>0</v>
      </c>
      <c r="G912" s="107" t="b">
        <v>0</v>
      </c>
    </row>
    <row r="913" spans="1:7" ht="15">
      <c r="A913" s="87" t="s">
        <v>3721</v>
      </c>
      <c r="B913" s="107">
        <v>4</v>
      </c>
      <c r="C913" s="109">
        <v>0.005049897929367286</v>
      </c>
      <c r="D913" s="107" t="s">
        <v>3500</v>
      </c>
      <c r="E913" s="107" t="b">
        <v>0</v>
      </c>
      <c r="F913" s="107" t="b">
        <v>0</v>
      </c>
      <c r="G913" s="107" t="b">
        <v>0</v>
      </c>
    </row>
    <row r="914" spans="1:7" ht="15">
      <c r="A914" s="87" t="s">
        <v>3771</v>
      </c>
      <c r="B914" s="107">
        <v>4</v>
      </c>
      <c r="C914" s="109">
        <v>0.006378926494046011</v>
      </c>
      <c r="D914" s="107" t="s">
        <v>3500</v>
      </c>
      <c r="E914" s="107" t="b">
        <v>0</v>
      </c>
      <c r="F914" s="107" t="b">
        <v>0</v>
      </c>
      <c r="G914" s="107" t="b">
        <v>0</v>
      </c>
    </row>
    <row r="915" spans="1:7" ht="15">
      <c r="A915" s="87" t="s">
        <v>3775</v>
      </c>
      <c r="B915" s="107">
        <v>4</v>
      </c>
      <c r="C915" s="109">
        <v>0.004701879164441659</v>
      </c>
      <c r="D915" s="107" t="s">
        <v>3500</v>
      </c>
      <c r="E915" s="107" t="b">
        <v>0</v>
      </c>
      <c r="F915" s="107" t="b">
        <v>0</v>
      </c>
      <c r="G915" s="107" t="b">
        <v>0</v>
      </c>
    </row>
    <row r="916" spans="1:7" ht="15">
      <c r="A916" s="87" t="s">
        <v>3740</v>
      </c>
      <c r="B916" s="107">
        <v>4</v>
      </c>
      <c r="C916" s="109">
        <v>0.004701879164441659</v>
      </c>
      <c r="D916" s="107" t="s">
        <v>3500</v>
      </c>
      <c r="E916" s="107" t="b">
        <v>0</v>
      </c>
      <c r="F916" s="107" t="b">
        <v>0</v>
      </c>
      <c r="G916" s="107" t="b">
        <v>0</v>
      </c>
    </row>
    <row r="917" spans="1:7" ht="15">
      <c r="A917" s="87" t="s">
        <v>3723</v>
      </c>
      <c r="B917" s="107">
        <v>4</v>
      </c>
      <c r="C917" s="109">
        <v>0.004701879164441659</v>
      </c>
      <c r="D917" s="107" t="s">
        <v>3500</v>
      </c>
      <c r="E917" s="107" t="b">
        <v>0</v>
      </c>
      <c r="F917" s="107" t="b">
        <v>0</v>
      </c>
      <c r="G917" s="107" t="b">
        <v>0</v>
      </c>
    </row>
    <row r="918" spans="1:7" ht="15">
      <c r="A918" s="87" t="s">
        <v>3769</v>
      </c>
      <c r="B918" s="107">
        <v>4</v>
      </c>
      <c r="C918" s="109">
        <v>0.004701879164441659</v>
      </c>
      <c r="D918" s="107" t="s">
        <v>3500</v>
      </c>
      <c r="E918" s="107" t="b">
        <v>0</v>
      </c>
      <c r="F918" s="107" t="b">
        <v>0</v>
      </c>
      <c r="G918" s="107" t="b">
        <v>0</v>
      </c>
    </row>
    <row r="919" spans="1:7" ht="15">
      <c r="A919" s="87" t="s">
        <v>3625</v>
      </c>
      <c r="B919" s="107">
        <v>4</v>
      </c>
      <c r="C919" s="109">
        <v>0.005049897929367286</v>
      </c>
      <c r="D919" s="107" t="s">
        <v>3500</v>
      </c>
      <c r="E919" s="107" t="b">
        <v>1</v>
      </c>
      <c r="F919" s="107" t="b">
        <v>0</v>
      </c>
      <c r="G919" s="107" t="b">
        <v>0</v>
      </c>
    </row>
    <row r="920" spans="1:7" ht="15">
      <c r="A920" s="87" t="s">
        <v>3757</v>
      </c>
      <c r="B920" s="107">
        <v>4</v>
      </c>
      <c r="C920" s="109">
        <v>0.005049897929367286</v>
      </c>
      <c r="D920" s="107" t="s">
        <v>3500</v>
      </c>
      <c r="E920" s="107" t="b">
        <v>1</v>
      </c>
      <c r="F920" s="107" t="b">
        <v>0</v>
      </c>
      <c r="G920" s="107" t="b">
        <v>0</v>
      </c>
    </row>
    <row r="921" spans="1:7" ht="15">
      <c r="A921" s="87" t="s">
        <v>3628</v>
      </c>
      <c r="B921" s="107">
        <v>4</v>
      </c>
      <c r="C921" s="109">
        <v>0.005049897929367286</v>
      </c>
      <c r="D921" s="107" t="s">
        <v>3500</v>
      </c>
      <c r="E921" s="107" t="b">
        <v>0</v>
      </c>
      <c r="F921" s="107" t="b">
        <v>0</v>
      </c>
      <c r="G921" s="107" t="b">
        <v>0</v>
      </c>
    </row>
    <row r="922" spans="1:7" ht="15">
      <c r="A922" s="87" t="s">
        <v>3570</v>
      </c>
      <c r="B922" s="107">
        <v>3</v>
      </c>
      <c r="C922" s="109">
        <v>0.0037874234470254642</v>
      </c>
      <c r="D922" s="107" t="s">
        <v>3500</v>
      </c>
      <c r="E922" s="107" t="b">
        <v>1</v>
      </c>
      <c r="F922" s="107" t="b">
        <v>0</v>
      </c>
      <c r="G922" s="107" t="b">
        <v>0</v>
      </c>
    </row>
    <row r="923" spans="1:7" ht="15">
      <c r="A923" s="87" t="s">
        <v>3920</v>
      </c>
      <c r="B923" s="107">
        <v>3</v>
      </c>
      <c r="C923" s="109">
        <v>0.004155302121932877</v>
      </c>
      <c r="D923" s="107" t="s">
        <v>3500</v>
      </c>
      <c r="E923" s="107" t="b">
        <v>0</v>
      </c>
      <c r="F923" s="107" t="b">
        <v>0</v>
      </c>
      <c r="G923" s="107" t="b">
        <v>0</v>
      </c>
    </row>
    <row r="924" spans="1:7" ht="15">
      <c r="A924" s="87" t="s">
        <v>3863</v>
      </c>
      <c r="B924" s="107">
        <v>3</v>
      </c>
      <c r="C924" s="109">
        <v>0.0037874234470254642</v>
      </c>
      <c r="D924" s="107" t="s">
        <v>3500</v>
      </c>
      <c r="E924" s="107" t="b">
        <v>0</v>
      </c>
      <c r="F924" s="107" t="b">
        <v>0</v>
      </c>
      <c r="G924" s="107" t="b">
        <v>0</v>
      </c>
    </row>
    <row r="925" spans="1:7" ht="15">
      <c r="A925" s="87" t="s">
        <v>3893</v>
      </c>
      <c r="B925" s="107">
        <v>3</v>
      </c>
      <c r="C925" s="109">
        <v>0.0037874234470254642</v>
      </c>
      <c r="D925" s="107" t="s">
        <v>3500</v>
      </c>
      <c r="E925" s="107" t="b">
        <v>0</v>
      </c>
      <c r="F925" s="107" t="b">
        <v>0</v>
      </c>
      <c r="G925" s="107" t="b">
        <v>0</v>
      </c>
    </row>
    <row r="926" spans="1:7" ht="15">
      <c r="A926" s="87" t="s">
        <v>3719</v>
      </c>
      <c r="B926" s="107">
        <v>3</v>
      </c>
      <c r="C926" s="109">
        <v>0.0037874234470254642</v>
      </c>
      <c r="D926" s="107" t="s">
        <v>3500</v>
      </c>
      <c r="E926" s="107" t="b">
        <v>1</v>
      </c>
      <c r="F926" s="107" t="b">
        <v>0</v>
      </c>
      <c r="G926" s="107" t="b">
        <v>0</v>
      </c>
    </row>
    <row r="927" spans="1:7" ht="15">
      <c r="A927" s="87" t="s">
        <v>3937</v>
      </c>
      <c r="B927" s="107">
        <v>3</v>
      </c>
      <c r="C927" s="109">
        <v>0.004155302121932877</v>
      </c>
      <c r="D927" s="107" t="s">
        <v>3500</v>
      </c>
      <c r="E927" s="107" t="b">
        <v>0</v>
      </c>
      <c r="F927" s="107" t="b">
        <v>0</v>
      </c>
      <c r="G927" s="107" t="b">
        <v>0</v>
      </c>
    </row>
    <row r="928" spans="1:7" ht="15">
      <c r="A928" s="87" t="s">
        <v>3569</v>
      </c>
      <c r="B928" s="107">
        <v>3</v>
      </c>
      <c r="C928" s="109">
        <v>0.0037874234470254642</v>
      </c>
      <c r="D928" s="107" t="s">
        <v>3500</v>
      </c>
      <c r="E928" s="107" t="b">
        <v>0</v>
      </c>
      <c r="F928" s="107" t="b">
        <v>0</v>
      </c>
      <c r="G928" s="107" t="b">
        <v>0</v>
      </c>
    </row>
    <row r="929" spans="1:7" ht="15">
      <c r="A929" s="87" t="s">
        <v>3551</v>
      </c>
      <c r="B929" s="107">
        <v>3</v>
      </c>
      <c r="C929" s="109">
        <v>0.0037874234470254642</v>
      </c>
      <c r="D929" s="107" t="s">
        <v>3500</v>
      </c>
      <c r="E929" s="107" t="b">
        <v>1</v>
      </c>
      <c r="F929" s="107" t="b">
        <v>0</v>
      </c>
      <c r="G929" s="107" t="b">
        <v>0</v>
      </c>
    </row>
    <row r="930" spans="1:7" ht="15">
      <c r="A930" s="87" t="s">
        <v>3913</v>
      </c>
      <c r="B930" s="107">
        <v>3</v>
      </c>
      <c r="C930" s="109">
        <v>0.0037874234470254642</v>
      </c>
      <c r="D930" s="107" t="s">
        <v>3500</v>
      </c>
      <c r="E930" s="107" t="b">
        <v>0</v>
      </c>
      <c r="F930" s="107" t="b">
        <v>0</v>
      </c>
      <c r="G930" s="107" t="b">
        <v>0</v>
      </c>
    </row>
    <row r="931" spans="1:7" ht="15">
      <c r="A931" s="87" t="s">
        <v>3903</v>
      </c>
      <c r="B931" s="107">
        <v>3</v>
      </c>
      <c r="C931" s="109">
        <v>0.0037874234470254642</v>
      </c>
      <c r="D931" s="107" t="s">
        <v>3500</v>
      </c>
      <c r="E931" s="107" t="b">
        <v>0</v>
      </c>
      <c r="F931" s="107" t="b">
        <v>0</v>
      </c>
      <c r="G931" s="107" t="b">
        <v>0</v>
      </c>
    </row>
    <row r="932" spans="1:7" ht="15">
      <c r="A932" s="87" t="s">
        <v>3623</v>
      </c>
      <c r="B932" s="107">
        <v>3</v>
      </c>
      <c r="C932" s="109">
        <v>0.004155302121932877</v>
      </c>
      <c r="D932" s="107" t="s">
        <v>3500</v>
      </c>
      <c r="E932" s="107" t="b">
        <v>0</v>
      </c>
      <c r="F932" s="107" t="b">
        <v>0</v>
      </c>
      <c r="G932" s="107" t="b">
        <v>0</v>
      </c>
    </row>
    <row r="933" spans="1:7" ht="15">
      <c r="A933" s="87" t="s">
        <v>3896</v>
      </c>
      <c r="B933" s="107">
        <v>3</v>
      </c>
      <c r="C933" s="109">
        <v>0.0047841948705345085</v>
      </c>
      <c r="D933" s="107" t="s">
        <v>3500</v>
      </c>
      <c r="E933" s="107" t="b">
        <v>0</v>
      </c>
      <c r="F933" s="107" t="b">
        <v>0</v>
      </c>
      <c r="G933" s="107" t="b">
        <v>0</v>
      </c>
    </row>
    <row r="934" spans="1:7" ht="15">
      <c r="A934" s="87" t="s">
        <v>3934</v>
      </c>
      <c r="B934" s="107">
        <v>3</v>
      </c>
      <c r="C934" s="109">
        <v>0.0037874234470254642</v>
      </c>
      <c r="D934" s="107" t="s">
        <v>3500</v>
      </c>
      <c r="E934" s="107" t="b">
        <v>0</v>
      </c>
      <c r="F934" s="107" t="b">
        <v>0</v>
      </c>
      <c r="G934" s="107" t="b">
        <v>0</v>
      </c>
    </row>
    <row r="935" spans="1:7" ht="15">
      <c r="A935" s="87" t="s">
        <v>3814</v>
      </c>
      <c r="B935" s="107">
        <v>3</v>
      </c>
      <c r="C935" s="109">
        <v>0.0037874234470254642</v>
      </c>
      <c r="D935" s="107" t="s">
        <v>3500</v>
      </c>
      <c r="E935" s="107" t="b">
        <v>0</v>
      </c>
      <c r="F935" s="107" t="b">
        <v>0</v>
      </c>
      <c r="G935" s="107" t="b">
        <v>0</v>
      </c>
    </row>
    <row r="936" spans="1:7" ht="15">
      <c r="A936" s="87" t="s">
        <v>3713</v>
      </c>
      <c r="B936" s="107">
        <v>3</v>
      </c>
      <c r="C936" s="109">
        <v>0.0037874234470254642</v>
      </c>
      <c r="D936" s="107" t="s">
        <v>3500</v>
      </c>
      <c r="E936" s="107" t="b">
        <v>0</v>
      </c>
      <c r="F936" s="107" t="b">
        <v>0</v>
      </c>
      <c r="G936" s="107" t="b">
        <v>0</v>
      </c>
    </row>
    <row r="937" spans="1:7" ht="15">
      <c r="A937" s="87" t="s">
        <v>3875</v>
      </c>
      <c r="B937" s="107">
        <v>3</v>
      </c>
      <c r="C937" s="109">
        <v>0.0037874234470254642</v>
      </c>
      <c r="D937" s="107" t="s">
        <v>3500</v>
      </c>
      <c r="E937" s="107" t="b">
        <v>0</v>
      </c>
      <c r="F937" s="107" t="b">
        <v>0</v>
      </c>
      <c r="G937" s="107" t="b">
        <v>0</v>
      </c>
    </row>
    <row r="938" spans="1:7" ht="15">
      <c r="A938" s="87" t="s">
        <v>3778</v>
      </c>
      <c r="B938" s="107">
        <v>3</v>
      </c>
      <c r="C938" s="109">
        <v>0.0037874234470254642</v>
      </c>
      <c r="D938" s="107" t="s">
        <v>3500</v>
      </c>
      <c r="E938" s="107" t="b">
        <v>0</v>
      </c>
      <c r="F938" s="107" t="b">
        <v>0</v>
      </c>
      <c r="G938" s="107" t="b">
        <v>0</v>
      </c>
    </row>
    <row r="939" spans="1:7" ht="15">
      <c r="A939" s="87" t="s">
        <v>3818</v>
      </c>
      <c r="B939" s="107">
        <v>3</v>
      </c>
      <c r="C939" s="109">
        <v>0.0037874234470254642</v>
      </c>
      <c r="D939" s="107" t="s">
        <v>3500</v>
      </c>
      <c r="E939" s="107" t="b">
        <v>0</v>
      </c>
      <c r="F939" s="107" t="b">
        <v>0</v>
      </c>
      <c r="G939" s="107" t="b">
        <v>0</v>
      </c>
    </row>
    <row r="940" spans="1:7" ht="15">
      <c r="A940" s="87" t="s">
        <v>3879</v>
      </c>
      <c r="B940" s="107">
        <v>3</v>
      </c>
      <c r="C940" s="109">
        <v>0.0037874234470254642</v>
      </c>
      <c r="D940" s="107" t="s">
        <v>3500</v>
      </c>
      <c r="E940" s="107" t="b">
        <v>0</v>
      </c>
      <c r="F940" s="107" t="b">
        <v>0</v>
      </c>
      <c r="G940" s="107" t="b">
        <v>0</v>
      </c>
    </row>
    <row r="941" spans="1:7" ht="15">
      <c r="A941" s="87" t="s">
        <v>3777</v>
      </c>
      <c r="B941" s="107">
        <v>3</v>
      </c>
      <c r="C941" s="109">
        <v>0.0037874234470254642</v>
      </c>
      <c r="D941" s="107" t="s">
        <v>3500</v>
      </c>
      <c r="E941" s="107" t="b">
        <v>0</v>
      </c>
      <c r="F941" s="107" t="b">
        <v>1</v>
      </c>
      <c r="G941" s="107" t="b">
        <v>0</v>
      </c>
    </row>
    <row r="942" spans="1:7" ht="15">
      <c r="A942" s="87" t="s">
        <v>3785</v>
      </c>
      <c r="B942" s="107">
        <v>3</v>
      </c>
      <c r="C942" s="109">
        <v>0.0037874234470254642</v>
      </c>
      <c r="D942" s="107" t="s">
        <v>3500</v>
      </c>
      <c r="E942" s="107" t="b">
        <v>0</v>
      </c>
      <c r="F942" s="107" t="b">
        <v>0</v>
      </c>
      <c r="G942" s="107" t="b">
        <v>0</v>
      </c>
    </row>
    <row r="943" spans="1:7" ht="15">
      <c r="A943" s="87" t="s">
        <v>3812</v>
      </c>
      <c r="B943" s="107">
        <v>3</v>
      </c>
      <c r="C943" s="109">
        <v>0.0037874234470254642</v>
      </c>
      <c r="D943" s="107" t="s">
        <v>3500</v>
      </c>
      <c r="E943" s="107" t="b">
        <v>0</v>
      </c>
      <c r="F943" s="107" t="b">
        <v>0</v>
      </c>
      <c r="G943" s="107" t="b">
        <v>0</v>
      </c>
    </row>
    <row r="944" spans="1:7" ht="15">
      <c r="A944" s="87" t="s">
        <v>3806</v>
      </c>
      <c r="B944" s="107">
        <v>3</v>
      </c>
      <c r="C944" s="109">
        <v>0.004155302121932877</v>
      </c>
      <c r="D944" s="107" t="s">
        <v>3500</v>
      </c>
      <c r="E944" s="107" t="b">
        <v>0</v>
      </c>
      <c r="F944" s="107" t="b">
        <v>0</v>
      </c>
      <c r="G944" s="107" t="b">
        <v>0</v>
      </c>
    </row>
    <row r="945" spans="1:7" ht="15">
      <c r="A945" s="87" t="s">
        <v>3941</v>
      </c>
      <c r="B945" s="107">
        <v>3</v>
      </c>
      <c r="C945" s="109">
        <v>0.0037874234470254642</v>
      </c>
      <c r="D945" s="107" t="s">
        <v>3500</v>
      </c>
      <c r="E945" s="107" t="b">
        <v>0</v>
      </c>
      <c r="F945" s="107" t="b">
        <v>0</v>
      </c>
      <c r="G945" s="107" t="b">
        <v>0</v>
      </c>
    </row>
    <row r="946" spans="1:7" ht="15">
      <c r="A946" s="87" t="s">
        <v>3603</v>
      </c>
      <c r="B946" s="107">
        <v>3</v>
      </c>
      <c r="C946" s="109">
        <v>0.0037874234470254642</v>
      </c>
      <c r="D946" s="107" t="s">
        <v>3500</v>
      </c>
      <c r="E946" s="107" t="b">
        <v>0</v>
      </c>
      <c r="F946" s="107" t="b">
        <v>0</v>
      </c>
      <c r="G946" s="107" t="b">
        <v>0</v>
      </c>
    </row>
    <row r="947" spans="1:7" ht="15">
      <c r="A947" s="87" t="s">
        <v>3637</v>
      </c>
      <c r="B947" s="107">
        <v>3</v>
      </c>
      <c r="C947" s="109">
        <v>0.004155302121932877</v>
      </c>
      <c r="D947" s="107" t="s">
        <v>3500</v>
      </c>
      <c r="E947" s="107" t="b">
        <v>0</v>
      </c>
      <c r="F947" s="107" t="b">
        <v>0</v>
      </c>
      <c r="G947" s="107" t="b">
        <v>0</v>
      </c>
    </row>
    <row r="948" spans="1:7" ht="15">
      <c r="A948" s="87" t="s">
        <v>3868</v>
      </c>
      <c r="B948" s="107">
        <v>3</v>
      </c>
      <c r="C948" s="109">
        <v>0.0037874234470254642</v>
      </c>
      <c r="D948" s="107" t="s">
        <v>3500</v>
      </c>
      <c r="E948" s="107" t="b">
        <v>1</v>
      </c>
      <c r="F948" s="107" t="b">
        <v>0</v>
      </c>
      <c r="G948" s="107" t="b">
        <v>0</v>
      </c>
    </row>
    <row r="949" spans="1:7" ht="15">
      <c r="A949" s="87" t="s">
        <v>3738</v>
      </c>
      <c r="B949" s="107">
        <v>3</v>
      </c>
      <c r="C949" s="109">
        <v>0.0037874234470254642</v>
      </c>
      <c r="D949" s="107" t="s">
        <v>3500</v>
      </c>
      <c r="E949" s="107" t="b">
        <v>0</v>
      </c>
      <c r="F949" s="107" t="b">
        <v>1</v>
      </c>
      <c r="G949" s="107" t="b">
        <v>0</v>
      </c>
    </row>
    <row r="950" spans="1:7" ht="15">
      <c r="A950" s="87" t="s">
        <v>3950</v>
      </c>
      <c r="B950" s="107">
        <v>3</v>
      </c>
      <c r="C950" s="109">
        <v>0.004155302121932877</v>
      </c>
      <c r="D950" s="107" t="s">
        <v>3500</v>
      </c>
      <c r="E950" s="107" t="b">
        <v>0</v>
      </c>
      <c r="F950" s="107" t="b">
        <v>0</v>
      </c>
      <c r="G950" s="107" t="b">
        <v>0</v>
      </c>
    </row>
    <row r="951" spans="1:7" ht="15">
      <c r="A951" s="87" t="s">
        <v>3932</v>
      </c>
      <c r="B951" s="107">
        <v>3</v>
      </c>
      <c r="C951" s="109">
        <v>0.0037874234470254642</v>
      </c>
      <c r="D951" s="107" t="s">
        <v>3500</v>
      </c>
      <c r="E951" s="107" t="b">
        <v>0</v>
      </c>
      <c r="F951" s="107" t="b">
        <v>0</v>
      </c>
      <c r="G951" s="107" t="b">
        <v>0</v>
      </c>
    </row>
    <row r="952" spans="1:7" ht="15">
      <c r="A952" s="87" t="s">
        <v>3594</v>
      </c>
      <c r="B952" s="107">
        <v>3</v>
      </c>
      <c r="C952" s="109">
        <v>0.0037874234470254642</v>
      </c>
      <c r="D952" s="107" t="s">
        <v>3500</v>
      </c>
      <c r="E952" s="107" t="b">
        <v>0</v>
      </c>
      <c r="F952" s="107" t="b">
        <v>0</v>
      </c>
      <c r="G952" s="107" t="b">
        <v>0</v>
      </c>
    </row>
    <row r="953" spans="1:7" ht="15">
      <c r="A953" s="87" t="s">
        <v>2718</v>
      </c>
      <c r="B953" s="107">
        <v>3</v>
      </c>
      <c r="C953" s="109">
        <v>0.0037874234470254642</v>
      </c>
      <c r="D953" s="107" t="s">
        <v>3500</v>
      </c>
      <c r="E953" s="107" t="b">
        <v>0</v>
      </c>
      <c r="F953" s="107" t="b">
        <v>0</v>
      </c>
      <c r="G953" s="107" t="b">
        <v>0</v>
      </c>
    </row>
    <row r="954" spans="1:7" ht="15">
      <c r="A954" s="87" t="s">
        <v>3853</v>
      </c>
      <c r="B954" s="107">
        <v>3</v>
      </c>
      <c r="C954" s="109">
        <v>0.0037874234470254642</v>
      </c>
      <c r="D954" s="107" t="s">
        <v>3500</v>
      </c>
      <c r="E954" s="107" t="b">
        <v>0</v>
      </c>
      <c r="F954" s="107" t="b">
        <v>0</v>
      </c>
      <c r="G954" s="107" t="b">
        <v>0</v>
      </c>
    </row>
    <row r="955" spans="1:7" ht="15">
      <c r="A955" s="87" t="s">
        <v>3545</v>
      </c>
      <c r="B955" s="107">
        <v>3</v>
      </c>
      <c r="C955" s="109">
        <v>0.0037874234470254642</v>
      </c>
      <c r="D955" s="107" t="s">
        <v>3500</v>
      </c>
      <c r="E955" s="107" t="b">
        <v>0</v>
      </c>
      <c r="F955" s="107" t="b">
        <v>0</v>
      </c>
      <c r="G955" s="107" t="b">
        <v>0</v>
      </c>
    </row>
    <row r="956" spans="1:7" ht="15">
      <c r="A956" s="87" t="s">
        <v>3752</v>
      </c>
      <c r="B956" s="107">
        <v>3</v>
      </c>
      <c r="C956" s="109">
        <v>0.004155302121932877</v>
      </c>
      <c r="D956" s="107" t="s">
        <v>3500</v>
      </c>
      <c r="E956" s="107" t="b">
        <v>0</v>
      </c>
      <c r="F956" s="107" t="b">
        <v>0</v>
      </c>
      <c r="G956" s="107" t="b">
        <v>0</v>
      </c>
    </row>
    <row r="957" spans="1:7" ht="15">
      <c r="A957" s="87" t="s">
        <v>3766</v>
      </c>
      <c r="B957" s="107">
        <v>3</v>
      </c>
      <c r="C957" s="109">
        <v>0.0037874234470254642</v>
      </c>
      <c r="D957" s="107" t="s">
        <v>3500</v>
      </c>
      <c r="E957" s="107" t="b">
        <v>0</v>
      </c>
      <c r="F957" s="107" t="b">
        <v>0</v>
      </c>
      <c r="G957" s="107" t="b">
        <v>0</v>
      </c>
    </row>
    <row r="958" spans="1:7" ht="15">
      <c r="A958" s="87" t="s">
        <v>3856</v>
      </c>
      <c r="B958" s="107">
        <v>3</v>
      </c>
      <c r="C958" s="109">
        <v>0.0037874234470254642</v>
      </c>
      <c r="D958" s="107" t="s">
        <v>3500</v>
      </c>
      <c r="E958" s="107" t="b">
        <v>0</v>
      </c>
      <c r="F958" s="107" t="b">
        <v>0</v>
      </c>
      <c r="G958" s="107" t="b">
        <v>0</v>
      </c>
    </row>
    <row r="959" spans="1:7" ht="15">
      <c r="A959" s="87" t="s">
        <v>3859</v>
      </c>
      <c r="B959" s="107">
        <v>3</v>
      </c>
      <c r="C959" s="109">
        <v>0.0037874234470254642</v>
      </c>
      <c r="D959" s="107" t="s">
        <v>3500</v>
      </c>
      <c r="E959" s="107" t="b">
        <v>0</v>
      </c>
      <c r="F959" s="107" t="b">
        <v>0</v>
      </c>
      <c r="G959" s="107" t="b">
        <v>0</v>
      </c>
    </row>
    <row r="960" spans="1:7" ht="15">
      <c r="A960" s="87" t="s">
        <v>3910</v>
      </c>
      <c r="B960" s="107">
        <v>3</v>
      </c>
      <c r="C960" s="109">
        <v>0.004155302121932877</v>
      </c>
      <c r="D960" s="107" t="s">
        <v>3500</v>
      </c>
      <c r="E960" s="107" t="b">
        <v>0</v>
      </c>
      <c r="F960" s="107" t="b">
        <v>0</v>
      </c>
      <c r="G960" s="107" t="b">
        <v>0</v>
      </c>
    </row>
    <row r="961" spans="1:7" ht="15">
      <c r="A961" s="87" t="s">
        <v>3702</v>
      </c>
      <c r="B961" s="107">
        <v>3</v>
      </c>
      <c r="C961" s="109">
        <v>0.0037874234470254642</v>
      </c>
      <c r="D961" s="107" t="s">
        <v>3500</v>
      </c>
      <c r="E961" s="107" t="b">
        <v>0</v>
      </c>
      <c r="F961" s="107" t="b">
        <v>0</v>
      </c>
      <c r="G961" s="107" t="b">
        <v>0</v>
      </c>
    </row>
    <row r="962" spans="1:7" ht="15">
      <c r="A962" s="87" t="s">
        <v>3557</v>
      </c>
      <c r="B962" s="107">
        <v>3</v>
      </c>
      <c r="C962" s="109">
        <v>0.0037874234470254642</v>
      </c>
      <c r="D962" s="107" t="s">
        <v>3500</v>
      </c>
      <c r="E962" s="107" t="b">
        <v>1</v>
      </c>
      <c r="F962" s="107" t="b">
        <v>0</v>
      </c>
      <c r="G962" s="107" t="b">
        <v>0</v>
      </c>
    </row>
    <row r="963" spans="1:7" ht="15">
      <c r="A963" s="87" t="s">
        <v>3888</v>
      </c>
      <c r="B963" s="107">
        <v>3</v>
      </c>
      <c r="C963" s="109">
        <v>0.0037874234470254642</v>
      </c>
      <c r="D963" s="107" t="s">
        <v>3500</v>
      </c>
      <c r="E963" s="107" t="b">
        <v>0</v>
      </c>
      <c r="F963" s="107" t="b">
        <v>0</v>
      </c>
      <c r="G963" s="107" t="b">
        <v>0</v>
      </c>
    </row>
    <row r="964" spans="1:7" ht="15">
      <c r="A964" s="87" t="s">
        <v>3817</v>
      </c>
      <c r="B964" s="107">
        <v>3</v>
      </c>
      <c r="C964" s="109">
        <v>0.0037874234470254642</v>
      </c>
      <c r="D964" s="107" t="s">
        <v>3500</v>
      </c>
      <c r="E964" s="107" t="b">
        <v>0</v>
      </c>
      <c r="F964" s="107" t="b">
        <v>0</v>
      </c>
      <c r="G964" s="107" t="b">
        <v>0</v>
      </c>
    </row>
    <row r="965" spans="1:7" ht="15">
      <c r="A965" s="87" t="s">
        <v>3931</v>
      </c>
      <c r="B965" s="107">
        <v>3</v>
      </c>
      <c r="C965" s="109">
        <v>0.0037874234470254642</v>
      </c>
      <c r="D965" s="107" t="s">
        <v>3500</v>
      </c>
      <c r="E965" s="107" t="b">
        <v>0</v>
      </c>
      <c r="F965" s="107" t="b">
        <v>0</v>
      </c>
      <c r="G965" s="107" t="b">
        <v>0</v>
      </c>
    </row>
    <row r="966" spans="1:7" ht="15">
      <c r="A966" s="87" t="s">
        <v>3846</v>
      </c>
      <c r="B966" s="107">
        <v>3</v>
      </c>
      <c r="C966" s="109">
        <v>0.0037874234470254642</v>
      </c>
      <c r="D966" s="107" t="s">
        <v>3500</v>
      </c>
      <c r="E966" s="107" t="b">
        <v>0</v>
      </c>
      <c r="F966" s="107" t="b">
        <v>0</v>
      </c>
      <c r="G966" s="107" t="b">
        <v>0</v>
      </c>
    </row>
    <row r="967" spans="1:7" ht="15">
      <c r="A967" s="87" t="s">
        <v>3858</v>
      </c>
      <c r="B967" s="107">
        <v>3</v>
      </c>
      <c r="C967" s="109">
        <v>0.0037874234470254642</v>
      </c>
      <c r="D967" s="107" t="s">
        <v>3500</v>
      </c>
      <c r="E967" s="107" t="b">
        <v>0</v>
      </c>
      <c r="F967" s="107" t="b">
        <v>0</v>
      </c>
      <c r="G967" s="107" t="b">
        <v>0</v>
      </c>
    </row>
    <row r="968" spans="1:7" ht="15">
      <c r="A968" s="87" t="s">
        <v>3750</v>
      </c>
      <c r="B968" s="107">
        <v>3</v>
      </c>
      <c r="C968" s="109">
        <v>0.004155302121932877</v>
      </c>
      <c r="D968" s="107" t="s">
        <v>3500</v>
      </c>
      <c r="E968" s="107" t="b">
        <v>0</v>
      </c>
      <c r="F968" s="107" t="b">
        <v>0</v>
      </c>
      <c r="G968" s="107" t="b">
        <v>0</v>
      </c>
    </row>
    <row r="969" spans="1:7" ht="15">
      <c r="A969" s="87" t="s">
        <v>3576</v>
      </c>
      <c r="B969" s="107">
        <v>3</v>
      </c>
      <c r="C969" s="109">
        <v>0.0037874234470254642</v>
      </c>
      <c r="D969" s="107" t="s">
        <v>3500</v>
      </c>
      <c r="E969" s="107" t="b">
        <v>0</v>
      </c>
      <c r="F969" s="107" t="b">
        <v>0</v>
      </c>
      <c r="G969" s="107" t="b">
        <v>0</v>
      </c>
    </row>
    <row r="970" spans="1:7" ht="15">
      <c r="A970" s="87" t="s">
        <v>3582</v>
      </c>
      <c r="B970" s="107">
        <v>3</v>
      </c>
      <c r="C970" s="109">
        <v>0.0037874234470254642</v>
      </c>
      <c r="D970" s="107" t="s">
        <v>3500</v>
      </c>
      <c r="E970" s="107" t="b">
        <v>0</v>
      </c>
      <c r="F970" s="107" t="b">
        <v>0</v>
      </c>
      <c r="G970" s="107" t="b">
        <v>0</v>
      </c>
    </row>
    <row r="971" spans="1:7" ht="15">
      <c r="A971" s="87" t="s">
        <v>3834</v>
      </c>
      <c r="B971" s="107">
        <v>3</v>
      </c>
      <c r="C971" s="109">
        <v>0.0037874234470254642</v>
      </c>
      <c r="D971" s="107" t="s">
        <v>3500</v>
      </c>
      <c r="E971" s="107" t="b">
        <v>0</v>
      </c>
      <c r="F971" s="107" t="b">
        <v>0</v>
      </c>
      <c r="G971" s="107" t="b">
        <v>0</v>
      </c>
    </row>
    <row r="972" spans="1:7" ht="15">
      <c r="A972" s="87" t="s">
        <v>3542</v>
      </c>
      <c r="B972" s="107">
        <v>3</v>
      </c>
      <c r="C972" s="109">
        <v>0.0037874234470254642</v>
      </c>
      <c r="D972" s="107" t="s">
        <v>3500</v>
      </c>
      <c r="E972" s="107" t="b">
        <v>0</v>
      </c>
      <c r="F972" s="107" t="b">
        <v>0</v>
      </c>
      <c r="G972" s="107" t="b">
        <v>0</v>
      </c>
    </row>
    <row r="973" spans="1:7" ht="15">
      <c r="A973" s="87" t="s">
        <v>3923</v>
      </c>
      <c r="B973" s="107">
        <v>3</v>
      </c>
      <c r="C973" s="109">
        <v>0.0037874234470254642</v>
      </c>
      <c r="D973" s="107" t="s">
        <v>3500</v>
      </c>
      <c r="E973" s="107" t="b">
        <v>0</v>
      </c>
      <c r="F973" s="107" t="b">
        <v>0</v>
      </c>
      <c r="G973" s="107" t="b">
        <v>0</v>
      </c>
    </row>
    <row r="974" spans="1:7" ht="15">
      <c r="A974" s="87" t="s">
        <v>3718</v>
      </c>
      <c r="B974" s="107">
        <v>3</v>
      </c>
      <c r="C974" s="109">
        <v>0.0037874234470254642</v>
      </c>
      <c r="D974" s="107" t="s">
        <v>3500</v>
      </c>
      <c r="E974" s="107" t="b">
        <v>0</v>
      </c>
      <c r="F974" s="107" t="b">
        <v>0</v>
      </c>
      <c r="G974" s="107" t="b">
        <v>0</v>
      </c>
    </row>
    <row r="975" spans="1:7" ht="15">
      <c r="A975" s="87" t="s">
        <v>3664</v>
      </c>
      <c r="B975" s="107">
        <v>3</v>
      </c>
      <c r="C975" s="109">
        <v>0.004155302121932877</v>
      </c>
      <c r="D975" s="107" t="s">
        <v>3500</v>
      </c>
      <c r="E975" s="107" t="b">
        <v>0</v>
      </c>
      <c r="F975" s="107" t="b">
        <v>0</v>
      </c>
      <c r="G975" s="107" t="b">
        <v>0</v>
      </c>
    </row>
    <row r="976" spans="1:7" ht="15">
      <c r="A976" s="87" t="s">
        <v>4243</v>
      </c>
      <c r="B976" s="107">
        <v>2</v>
      </c>
      <c r="C976" s="109">
        <v>0.0027702014146219174</v>
      </c>
      <c r="D976" s="107" t="s">
        <v>3500</v>
      </c>
      <c r="E976" s="107" t="b">
        <v>0</v>
      </c>
      <c r="F976" s="107" t="b">
        <v>0</v>
      </c>
      <c r="G976" s="107" t="b">
        <v>0</v>
      </c>
    </row>
    <row r="977" spans="1:7" ht="15">
      <c r="A977" s="87" t="s">
        <v>4331</v>
      </c>
      <c r="B977" s="107">
        <v>2</v>
      </c>
      <c r="C977" s="109">
        <v>0.0031894632470230054</v>
      </c>
      <c r="D977" s="107" t="s">
        <v>3500</v>
      </c>
      <c r="E977" s="107" t="b">
        <v>0</v>
      </c>
      <c r="F977" s="107" t="b">
        <v>0</v>
      </c>
      <c r="G977" s="107" t="b">
        <v>0</v>
      </c>
    </row>
    <row r="978" spans="1:7" ht="15">
      <c r="A978" s="87" t="s">
        <v>4085</v>
      </c>
      <c r="B978" s="107">
        <v>2</v>
      </c>
      <c r="C978" s="109">
        <v>0.0027702014146219174</v>
      </c>
      <c r="D978" s="107" t="s">
        <v>3500</v>
      </c>
      <c r="E978" s="107" t="b">
        <v>0</v>
      </c>
      <c r="F978" s="107" t="b">
        <v>0</v>
      </c>
      <c r="G978" s="107" t="b">
        <v>0</v>
      </c>
    </row>
    <row r="979" spans="1:7" ht="15">
      <c r="A979" s="87" t="s">
        <v>4340</v>
      </c>
      <c r="B979" s="107">
        <v>2</v>
      </c>
      <c r="C979" s="109">
        <v>0.0031894632470230054</v>
      </c>
      <c r="D979" s="107" t="s">
        <v>3500</v>
      </c>
      <c r="E979" s="107" t="b">
        <v>0</v>
      </c>
      <c r="F979" s="107" t="b">
        <v>0</v>
      </c>
      <c r="G979" s="107" t="b">
        <v>0</v>
      </c>
    </row>
    <row r="980" spans="1:7" ht="15">
      <c r="A980" s="87" t="s">
        <v>2893</v>
      </c>
      <c r="B980" s="107">
        <v>2</v>
      </c>
      <c r="C980" s="109">
        <v>0.0027702014146219174</v>
      </c>
      <c r="D980" s="107" t="s">
        <v>3500</v>
      </c>
      <c r="E980" s="107" t="b">
        <v>0</v>
      </c>
      <c r="F980" s="107" t="b">
        <v>0</v>
      </c>
      <c r="G980" s="107" t="b">
        <v>0</v>
      </c>
    </row>
    <row r="981" spans="1:7" ht="15">
      <c r="A981" s="87" t="s">
        <v>4135</v>
      </c>
      <c r="B981" s="107">
        <v>2</v>
      </c>
      <c r="C981" s="109">
        <v>0.0031894632470230054</v>
      </c>
      <c r="D981" s="107" t="s">
        <v>3500</v>
      </c>
      <c r="E981" s="107" t="b">
        <v>0</v>
      </c>
      <c r="F981" s="107" t="b">
        <v>0</v>
      </c>
      <c r="G981" s="107" t="b">
        <v>0</v>
      </c>
    </row>
    <row r="982" spans="1:7" ht="15">
      <c r="A982" s="87" t="s">
        <v>3973</v>
      </c>
      <c r="B982" s="107">
        <v>2</v>
      </c>
      <c r="C982" s="109">
        <v>0.0031894632470230054</v>
      </c>
      <c r="D982" s="107" t="s">
        <v>3500</v>
      </c>
      <c r="E982" s="107" t="b">
        <v>0</v>
      </c>
      <c r="F982" s="107" t="b">
        <v>0</v>
      </c>
      <c r="G982" s="107" t="b">
        <v>0</v>
      </c>
    </row>
    <row r="983" spans="1:7" ht="15">
      <c r="A983" s="87" t="s">
        <v>4263</v>
      </c>
      <c r="B983" s="107">
        <v>2</v>
      </c>
      <c r="C983" s="109">
        <v>0.0031894632470230054</v>
      </c>
      <c r="D983" s="107" t="s">
        <v>3500</v>
      </c>
      <c r="E983" s="107" t="b">
        <v>0</v>
      </c>
      <c r="F983" s="107" t="b">
        <v>0</v>
      </c>
      <c r="G983" s="107" t="b">
        <v>0</v>
      </c>
    </row>
    <row r="984" spans="1:7" ht="15">
      <c r="A984" s="87" t="s">
        <v>4187</v>
      </c>
      <c r="B984" s="107">
        <v>2</v>
      </c>
      <c r="C984" s="109">
        <v>0.0027702014146219174</v>
      </c>
      <c r="D984" s="107" t="s">
        <v>3500</v>
      </c>
      <c r="E984" s="107" t="b">
        <v>0</v>
      </c>
      <c r="F984" s="107" t="b">
        <v>0</v>
      </c>
      <c r="G984" s="107" t="b">
        <v>0</v>
      </c>
    </row>
    <row r="985" spans="1:7" ht="15">
      <c r="A985" s="87" t="s">
        <v>4206</v>
      </c>
      <c r="B985" s="107">
        <v>2</v>
      </c>
      <c r="C985" s="109">
        <v>0.0027702014146219174</v>
      </c>
      <c r="D985" s="107" t="s">
        <v>3500</v>
      </c>
      <c r="E985" s="107" t="b">
        <v>0</v>
      </c>
      <c r="F985" s="107" t="b">
        <v>1</v>
      </c>
      <c r="G985" s="107" t="b">
        <v>0</v>
      </c>
    </row>
    <row r="986" spans="1:7" ht="15">
      <c r="A986" s="87" t="s">
        <v>4288</v>
      </c>
      <c r="B986" s="107">
        <v>2</v>
      </c>
      <c r="C986" s="109">
        <v>0.0027702014146219174</v>
      </c>
      <c r="D986" s="107" t="s">
        <v>3500</v>
      </c>
      <c r="E986" s="107" t="b">
        <v>0</v>
      </c>
      <c r="F986" s="107" t="b">
        <v>0</v>
      </c>
      <c r="G986" s="107" t="b">
        <v>0</v>
      </c>
    </row>
    <row r="987" spans="1:7" ht="15">
      <c r="A987" s="87" t="s">
        <v>4262</v>
      </c>
      <c r="B987" s="107">
        <v>2</v>
      </c>
      <c r="C987" s="109">
        <v>0.0027702014146219174</v>
      </c>
      <c r="D987" s="107" t="s">
        <v>3500</v>
      </c>
      <c r="E987" s="107" t="b">
        <v>0</v>
      </c>
      <c r="F987" s="107" t="b">
        <v>0</v>
      </c>
      <c r="G987" s="107" t="b">
        <v>0</v>
      </c>
    </row>
    <row r="988" spans="1:7" ht="15">
      <c r="A988" s="87" t="s">
        <v>3663</v>
      </c>
      <c r="B988" s="107">
        <v>2</v>
      </c>
      <c r="C988" s="109">
        <v>0.0027702014146219174</v>
      </c>
      <c r="D988" s="107" t="s">
        <v>3500</v>
      </c>
      <c r="E988" s="107" t="b">
        <v>0</v>
      </c>
      <c r="F988" s="107" t="b">
        <v>0</v>
      </c>
      <c r="G988" s="107" t="b">
        <v>0</v>
      </c>
    </row>
    <row r="989" spans="1:7" ht="15">
      <c r="A989" s="87" t="s">
        <v>3776</v>
      </c>
      <c r="B989" s="107">
        <v>2</v>
      </c>
      <c r="C989" s="109">
        <v>0.0027702014146219174</v>
      </c>
      <c r="D989" s="107" t="s">
        <v>3500</v>
      </c>
      <c r="E989" s="107" t="b">
        <v>0</v>
      </c>
      <c r="F989" s="107" t="b">
        <v>0</v>
      </c>
      <c r="G989" s="107" t="b">
        <v>0</v>
      </c>
    </row>
    <row r="990" spans="1:7" ht="15">
      <c r="A990" s="87" t="s">
        <v>3912</v>
      </c>
      <c r="B990" s="107">
        <v>2</v>
      </c>
      <c r="C990" s="109">
        <v>0.0031894632470230054</v>
      </c>
      <c r="D990" s="107" t="s">
        <v>3500</v>
      </c>
      <c r="E990" s="107" t="b">
        <v>0</v>
      </c>
      <c r="F990" s="107" t="b">
        <v>0</v>
      </c>
      <c r="G990" s="107" t="b">
        <v>0</v>
      </c>
    </row>
    <row r="991" spans="1:7" ht="15">
      <c r="A991" s="87" t="s">
        <v>4065</v>
      </c>
      <c r="B991" s="107">
        <v>2</v>
      </c>
      <c r="C991" s="109">
        <v>0.0027702014146219174</v>
      </c>
      <c r="D991" s="107" t="s">
        <v>3500</v>
      </c>
      <c r="E991" s="107" t="b">
        <v>0</v>
      </c>
      <c r="F991" s="107" t="b">
        <v>0</v>
      </c>
      <c r="G991" s="107" t="b">
        <v>0</v>
      </c>
    </row>
    <row r="992" spans="1:7" ht="15">
      <c r="A992" s="87" t="s">
        <v>4325</v>
      </c>
      <c r="B992" s="107">
        <v>2</v>
      </c>
      <c r="C992" s="109">
        <v>0.0027702014146219174</v>
      </c>
      <c r="D992" s="107" t="s">
        <v>3500</v>
      </c>
      <c r="E992" s="107" t="b">
        <v>0</v>
      </c>
      <c r="F992" s="107" t="b">
        <v>0</v>
      </c>
      <c r="G992" s="107" t="b">
        <v>0</v>
      </c>
    </row>
    <row r="993" spans="1:7" ht="15">
      <c r="A993" s="87" t="s">
        <v>4183</v>
      </c>
      <c r="B993" s="107">
        <v>2</v>
      </c>
      <c r="C993" s="109">
        <v>0.0027702014146219174</v>
      </c>
      <c r="D993" s="107" t="s">
        <v>3500</v>
      </c>
      <c r="E993" s="107" t="b">
        <v>0</v>
      </c>
      <c r="F993" s="107" t="b">
        <v>0</v>
      </c>
      <c r="G993" s="107" t="b">
        <v>0</v>
      </c>
    </row>
    <row r="994" spans="1:7" ht="15">
      <c r="A994" s="87" t="s">
        <v>3929</v>
      </c>
      <c r="B994" s="107">
        <v>2</v>
      </c>
      <c r="C994" s="109">
        <v>0.0027702014146219174</v>
      </c>
      <c r="D994" s="107" t="s">
        <v>3500</v>
      </c>
      <c r="E994" s="107" t="b">
        <v>0</v>
      </c>
      <c r="F994" s="107" t="b">
        <v>0</v>
      </c>
      <c r="G994" s="107" t="b">
        <v>0</v>
      </c>
    </row>
    <row r="995" spans="1:7" ht="15">
      <c r="A995" s="87" t="s">
        <v>4335</v>
      </c>
      <c r="B995" s="107">
        <v>2</v>
      </c>
      <c r="C995" s="109">
        <v>0.0027702014146219174</v>
      </c>
      <c r="D995" s="107" t="s">
        <v>3500</v>
      </c>
      <c r="E995" s="107" t="b">
        <v>0</v>
      </c>
      <c r="F995" s="107" t="b">
        <v>0</v>
      </c>
      <c r="G995" s="107" t="b">
        <v>0</v>
      </c>
    </row>
    <row r="996" spans="1:7" ht="15">
      <c r="A996" s="87" t="s">
        <v>3612</v>
      </c>
      <c r="B996" s="107">
        <v>2</v>
      </c>
      <c r="C996" s="109">
        <v>0.0027702014146219174</v>
      </c>
      <c r="D996" s="107" t="s">
        <v>3500</v>
      </c>
      <c r="E996" s="107" t="b">
        <v>0</v>
      </c>
      <c r="F996" s="107" t="b">
        <v>0</v>
      </c>
      <c r="G996" s="107" t="b">
        <v>0</v>
      </c>
    </row>
    <row r="997" spans="1:7" ht="15">
      <c r="A997" s="87" t="s">
        <v>3951</v>
      </c>
      <c r="B997" s="107">
        <v>2</v>
      </c>
      <c r="C997" s="109">
        <v>0.0027702014146219174</v>
      </c>
      <c r="D997" s="107" t="s">
        <v>3500</v>
      </c>
      <c r="E997" s="107" t="b">
        <v>0</v>
      </c>
      <c r="F997" s="107" t="b">
        <v>0</v>
      </c>
      <c r="G997" s="107" t="b">
        <v>0</v>
      </c>
    </row>
    <row r="998" spans="1:7" ht="15">
      <c r="A998" s="87" t="s">
        <v>4162</v>
      </c>
      <c r="B998" s="107">
        <v>2</v>
      </c>
      <c r="C998" s="109">
        <v>0.0027702014146219174</v>
      </c>
      <c r="D998" s="107" t="s">
        <v>3500</v>
      </c>
      <c r="E998" s="107" t="b">
        <v>0</v>
      </c>
      <c r="F998" s="107" t="b">
        <v>0</v>
      </c>
      <c r="G998" s="107" t="b">
        <v>0</v>
      </c>
    </row>
    <row r="999" spans="1:7" ht="15">
      <c r="A999" s="87" t="s">
        <v>4089</v>
      </c>
      <c r="B999" s="107">
        <v>2</v>
      </c>
      <c r="C999" s="109">
        <v>0.0027702014146219174</v>
      </c>
      <c r="D999" s="107" t="s">
        <v>3500</v>
      </c>
      <c r="E999" s="107" t="b">
        <v>0</v>
      </c>
      <c r="F999" s="107" t="b">
        <v>1</v>
      </c>
      <c r="G999" s="107" t="b">
        <v>0</v>
      </c>
    </row>
    <row r="1000" spans="1:7" ht="15">
      <c r="A1000" s="87" t="s">
        <v>4195</v>
      </c>
      <c r="B1000" s="107">
        <v>2</v>
      </c>
      <c r="C1000" s="109">
        <v>0.0031894632470230054</v>
      </c>
      <c r="D1000" s="107" t="s">
        <v>3500</v>
      </c>
      <c r="E1000" s="107" t="b">
        <v>0</v>
      </c>
      <c r="F1000" s="107" t="b">
        <v>0</v>
      </c>
      <c r="G1000" s="107" t="b">
        <v>0</v>
      </c>
    </row>
    <row r="1001" spans="1:7" ht="15">
      <c r="A1001" s="87" t="s">
        <v>3646</v>
      </c>
      <c r="B1001" s="107">
        <v>2</v>
      </c>
      <c r="C1001" s="109">
        <v>0.0027702014146219174</v>
      </c>
      <c r="D1001" s="107" t="s">
        <v>3500</v>
      </c>
      <c r="E1001" s="107" t="b">
        <v>0</v>
      </c>
      <c r="F1001" s="107" t="b">
        <v>0</v>
      </c>
      <c r="G1001" s="107" t="b">
        <v>0</v>
      </c>
    </row>
    <row r="1002" spans="1:7" ht="15">
      <c r="A1002" s="87" t="s">
        <v>4168</v>
      </c>
      <c r="B1002" s="107">
        <v>2</v>
      </c>
      <c r="C1002" s="109">
        <v>0.0027702014146219174</v>
      </c>
      <c r="D1002" s="107" t="s">
        <v>3500</v>
      </c>
      <c r="E1002" s="107" t="b">
        <v>0</v>
      </c>
      <c r="F1002" s="107" t="b">
        <v>0</v>
      </c>
      <c r="G1002" s="107" t="b">
        <v>0</v>
      </c>
    </row>
    <row r="1003" spans="1:7" ht="15">
      <c r="A1003" s="87" t="s">
        <v>3588</v>
      </c>
      <c r="B1003" s="107">
        <v>2</v>
      </c>
      <c r="C1003" s="109">
        <v>0.0027702014146219174</v>
      </c>
      <c r="D1003" s="107" t="s">
        <v>3500</v>
      </c>
      <c r="E1003" s="107" t="b">
        <v>0</v>
      </c>
      <c r="F1003" s="107" t="b">
        <v>0</v>
      </c>
      <c r="G1003" s="107" t="b">
        <v>0</v>
      </c>
    </row>
    <row r="1004" spans="1:7" ht="15">
      <c r="A1004" s="87" t="s">
        <v>3742</v>
      </c>
      <c r="B1004" s="107">
        <v>2</v>
      </c>
      <c r="C1004" s="109">
        <v>0.0027702014146219174</v>
      </c>
      <c r="D1004" s="107" t="s">
        <v>3500</v>
      </c>
      <c r="E1004" s="107" t="b">
        <v>0</v>
      </c>
      <c r="F1004" s="107" t="b">
        <v>1</v>
      </c>
      <c r="G1004" s="107" t="b">
        <v>0</v>
      </c>
    </row>
    <row r="1005" spans="1:7" ht="15">
      <c r="A1005" s="87" t="s">
        <v>4234</v>
      </c>
      <c r="B1005" s="107">
        <v>2</v>
      </c>
      <c r="C1005" s="109">
        <v>0.0031894632470230054</v>
      </c>
      <c r="D1005" s="107" t="s">
        <v>3500</v>
      </c>
      <c r="E1005" s="107" t="b">
        <v>0</v>
      </c>
      <c r="F1005" s="107" t="b">
        <v>0</v>
      </c>
      <c r="G1005" s="107" t="b">
        <v>0</v>
      </c>
    </row>
    <row r="1006" spans="1:7" ht="15">
      <c r="A1006" s="87" t="s">
        <v>3701</v>
      </c>
      <c r="B1006" s="107">
        <v>2</v>
      </c>
      <c r="C1006" s="109">
        <v>0.0031894632470230054</v>
      </c>
      <c r="D1006" s="107" t="s">
        <v>3500</v>
      </c>
      <c r="E1006" s="107" t="b">
        <v>0</v>
      </c>
      <c r="F1006" s="107" t="b">
        <v>0</v>
      </c>
      <c r="G1006" s="107" t="b">
        <v>0</v>
      </c>
    </row>
    <row r="1007" spans="1:7" ht="15">
      <c r="A1007" s="87" t="s">
        <v>3696</v>
      </c>
      <c r="B1007" s="107">
        <v>2</v>
      </c>
      <c r="C1007" s="109">
        <v>0.0031894632470230054</v>
      </c>
      <c r="D1007" s="107" t="s">
        <v>3500</v>
      </c>
      <c r="E1007" s="107" t="b">
        <v>0</v>
      </c>
      <c r="F1007" s="107" t="b">
        <v>0</v>
      </c>
      <c r="G1007" s="107" t="b">
        <v>0</v>
      </c>
    </row>
    <row r="1008" spans="1:7" ht="15">
      <c r="A1008" s="87" t="s">
        <v>4271</v>
      </c>
      <c r="B1008" s="107">
        <v>2</v>
      </c>
      <c r="C1008" s="109">
        <v>0.0031894632470230054</v>
      </c>
      <c r="D1008" s="107" t="s">
        <v>3500</v>
      </c>
      <c r="E1008" s="107" t="b">
        <v>0</v>
      </c>
      <c r="F1008" s="107" t="b">
        <v>1</v>
      </c>
      <c r="G1008" s="107" t="b">
        <v>0</v>
      </c>
    </row>
    <row r="1009" spans="1:7" ht="15">
      <c r="A1009" s="87" t="s">
        <v>4351</v>
      </c>
      <c r="B1009" s="107">
        <v>2</v>
      </c>
      <c r="C1009" s="109">
        <v>0.0027702014146219174</v>
      </c>
      <c r="D1009" s="107" t="s">
        <v>3500</v>
      </c>
      <c r="E1009" s="107" t="b">
        <v>0</v>
      </c>
      <c r="F1009" s="107" t="b">
        <v>0</v>
      </c>
      <c r="G1009" s="107" t="b">
        <v>0</v>
      </c>
    </row>
    <row r="1010" spans="1:7" ht="15">
      <c r="A1010" s="87" t="s">
        <v>4254</v>
      </c>
      <c r="B1010" s="107">
        <v>2</v>
      </c>
      <c r="C1010" s="109">
        <v>0.0031894632470230054</v>
      </c>
      <c r="D1010" s="107" t="s">
        <v>3500</v>
      </c>
      <c r="E1010" s="107" t="b">
        <v>0</v>
      </c>
      <c r="F1010" s="107" t="b">
        <v>0</v>
      </c>
      <c r="G1010" s="107" t="b">
        <v>0</v>
      </c>
    </row>
    <row r="1011" spans="1:7" ht="15">
      <c r="A1011" s="87" t="s">
        <v>4213</v>
      </c>
      <c r="B1011" s="107">
        <v>2</v>
      </c>
      <c r="C1011" s="109">
        <v>0.0027702014146219174</v>
      </c>
      <c r="D1011" s="107" t="s">
        <v>3500</v>
      </c>
      <c r="E1011" s="107" t="b">
        <v>0</v>
      </c>
      <c r="F1011" s="107" t="b">
        <v>0</v>
      </c>
      <c r="G1011" s="107" t="b">
        <v>0</v>
      </c>
    </row>
    <row r="1012" spans="1:7" ht="15">
      <c r="A1012" s="87" t="s">
        <v>4269</v>
      </c>
      <c r="B1012" s="107">
        <v>2</v>
      </c>
      <c r="C1012" s="109">
        <v>0.0027702014146219174</v>
      </c>
      <c r="D1012" s="107" t="s">
        <v>3500</v>
      </c>
      <c r="E1012" s="107" t="b">
        <v>0</v>
      </c>
      <c r="F1012" s="107" t="b">
        <v>0</v>
      </c>
      <c r="G1012" s="107" t="b">
        <v>0</v>
      </c>
    </row>
    <row r="1013" spans="1:7" ht="15">
      <c r="A1013" s="87" t="s">
        <v>4250</v>
      </c>
      <c r="B1013" s="107">
        <v>2</v>
      </c>
      <c r="C1013" s="109">
        <v>0.0031894632470230054</v>
      </c>
      <c r="D1013" s="107" t="s">
        <v>3500</v>
      </c>
      <c r="E1013" s="107" t="b">
        <v>0</v>
      </c>
      <c r="F1013" s="107" t="b">
        <v>0</v>
      </c>
      <c r="G1013" s="107" t="b">
        <v>0</v>
      </c>
    </row>
    <row r="1014" spans="1:7" ht="15">
      <c r="A1014" s="87" t="s">
        <v>3643</v>
      </c>
      <c r="B1014" s="107">
        <v>2</v>
      </c>
      <c r="C1014" s="109">
        <v>0.0027702014146219174</v>
      </c>
      <c r="D1014" s="107" t="s">
        <v>3500</v>
      </c>
      <c r="E1014" s="107" t="b">
        <v>0</v>
      </c>
      <c r="F1014" s="107" t="b">
        <v>0</v>
      </c>
      <c r="G1014" s="107" t="b">
        <v>0</v>
      </c>
    </row>
    <row r="1015" spans="1:7" ht="15">
      <c r="A1015" s="87" t="s">
        <v>4310</v>
      </c>
      <c r="B1015" s="107">
        <v>2</v>
      </c>
      <c r="C1015" s="109">
        <v>0.0027702014146219174</v>
      </c>
      <c r="D1015" s="107" t="s">
        <v>3500</v>
      </c>
      <c r="E1015" s="107" t="b">
        <v>0</v>
      </c>
      <c r="F1015" s="107" t="b">
        <v>0</v>
      </c>
      <c r="G1015" s="107" t="b">
        <v>0</v>
      </c>
    </row>
    <row r="1016" spans="1:7" ht="15">
      <c r="A1016" s="87" t="s">
        <v>4211</v>
      </c>
      <c r="B1016" s="107">
        <v>2</v>
      </c>
      <c r="C1016" s="109">
        <v>0.0027702014146219174</v>
      </c>
      <c r="D1016" s="107" t="s">
        <v>3500</v>
      </c>
      <c r="E1016" s="107" t="b">
        <v>0</v>
      </c>
      <c r="F1016" s="107" t="b">
        <v>1</v>
      </c>
      <c r="G1016" s="107" t="b">
        <v>0</v>
      </c>
    </row>
    <row r="1017" spans="1:7" ht="15">
      <c r="A1017" s="87" t="s">
        <v>4185</v>
      </c>
      <c r="B1017" s="107">
        <v>2</v>
      </c>
      <c r="C1017" s="109">
        <v>0.0031894632470230054</v>
      </c>
      <c r="D1017" s="107" t="s">
        <v>3500</v>
      </c>
      <c r="E1017" s="107" t="b">
        <v>0</v>
      </c>
      <c r="F1017" s="107" t="b">
        <v>0</v>
      </c>
      <c r="G1017" s="107" t="b">
        <v>0</v>
      </c>
    </row>
    <row r="1018" spans="1:7" ht="15">
      <c r="A1018" s="87" t="s">
        <v>3964</v>
      </c>
      <c r="B1018" s="107">
        <v>2</v>
      </c>
      <c r="C1018" s="109">
        <v>0.0031894632470230054</v>
      </c>
      <c r="D1018" s="107" t="s">
        <v>3500</v>
      </c>
      <c r="E1018" s="107" t="b">
        <v>1</v>
      </c>
      <c r="F1018" s="107" t="b">
        <v>0</v>
      </c>
      <c r="G1018" s="107" t="b">
        <v>0</v>
      </c>
    </row>
    <row r="1019" spans="1:7" ht="15">
      <c r="A1019" s="87" t="s">
        <v>4117</v>
      </c>
      <c r="B1019" s="107">
        <v>2</v>
      </c>
      <c r="C1019" s="109">
        <v>0.0031894632470230054</v>
      </c>
      <c r="D1019" s="107" t="s">
        <v>3500</v>
      </c>
      <c r="E1019" s="107" t="b">
        <v>0</v>
      </c>
      <c r="F1019" s="107" t="b">
        <v>1</v>
      </c>
      <c r="G1019" s="107" t="b">
        <v>0</v>
      </c>
    </row>
    <row r="1020" spans="1:7" ht="15">
      <c r="A1020" s="87" t="s">
        <v>4267</v>
      </c>
      <c r="B1020" s="107">
        <v>2</v>
      </c>
      <c r="C1020" s="109">
        <v>0.0027702014146219174</v>
      </c>
      <c r="D1020" s="107" t="s">
        <v>3500</v>
      </c>
      <c r="E1020" s="107" t="b">
        <v>0</v>
      </c>
      <c r="F1020" s="107" t="b">
        <v>0</v>
      </c>
      <c r="G1020" s="107" t="b">
        <v>0</v>
      </c>
    </row>
    <row r="1021" spans="1:7" ht="15">
      <c r="A1021" s="87" t="s">
        <v>4235</v>
      </c>
      <c r="B1021" s="107">
        <v>2</v>
      </c>
      <c r="C1021" s="109">
        <v>0.0027702014146219174</v>
      </c>
      <c r="D1021" s="107" t="s">
        <v>3500</v>
      </c>
      <c r="E1021" s="107" t="b">
        <v>0</v>
      </c>
      <c r="F1021" s="107" t="b">
        <v>0</v>
      </c>
      <c r="G1021" s="107" t="b">
        <v>0</v>
      </c>
    </row>
    <row r="1022" spans="1:7" ht="15">
      <c r="A1022" s="87" t="s">
        <v>4227</v>
      </c>
      <c r="B1022" s="107">
        <v>2</v>
      </c>
      <c r="C1022" s="109">
        <v>0.0027702014146219174</v>
      </c>
      <c r="D1022" s="107" t="s">
        <v>3500</v>
      </c>
      <c r="E1022" s="107" t="b">
        <v>0</v>
      </c>
      <c r="F1022" s="107" t="b">
        <v>0</v>
      </c>
      <c r="G1022" s="107" t="b">
        <v>0</v>
      </c>
    </row>
    <row r="1023" spans="1:7" ht="15">
      <c r="A1023" s="87" t="s">
        <v>4009</v>
      </c>
      <c r="B1023" s="107">
        <v>2</v>
      </c>
      <c r="C1023" s="109">
        <v>0.0027702014146219174</v>
      </c>
      <c r="D1023" s="107" t="s">
        <v>3500</v>
      </c>
      <c r="E1023" s="107" t="b">
        <v>0</v>
      </c>
      <c r="F1023" s="107" t="b">
        <v>0</v>
      </c>
      <c r="G1023" s="107" t="b">
        <v>0</v>
      </c>
    </row>
    <row r="1024" spans="1:7" ht="15">
      <c r="A1024" s="87" t="s">
        <v>3946</v>
      </c>
      <c r="B1024" s="107">
        <v>2</v>
      </c>
      <c r="C1024" s="109">
        <v>0.0031894632470230054</v>
      </c>
      <c r="D1024" s="107" t="s">
        <v>3500</v>
      </c>
      <c r="E1024" s="107" t="b">
        <v>0</v>
      </c>
      <c r="F1024" s="107" t="b">
        <v>0</v>
      </c>
      <c r="G1024" s="107" t="b">
        <v>0</v>
      </c>
    </row>
    <row r="1025" spans="1:7" ht="15">
      <c r="A1025" s="87" t="s">
        <v>4302</v>
      </c>
      <c r="B1025" s="107">
        <v>2</v>
      </c>
      <c r="C1025" s="109">
        <v>0.0031894632470230054</v>
      </c>
      <c r="D1025" s="107" t="s">
        <v>3500</v>
      </c>
      <c r="E1025" s="107" t="b">
        <v>0</v>
      </c>
      <c r="F1025" s="107" t="b">
        <v>0</v>
      </c>
      <c r="G1025" s="107" t="b">
        <v>0</v>
      </c>
    </row>
    <row r="1026" spans="1:7" ht="15">
      <c r="A1026" s="87" t="s">
        <v>4246</v>
      </c>
      <c r="B1026" s="107">
        <v>2</v>
      </c>
      <c r="C1026" s="109">
        <v>0.0027702014146219174</v>
      </c>
      <c r="D1026" s="107" t="s">
        <v>3500</v>
      </c>
      <c r="E1026" s="107" t="b">
        <v>0</v>
      </c>
      <c r="F1026" s="107" t="b">
        <v>0</v>
      </c>
      <c r="G1026" s="107" t="b">
        <v>0</v>
      </c>
    </row>
    <row r="1027" spans="1:7" ht="15">
      <c r="A1027" s="87" t="s">
        <v>3548</v>
      </c>
      <c r="B1027" s="107">
        <v>2</v>
      </c>
      <c r="C1027" s="109">
        <v>0.0031894632470230054</v>
      </c>
      <c r="D1027" s="107" t="s">
        <v>3500</v>
      </c>
      <c r="E1027" s="107" t="b">
        <v>0</v>
      </c>
      <c r="F1027" s="107" t="b">
        <v>0</v>
      </c>
      <c r="G1027" s="107" t="b">
        <v>0</v>
      </c>
    </row>
    <row r="1028" spans="1:7" ht="15">
      <c r="A1028" s="87" t="s">
        <v>3850</v>
      </c>
      <c r="B1028" s="107">
        <v>2</v>
      </c>
      <c r="C1028" s="109">
        <v>0.0027702014146219174</v>
      </c>
      <c r="D1028" s="107" t="s">
        <v>3500</v>
      </c>
      <c r="E1028" s="107" t="b">
        <v>0</v>
      </c>
      <c r="F1028" s="107" t="b">
        <v>1</v>
      </c>
      <c r="G1028" s="107" t="b">
        <v>0</v>
      </c>
    </row>
    <row r="1029" spans="1:7" ht="15">
      <c r="A1029" s="87" t="s">
        <v>3789</v>
      </c>
      <c r="B1029" s="107">
        <v>2</v>
      </c>
      <c r="C1029" s="109">
        <v>0.0027702014146219174</v>
      </c>
      <c r="D1029" s="107" t="s">
        <v>3500</v>
      </c>
      <c r="E1029" s="107" t="b">
        <v>0</v>
      </c>
      <c r="F1029" s="107" t="b">
        <v>0</v>
      </c>
      <c r="G1029" s="107" t="b">
        <v>0</v>
      </c>
    </row>
    <row r="1030" spans="1:7" ht="15">
      <c r="A1030" s="87" t="s">
        <v>3815</v>
      </c>
      <c r="B1030" s="107">
        <v>2</v>
      </c>
      <c r="C1030" s="109">
        <v>0.0027702014146219174</v>
      </c>
      <c r="D1030" s="107" t="s">
        <v>3500</v>
      </c>
      <c r="E1030" s="107" t="b">
        <v>0</v>
      </c>
      <c r="F1030" s="107" t="b">
        <v>0</v>
      </c>
      <c r="G1030" s="107" t="b">
        <v>0</v>
      </c>
    </row>
    <row r="1031" spans="1:7" ht="15">
      <c r="A1031" s="87" t="s">
        <v>4011</v>
      </c>
      <c r="B1031" s="107">
        <v>2</v>
      </c>
      <c r="C1031" s="109">
        <v>0.0027702014146219174</v>
      </c>
      <c r="D1031" s="107" t="s">
        <v>3500</v>
      </c>
      <c r="E1031" s="107" t="b">
        <v>0</v>
      </c>
      <c r="F1031" s="107" t="b">
        <v>0</v>
      </c>
      <c r="G1031" s="107" t="b">
        <v>0</v>
      </c>
    </row>
    <row r="1032" spans="1:7" ht="15">
      <c r="A1032" s="87" t="s">
        <v>4232</v>
      </c>
      <c r="B1032" s="107">
        <v>2</v>
      </c>
      <c r="C1032" s="109">
        <v>0.0027702014146219174</v>
      </c>
      <c r="D1032" s="107" t="s">
        <v>3500</v>
      </c>
      <c r="E1032" s="107" t="b">
        <v>0</v>
      </c>
      <c r="F1032" s="107" t="b">
        <v>0</v>
      </c>
      <c r="G1032" s="107" t="b">
        <v>0</v>
      </c>
    </row>
    <row r="1033" spans="1:7" ht="15">
      <c r="A1033" s="87" t="s">
        <v>3994</v>
      </c>
      <c r="B1033" s="107">
        <v>2</v>
      </c>
      <c r="C1033" s="109">
        <v>0.0027702014146219174</v>
      </c>
      <c r="D1033" s="107" t="s">
        <v>3500</v>
      </c>
      <c r="E1033" s="107" t="b">
        <v>0</v>
      </c>
      <c r="F1033" s="107" t="b">
        <v>0</v>
      </c>
      <c r="G1033" s="107" t="b">
        <v>0</v>
      </c>
    </row>
    <row r="1034" spans="1:7" ht="15">
      <c r="A1034" s="87" t="s">
        <v>4324</v>
      </c>
      <c r="B1034" s="107">
        <v>2</v>
      </c>
      <c r="C1034" s="109">
        <v>0.0027702014146219174</v>
      </c>
      <c r="D1034" s="107" t="s">
        <v>3500</v>
      </c>
      <c r="E1034" s="107" t="b">
        <v>0</v>
      </c>
      <c r="F1034" s="107" t="b">
        <v>0</v>
      </c>
      <c r="G1034" s="107" t="b">
        <v>0</v>
      </c>
    </row>
    <row r="1035" spans="1:7" ht="15">
      <c r="A1035" s="87" t="s">
        <v>3968</v>
      </c>
      <c r="B1035" s="107">
        <v>2</v>
      </c>
      <c r="C1035" s="109">
        <v>0.0027702014146219174</v>
      </c>
      <c r="D1035" s="107" t="s">
        <v>3500</v>
      </c>
      <c r="E1035" s="107" t="b">
        <v>0</v>
      </c>
      <c r="F1035" s="107" t="b">
        <v>0</v>
      </c>
      <c r="G1035" s="107" t="b">
        <v>0</v>
      </c>
    </row>
    <row r="1036" spans="1:7" ht="15">
      <c r="A1036" s="87" t="s">
        <v>4074</v>
      </c>
      <c r="B1036" s="107">
        <v>2</v>
      </c>
      <c r="C1036" s="109">
        <v>0.0027702014146219174</v>
      </c>
      <c r="D1036" s="107" t="s">
        <v>3500</v>
      </c>
      <c r="E1036" s="107" t="b">
        <v>0</v>
      </c>
      <c r="F1036" s="107" t="b">
        <v>1</v>
      </c>
      <c r="G1036" s="107" t="b">
        <v>0</v>
      </c>
    </row>
    <row r="1037" spans="1:7" ht="15">
      <c r="A1037" s="87" t="s">
        <v>3986</v>
      </c>
      <c r="B1037" s="107">
        <v>2</v>
      </c>
      <c r="C1037" s="109">
        <v>0.0027702014146219174</v>
      </c>
      <c r="D1037" s="107" t="s">
        <v>3500</v>
      </c>
      <c r="E1037" s="107" t="b">
        <v>0</v>
      </c>
      <c r="F1037" s="107" t="b">
        <v>1</v>
      </c>
      <c r="G1037" s="107" t="b">
        <v>0</v>
      </c>
    </row>
    <row r="1038" spans="1:7" ht="15">
      <c r="A1038" s="87" t="s">
        <v>3648</v>
      </c>
      <c r="B1038" s="107">
        <v>2</v>
      </c>
      <c r="C1038" s="109">
        <v>0.0027702014146219174</v>
      </c>
      <c r="D1038" s="107" t="s">
        <v>3500</v>
      </c>
      <c r="E1038" s="107" t="b">
        <v>1</v>
      </c>
      <c r="F1038" s="107" t="b">
        <v>0</v>
      </c>
      <c r="G1038" s="107" t="b">
        <v>0</v>
      </c>
    </row>
    <row r="1039" spans="1:7" ht="15">
      <c r="A1039" s="87" t="s">
        <v>4173</v>
      </c>
      <c r="B1039" s="107">
        <v>2</v>
      </c>
      <c r="C1039" s="109">
        <v>0.0027702014146219174</v>
      </c>
      <c r="D1039" s="107" t="s">
        <v>3500</v>
      </c>
      <c r="E1039" s="107" t="b">
        <v>0</v>
      </c>
      <c r="F1039" s="107" t="b">
        <v>0</v>
      </c>
      <c r="G1039" s="107" t="b">
        <v>0</v>
      </c>
    </row>
    <row r="1040" spans="1:7" ht="15">
      <c r="A1040" s="87" t="s">
        <v>3692</v>
      </c>
      <c r="B1040" s="107">
        <v>2</v>
      </c>
      <c r="C1040" s="109">
        <v>0.0027702014146219174</v>
      </c>
      <c r="D1040" s="107" t="s">
        <v>3500</v>
      </c>
      <c r="E1040" s="107" t="b">
        <v>0</v>
      </c>
      <c r="F1040" s="107" t="b">
        <v>0</v>
      </c>
      <c r="G1040" s="107" t="b">
        <v>0</v>
      </c>
    </row>
    <row r="1041" spans="1:7" ht="15">
      <c r="A1041" s="87" t="s">
        <v>3565</v>
      </c>
      <c r="B1041" s="107">
        <v>2</v>
      </c>
      <c r="C1041" s="109">
        <v>0.0031894632470230054</v>
      </c>
      <c r="D1041" s="107" t="s">
        <v>3500</v>
      </c>
      <c r="E1041" s="107" t="b">
        <v>0</v>
      </c>
      <c r="F1041" s="107" t="b">
        <v>0</v>
      </c>
      <c r="G1041" s="107" t="b">
        <v>0</v>
      </c>
    </row>
    <row r="1042" spans="1:7" ht="15">
      <c r="A1042" s="87" t="s">
        <v>4251</v>
      </c>
      <c r="B1042" s="107">
        <v>2</v>
      </c>
      <c r="C1042" s="109">
        <v>0.0027702014146219174</v>
      </c>
      <c r="D1042" s="107" t="s">
        <v>3500</v>
      </c>
      <c r="E1042" s="107" t="b">
        <v>0</v>
      </c>
      <c r="F1042" s="107" t="b">
        <v>0</v>
      </c>
      <c r="G1042" s="107" t="b">
        <v>0</v>
      </c>
    </row>
    <row r="1043" spans="1:7" ht="15">
      <c r="A1043" s="87" t="s">
        <v>4179</v>
      </c>
      <c r="B1043" s="107">
        <v>2</v>
      </c>
      <c r="C1043" s="109">
        <v>0.0027702014146219174</v>
      </c>
      <c r="D1043" s="107" t="s">
        <v>3500</v>
      </c>
      <c r="E1043" s="107" t="b">
        <v>0</v>
      </c>
      <c r="F1043" s="107" t="b">
        <v>0</v>
      </c>
      <c r="G1043" s="107" t="b">
        <v>0</v>
      </c>
    </row>
    <row r="1044" spans="1:7" ht="15">
      <c r="A1044" s="87" t="s">
        <v>4217</v>
      </c>
      <c r="B1044" s="107">
        <v>2</v>
      </c>
      <c r="C1044" s="109">
        <v>0.0027702014146219174</v>
      </c>
      <c r="D1044" s="107" t="s">
        <v>3500</v>
      </c>
      <c r="E1044" s="107" t="b">
        <v>0</v>
      </c>
      <c r="F1044" s="107" t="b">
        <v>0</v>
      </c>
      <c r="G1044" s="107" t="b">
        <v>0</v>
      </c>
    </row>
    <row r="1045" spans="1:7" ht="15">
      <c r="A1045" s="87" t="s">
        <v>3822</v>
      </c>
      <c r="B1045" s="107">
        <v>2</v>
      </c>
      <c r="C1045" s="109">
        <v>0.0031894632470230054</v>
      </c>
      <c r="D1045" s="107" t="s">
        <v>3500</v>
      </c>
      <c r="E1045" s="107" t="b">
        <v>1</v>
      </c>
      <c r="F1045" s="107" t="b">
        <v>0</v>
      </c>
      <c r="G1045" s="107" t="b">
        <v>0</v>
      </c>
    </row>
    <row r="1046" spans="1:7" ht="15">
      <c r="A1046" s="87" t="s">
        <v>4133</v>
      </c>
      <c r="B1046" s="107">
        <v>2</v>
      </c>
      <c r="C1046" s="109">
        <v>0.0027702014146219174</v>
      </c>
      <c r="D1046" s="107" t="s">
        <v>3500</v>
      </c>
      <c r="E1046" s="107" t="b">
        <v>1</v>
      </c>
      <c r="F1046" s="107" t="b">
        <v>0</v>
      </c>
      <c r="G1046" s="107" t="b">
        <v>0</v>
      </c>
    </row>
    <row r="1047" spans="1:7" ht="15">
      <c r="A1047" s="87" t="s">
        <v>3867</v>
      </c>
      <c r="B1047" s="107">
        <v>2</v>
      </c>
      <c r="C1047" s="109">
        <v>0.0027702014146219174</v>
      </c>
      <c r="D1047" s="107" t="s">
        <v>3500</v>
      </c>
      <c r="E1047" s="107" t="b">
        <v>0</v>
      </c>
      <c r="F1047" s="107" t="b">
        <v>0</v>
      </c>
      <c r="G1047" s="107" t="b">
        <v>0</v>
      </c>
    </row>
    <row r="1048" spans="1:7" ht="15">
      <c r="A1048" s="87" t="s">
        <v>4319</v>
      </c>
      <c r="B1048" s="107">
        <v>2</v>
      </c>
      <c r="C1048" s="109">
        <v>0.0027702014146219174</v>
      </c>
      <c r="D1048" s="107" t="s">
        <v>3500</v>
      </c>
      <c r="E1048" s="107" t="b">
        <v>0</v>
      </c>
      <c r="F1048" s="107" t="b">
        <v>1</v>
      </c>
      <c r="G1048" s="107" t="b">
        <v>0</v>
      </c>
    </row>
    <row r="1049" spans="1:7" ht="15">
      <c r="A1049" s="87" t="s">
        <v>4070</v>
      </c>
      <c r="B1049" s="107">
        <v>2</v>
      </c>
      <c r="C1049" s="109">
        <v>0.0027702014146219174</v>
      </c>
      <c r="D1049" s="107" t="s">
        <v>3500</v>
      </c>
      <c r="E1049" s="107" t="b">
        <v>0</v>
      </c>
      <c r="F1049" s="107" t="b">
        <v>0</v>
      </c>
      <c r="G1049" s="107" t="b">
        <v>0</v>
      </c>
    </row>
    <row r="1050" spans="1:7" ht="15">
      <c r="A1050" s="87" t="s">
        <v>3735</v>
      </c>
      <c r="B1050" s="107">
        <v>2</v>
      </c>
      <c r="C1050" s="109">
        <v>0.0027702014146219174</v>
      </c>
      <c r="D1050" s="107" t="s">
        <v>3500</v>
      </c>
      <c r="E1050" s="107" t="b">
        <v>1</v>
      </c>
      <c r="F1050" s="107" t="b">
        <v>0</v>
      </c>
      <c r="G1050" s="107" t="b">
        <v>0</v>
      </c>
    </row>
    <row r="1051" spans="1:7" ht="15">
      <c r="A1051" s="87" t="s">
        <v>2912</v>
      </c>
      <c r="B1051" s="107">
        <v>2</v>
      </c>
      <c r="C1051" s="109">
        <v>0.0027702014146219174</v>
      </c>
      <c r="D1051" s="107" t="s">
        <v>3500</v>
      </c>
      <c r="E1051" s="107" t="b">
        <v>0</v>
      </c>
      <c r="F1051" s="107" t="b">
        <v>0</v>
      </c>
      <c r="G1051" s="107" t="b">
        <v>0</v>
      </c>
    </row>
    <row r="1052" spans="1:7" ht="15">
      <c r="A1052" s="87" t="s">
        <v>4057</v>
      </c>
      <c r="B1052" s="107">
        <v>2</v>
      </c>
      <c r="C1052" s="109">
        <v>0.0031894632470230054</v>
      </c>
      <c r="D1052" s="107" t="s">
        <v>3500</v>
      </c>
      <c r="E1052" s="107" t="b">
        <v>0</v>
      </c>
      <c r="F1052" s="107" t="b">
        <v>0</v>
      </c>
      <c r="G1052" s="107" t="b">
        <v>0</v>
      </c>
    </row>
    <row r="1053" spans="1:7" ht="15">
      <c r="A1053" s="87" t="s">
        <v>3894</v>
      </c>
      <c r="B1053" s="107">
        <v>2</v>
      </c>
      <c r="C1053" s="109">
        <v>0.0027702014146219174</v>
      </c>
      <c r="D1053" s="107" t="s">
        <v>3500</v>
      </c>
      <c r="E1053" s="107" t="b">
        <v>0</v>
      </c>
      <c r="F1053" s="107" t="b">
        <v>0</v>
      </c>
      <c r="G1053" s="107" t="b">
        <v>0</v>
      </c>
    </row>
    <row r="1054" spans="1:7" ht="15">
      <c r="A1054" s="87" t="s">
        <v>3824</v>
      </c>
      <c r="B1054" s="107">
        <v>2</v>
      </c>
      <c r="C1054" s="109">
        <v>0.0027702014146219174</v>
      </c>
      <c r="D1054" s="107" t="s">
        <v>3500</v>
      </c>
      <c r="E1054" s="107" t="b">
        <v>0</v>
      </c>
      <c r="F1054" s="107" t="b">
        <v>1</v>
      </c>
      <c r="G1054" s="107" t="b">
        <v>0</v>
      </c>
    </row>
    <row r="1055" spans="1:7" ht="15">
      <c r="A1055" s="87" t="s">
        <v>4260</v>
      </c>
      <c r="B1055" s="107">
        <v>2</v>
      </c>
      <c r="C1055" s="109">
        <v>0.0031894632470230054</v>
      </c>
      <c r="D1055" s="107" t="s">
        <v>3500</v>
      </c>
      <c r="E1055" s="107" t="b">
        <v>0</v>
      </c>
      <c r="F1055" s="107" t="b">
        <v>0</v>
      </c>
      <c r="G1055" s="107" t="b">
        <v>0</v>
      </c>
    </row>
    <row r="1056" spans="1:7" ht="15">
      <c r="A1056" s="87" t="s">
        <v>4166</v>
      </c>
      <c r="B1056" s="107">
        <v>2</v>
      </c>
      <c r="C1056" s="109">
        <v>0.0027702014146219174</v>
      </c>
      <c r="D1056" s="107" t="s">
        <v>3500</v>
      </c>
      <c r="E1056" s="107" t="b">
        <v>0</v>
      </c>
      <c r="F1056" s="107" t="b">
        <v>0</v>
      </c>
      <c r="G1056" s="107" t="b">
        <v>0</v>
      </c>
    </row>
    <row r="1057" spans="1:7" ht="15">
      <c r="A1057" s="87" t="s">
        <v>3678</v>
      </c>
      <c r="B1057" s="107">
        <v>2</v>
      </c>
      <c r="C1057" s="109">
        <v>0.0027702014146219174</v>
      </c>
      <c r="D1057" s="107" t="s">
        <v>3500</v>
      </c>
      <c r="E1057" s="107" t="b">
        <v>0</v>
      </c>
      <c r="F1057" s="107" t="b">
        <v>0</v>
      </c>
      <c r="G1057" s="107" t="b">
        <v>0</v>
      </c>
    </row>
    <row r="1058" spans="1:7" ht="15">
      <c r="A1058" s="87" t="s">
        <v>4328</v>
      </c>
      <c r="B1058" s="107">
        <v>2</v>
      </c>
      <c r="C1058" s="109">
        <v>0.0027702014146219174</v>
      </c>
      <c r="D1058" s="107" t="s">
        <v>3500</v>
      </c>
      <c r="E1058" s="107" t="b">
        <v>0</v>
      </c>
      <c r="F1058" s="107" t="b">
        <v>0</v>
      </c>
      <c r="G1058" s="107" t="b">
        <v>0</v>
      </c>
    </row>
    <row r="1059" spans="1:7" ht="15">
      <c r="A1059" s="87" t="s">
        <v>3645</v>
      </c>
      <c r="B1059" s="107">
        <v>2</v>
      </c>
      <c r="C1059" s="109">
        <v>0.0027702014146219174</v>
      </c>
      <c r="D1059" s="107" t="s">
        <v>3500</v>
      </c>
      <c r="E1059" s="107" t="b">
        <v>0</v>
      </c>
      <c r="F1059" s="107" t="b">
        <v>0</v>
      </c>
      <c r="G1059" s="107" t="b">
        <v>0</v>
      </c>
    </row>
    <row r="1060" spans="1:7" ht="15">
      <c r="A1060" s="87" t="s">
        <v>3943</v>
      </c>
      <c r="B1060" s="107">
        <v>2</v>
      </c>
      <c r="C1060" s="109">
        <v>0.0027702014146219174</v>
      </c>
      <c r="D1060" s="107" t="s">
        <v>3500</v>
      </c>
      <c r="E1060" s="107" t="b">
        <v>0</v>
      </c>
      <c r="F1060" s="107" t="b">
        <v>0</v>
      </c>
      <c r="G1060" s="107" t="b">
        <v>0</v>
      </c>
    </row>
    <row r="1061" spans="1:7" ht="15">
      <c r="A1061" s="87" t="s">
        <v>3697</v>
      </c>
      <c r="B1061" s="107">
        <v>2</v>
      </c>
      <c r="C1061" s="109">
        <v>0.0031894632470230054</v>
      </c>
      <c r="D1061" s="107" t="s">
        <v>3500</v>
      </c>
      <c r="E1061" s="107" t="b">
        <v>1</v>
      </c>
      <c r="F1061" s="107" t="b">
        <v>0</v>
      </c>
      <c r="G1061" s="107" t="b">
        <v>0</v>
      </c>
    </row>
    <row r="1062" spans="1:7" ht="15">
      <c r="A1062" s="87" t="s">
        <v>3952</v>
      </c>
      <c r="B1062" s="107">
        <v>2</v>
      </c>
      <c r="C1062" s="109">
        <v>0.0027702014146219174</v>
      </c>
      <c r="D1062" s="107" t="s">
        <v>3500</v>
      </c>
      <c r="E1062" s="107" t="b">
        <v>0</v>
      </c>
      <c r="F1062" s="107" t="b">
        <v>0</v>
      </c>
      <c r="G1062" s="107" t="b">
        <v>0</v>
      </c>
    </row>
    <row r="1063" spans="1:7" ht="15">
      <c r="A1063" s="87" t="s">
        <v>3956</v>
      </c>
      <c r="B1063" s="107">
        <v>2</v>
      </c>
      <c r="C1063" s="109">
        <v>0.0027702014146219174</v>
      </c>
      <c r="D1063" s="107" t="s">
        <v>3500</v>
      </c>
      <c r="E1063" s="107" t="b">
        <v>1</v>
      </c>
      <c r="F1063" s="107" t="b">
        <v>0</v>
      </c>
      <c r="G1063" s="107" t="b">
        <v>0</v>
      </c>
    </row>
    <row r="1064" spans="1:7" ht="15">
      <c r="A1064" s="87" t="s">
        <v>4282</v>
      </c>
      <c r="B1064" s="107">
        <v>2</v>
      </c>
      <c r="C1064" s="109">
        <v>0.0027702014146219174</v>
      </c>
      <c r="D1064" s="107" t="s">
        <v>3500</v>
      </c>
      <c r="E1064" s="107" t="b">
        <v>0</v>
      </c>
      <c r="F1064" s="107" t="b">
        <v>0</v>
      </c>
      <c r="G1064" s="107" t="b">
        <v>0</v>
      </c>
    </row>
    <row r="1065" spans="1:7" ht="15">
      <c r="A1065" s="87" t="s">
        <v>4189</v>
      </c>
      <c r="B1065" s="107">
        <v>2</v>
      </c>
      <c r="C1065" s="109">
        <v>0.0027702014146219174</v>
      </c>
      <c r="D1065" s="107" t="s">
        <v>3500</v>
      </c>
      <c r="E1065" s="107" t="b">
        <v>1</v>
      </c>
      <c r="F1065" s="107" t="b">
        <v>0</v>
      </c>
      <c r="G1065" s="107" t="b">
        <v>0</v>
      </c>
    </row>
    <row r="1066" spans="1:7" ht="15">
      <c r="A1066" s="87" t="s">
        <v>4034</v>
      </c>
      <c r="B1066" s="107">
        <v>2</v>
      </c>
      <c r="C1066" s="109">
        <v>0.0027702014146219174</v>
      </c>
      <c r="D1066" s="107" t="s">
        <v>3500</v>
      </c>
      <c r="E1066" s="107" t="b">
        <v>0</v>
      </c>
      <c r="F1066" s="107" t="b">
        <v>1</v>
      </c>
      <c r="G1066" s="107" t="b">
        <v>0</v>
      </c>
    </row>
    <row r="1067" spans="1:7" ht="15">
      <c r="A1067" s="87" t="s">
        <v>4191</v>
      </c>
      <c r="B1067" s="107">
        <v>2</v>
      </c>
      <c r="C1067" s="109">
        <v>0.0031894632470230054</v>
      </c>
      <c r="D1067" s="107" t="s">
        <v>3500</v>
      </c>
      <c r="E1067" s="107" t="b">
        <v>0</v>
      </c>
      <c r="F1067" s="107" t="b">
        <v>0</v>
      </c>
      <c r="G1067" s="107" t="b">
        <v>0</v>
      </c>
    </row>
    <row r="1068" spans="1:7" ht="15">
      <c r="A1068" s="87" t="s">
        <v>4054</v>
      </c>
      <c r="B1068" s="107">
        <v>2</v>
      </c>
      <c r="C1068" s="109">
        <v>0.0031894632470230054</v>
      </c>
      <c r="D1068" s="107" t="s">
        <v>3500</v>
      </c>
      <c r="E1068" s="107" t="b">
        <v>0</v>
      </c>
      <c r="F1068" s="107" t="b">
        <v>0</v>
      </c>
      <c r="G1068" s="107" t="b">
        <v>0</v>
      </c>
    </row>
    <row r="1069" spans="1:7" ht="15">
      <c r="A1069" s="87" t="s">
        <v>3615</v>
      </c>
      <c r="B1069" s="107">
        <v>2</v>
      </c>
      <c r="C1069" s="109">
        <v>0.0027702014146219174</v>
      </c>
      <c r="D1069" s="107" t="s">
        <v>3500</v>
      </c>
      <c r="E1069" s="107" t="b">
        <v>0</v>
      </c>
      <c r="F1069" s="107" t="b">
        <v>0</v>
      </c>
      <c r="G1069" s="107" t="b">
        <v>0</v>
      </c>
    </row>
    <row r="1070" spans="1:7" ht="15">
      <c r="A1070" s="87" t="s">
        <v>4314</v>
      </c>
      <c r="B1070" s="107">
        <v>2</v>
      </c>
      <c r="C1070" s="109">
        <v>0.0027702014146219174</v>
      </c>
      <c r="D1070" s="107" t="s">
        <v>3500</v>
      </c>
      <c r="E1070" s="107" t="b">
        <v>0</v>
      </c>
      <c r="F1070" s="107" t="b">
        <v>0</v>
      </c>
      <c r="G1070" s="107" t="b">
        <v>0</v>
      </c>
    </row>
    <row r="1071" spans="1:7" ht="15">
      <c r="A1071" s="87" t="s">
        <v>3915</v>
      </c>
      <c r="B1071" s="107">
        <v>2</v>
      </c>
      <c r="C1071" s="109">
        <v>0.0027702014146219174</v>
      </c>
      <c r="D1071" s="107" t="s">
        <v>3500</v>
      </c>
      <c r="E1071" s="107" t="b">
        <v>0</v>
      </c>
      <c r="F1071" s="107" t="b">
        <v>0</v>
      </c>
      <c r="G1071" s="107" t="b">
        <v>0</v>
      </c>
    </row>
    <row r="1072" spans="1:7" ht="15">
      <c r="A1072" s="87" t="s">
        <v>4107</v>
      </c>
      <c r="B1072" s="107">
        <v>2</v>
      </c>
      <c r="C1072" s="109">
        <v>0.0027702014146219174</v>
      </c>
      <c r="D1072" s="107" t="s">
        <v>3500</v>
      </c>
      <c r="E1072" s="107" t="b">
        <v>1</v>
      </c>
      <c r="F1072" s="107" t="b">
        <v>0</v>
      </c>
      <c r="G1072" s="107" t="b">
        <v>0</v>
      </c>
    </row>
    <row r="1073" spans="1:7" ht="15">
      <c r="A1073" s="87" t="s">
        <v>4196</v>
      </c>
      <c r="B1073" s="107">
        <v>2</v>
      </c>
      <c r="C1073" s="109">
        <v>0.0027702014146219174</v>
      </c>
      <c r="D1073" s="107" t="s">
        <v>3500</v>
      </c>
      <c r="E1073" s="107" t="b">
        <v>1</v>
      </c>
      <c r="F1073" s="107" t="b">
        <v>0</v>
      </c>
      <c r="G1073" s="107" t="b">
        <v>0</v>
      </c>
    </row>
    <row r="1074" spans="1:7" ht="15">
      <c r="A1074" s="87" t="s">
        <v>4000</v>
      </c>
      <c r="B1074" s="107">
        <v>2</v>
      </c>
      <c r="C1074" s="109">
        <v>0.0031894632470230054</v>
      </c>
      <c r="D1074" s="107" t="s">
        <v>3500</v>
      </c>
      <c r="E1074" s="107" t="b">
        <v>0</v>
      </c>
      <c r="F1074" s="107" t="b">
        <v>0</v>
      </c>
      <c r="G1074" s="107" t="b">
        <v>0</v>
      </c>
    </row>
    <row r="1075" spans="1:7" ht="15">
      <c r="A1075" s="87" t="s">
        <v>4012</v>
      </c>
      <c r="B1075" s="107">
        <v>2</v>
      </c>
      <c r="C1075" s="109">
        <v>0.0027702014146219174</v>
      </c>
      <c r="D1075" s="107" t="s">
        <v>3500</v>
      </c>
      <c r="E1075" s="107" t="b">
        <v>0</v>
      </c>
      <c r="F1075" s="107" t="b">
        <v>0</v>
      </c>
      <c r="G1075" s="107" t="b">
        <v>0</v>
      </c>
    </row>
    <row r="1076" spans="1:7" ht="15">
      <c r="A1076" s="87" t="s">
        <v>4066</v>
      </c>
      <c r="B1076" s="107">
        <v>2</v>
      </c>
      <c r="C1076" s="109">
        <v>0.0031894632470230054</v>
      </c>
      <c r="D1076" s="107" t="s">
        <v>3500</v>
      </c>
      <c r="E1076" s="107" t="b">
        <v>0</v>
      </c>
      <c r="F1076" s="107" t="b">
        <v>0</v>
      </c>
      <c r="G1076" s="107" t="b">
        <v>0</v>
      </c>
    </row>
    <row r="1077" spans="1:7" ht="15">
      <c r="A1077" s="87" t="s">
        <v>4125</v>
      </c>
      <c r="B1077" s="107">
        <v>2</v>
      </c>
      <c r="C1077" s="109">
        <v>0.0027702014146219174</v>
      </c>
      <c r="D1077" s="107" t="s">
        <v>3500</v>
      </c>
      <c r="E1077" s="107" t="b">
        <v>0</v>
      </c>
      <c r="F1077" s="107" t="b">
        <v>0</v>
      </c>
      <c r="G1077" s="107" t="b">
        <v>0</v>
      </c>
    </row>
    <row r="1078" spans="1:7" ht="15">
      <c r="A1078" s="87" t="s">
        <v>4167</v>
      </c>
      <c r="B1078" s="107">
        <v>2</v>
      </c>
      <c r="C1078" s="109">
        <v>0.0027702014146219174</v>
      </c>
      <c r="D1078" s="107" t="s">
        <v>3500</v>
      </c>
      <c r="E1078" s="107" t="b">
        <v>0</v>
      </c>
      <c r="F1078" s="107" t="b">
        <v>0</v>
      </c>
      <c r="G1078" s="107" t="b">
        <v>0</v>
      </c>
    </row>
    <row r="1079" spans="1:7" ht="15">
      <c r="A1079" s="87" t="s">
        <v>4160</v>
      </c>
      <c r="B1079" s="107">
        <v>2</v>
      </c>
      <c r="C1079" s="109">
        <v>0.0027702014146219174</v>
      </c>
      <c r="D1079" s="107" t="s">
        <v>3500</v>
      </c>
      <c r="E1079" s="107" t="b">
        <v>0</v>
      </c>
      <c r="F1079" s="107" t="b">
        <v>0</v>
      </c>
      <c r="G1079" s="107" t="b">
        <v>0</v>
      </c>
    </row>
    <row r="1080" spans="1:7" ht="15">
      <c r="A1080" s="87" t="s">
        <v>3827</v>
      </c>
      <c r="B1080" s="107">
        <v>2</v>
      </c>
      <c r="C1080" s="109">
        <v>0.0027702014146219174</v>
      </c>
      <c r="D1080" s="107" t="s">
        <v>3500</v>
      </c>
      <c r="E1080" s="107" t="b">
        <v>0</v>
      </c>
      <c r="F1080" s="107" t="b">
        <v>0</v>
      </c>
      <c r="G1080" s="107" t="b">
        <v>0</v>
      </c>
    </row>
    <row r="1081" spans="1:7" ht="15">
      <c r="A1081" s="87" t="s">
        <v>3839</v>
      </c>
      <c r="B1081" s="107">
        <v>2</v>
      </c>
      <c r="C1081" s="109">
        <v>0.0027702014146219174</v>
      </c>
      <c r="D1081" s="107" t="s">
        <v>3500</v>
      </c>
      <c r="E1081" s="107" t="b">
        <v>0</v>
      </c>
      <c r="F1081" s="107" t="b">
        <v>0</v>
      </c>
      <c r="G1081" s="107" t="b">
        <v>0</v>
      </c>
    </row>
    <row r="1082" spans="1:7" ht="15">
      <c r="A1082" s="87" t="s">
        <v>3988</v>
      </c>
      <c r="B1082" s="107">
        <v>2</v>
      </c>
      <c r="C1082" s="109">
        <v>0.0027702014146219174</v>
      </c>
      <c r="D1082" s="107" t="s">
        <v>3500</v>
      </c>
      <c r="E1082" s="107" t="b">
        <v>1</v>
      </c>
      <c r="F1082" s="107" t="b">
        <v>0</v>
      </c>
      <c r="G1082" s="107" t="b">
        <v>0</v>
      </c>
    </row>
    <row r="1083" spans="1:7" ht="15">
      <c r="A1083" s="87" t="s">
        <v>3891</v>
      </c>
      <c r="B1083" s="107">
        <v>2</v>
      </c>
      <c r="C1083" s="109">
        <v>0.0027702014146219174</v>
      </c>
      <c r="D1083" s="107" t="s">
        <v>3500</v>
      </c>
      <c r="E1083" s="107" t="b">
        <v>0</v>
      </c>
      <c r="F1083" s="107" t="b">
        <v>0</v>
      </c>
      <c r="G1083" s="107" t="b">
        <v>0</v>
      </c>
    </row>
    <row r="1084" spans="1:7" ht="15">
      <c r="A1084" s="87" t="s">
        <v>3955</v>
      </c>
      <c r="B1084" s="107">
        <v>2</v>
      </c>
      <c r="C1084" s="109">
        <v>0.0027702014146219174</v>
      </c>
      <c r="D1084" s="107" t="s">
        <v>3500</v>
      </c>
      <c r="E1084" s="107" t="b">
        <v>0</v>
      </c>
      <c r="F1084" s="107" t="b">
        <v>0</v>
      </c>
      <c r="G1084" s="107" t="b">
        <v>0</v>
      </c>
    </row>
    <row r="1085" spans="1:7" ht="15">
      <c r="A1085" s="87" t="s">
        <v>4247</v>
      </c>
      <c r="B1085" s="107">
        <v>2</v>
      </c>
      <c r="C1085" s="109">
        <v>0.0027702014146219174</v>
      </c>
      <c r="D1085" s="107" t="s">
        <v>3500</v>
      </c>
      <c r="E1085" s="107" t="b">
        <v>0</v>
      </c>
      <c r="F1085" s="107" t="b">
        <v>0</v>
      </c>
      <c r="G1085" s="107" t="b">
        <v>0</v>
      </c>
    </row>
    <row r="1086" spans="1:7" ht="15">
      <c r="A1086" s="87" t="s">
        <v>4031</v>
      </c>
      <c r="B1086" s="107">
        <v>2</v>
      </c>
      <c r="C1086" s="109">
        <v>0.0027702014146219174</v>
      </c>
      <c r="D1086" s="107" t="s">
        <v>3500</v>
      </c>
      <c r="E1086" s="107" t="b">
        <v>0</v>
      </c>
      <c r="F1086" s="107" t="b">
        <v>0</v>
      </c>
      <c r="G1086" s="107" t="b">
        <v>0</v>
      </c>
    </row>
    <row r="1087" spans="1:7" ht="15">
      <c r="A1087" s="87" t="s">
        <v>4105</v>
      </c>
      <c r="B1087" s="107">
        <v>2</v>
      </c>
      <c r="C1087" s="109">
        <v>0.0027702014146219174</v>
      </c>
      <c r="D1087" s="107" t="s">
        <v>3500</v>
      </c>
      <c r="E1087" s="107" t="b">
        <v>0</v>
      </c>
      <c r="F1087" s="107" t="b">
        <v>0</v>
      </c>
      <c r="G1087" s="107" t="b">
        <v>0</v>
      </c>
    </row>
    <row r="1088" spans="1:7" ht="15">
      <c r="A1088" s="87" t="s">
        <v>3610</v>
      </c>
      <c r="B1088" s="107">
        <v>2</v>
      </c>
      <c r="C1088" s="109">
        <v>0.0031894632470230054</v>
      </c>
      <c r="D1088" s="107" t="s">
        <v>3500</v>
      </c>
      <c r="E1088" s="107" t="b">
        <v>0</v>
      </c>
      <c r="F1088" s="107" t="b">
        <v>1</v>
      </c>
      <c r="G1088" s="107" t="b">
        <v>0</v>
      </c>
    </row>
    <row r="1089" spans="1:7" ht="15">
      <c r="A1089" s="87" t="s">
        <v>3539</v>
      </c>
      <c r="B1089" s="107">
        <v>26</v>
      </c>
      <c r="C1089" s="109">
        <v>0.014496545823719302</v>
      </c>
      <c r="D1089" s="107" t="s">
        <v>3501</v>
      </c>
      <c r="E1089" s="107" t="b">
        <v>0</v>
      </c>
      <c r="F1089" s="107" t="b">
        <v>0</v>
      </c>
      <c r="G1089" s="107" t="b">
        <v>0</v>
      </c>
    </row>
    <row r="1090" spans="1:7" ht="15">
      <c r="A1090" s="87" t="s">
        <v>3547</v>
      </c>
      <c r="B1090" s="107">
        <v>22</v>
      </c>
      <c r="C1090" s="109">
        <v>0.01472220819184231</v>
      </c>
      <c r="D1090" s="107" t="s">
        <v>3501</v>
      </c>
      <c r="E1090" s="107" t="b">
        <v>0</v>
      </c>
      <c r="F1090" s="107" t="b">
        <v>0</v>
      </c>
      <c r="G1090" s="107" t="b">
        <v>0</v>
      </c>
    </row>
    <row r="1091" spans="1:7" ht="15">
      <c r="A1091" s="87" t="s">
        <v>3537</v>
      </c>
      <c r="B1091" s="107">
        <v>21</v>
      </c>
      <c r="C1091" s="109">
        <v>0.012292135387727618</v>
      </c>
      <c r="D1091" s="107" t="s">
        <v>3501</v>
      </c>
      <c r="E1091" s="107" t="b">
        <v>0</v>
      </c>
      <c r="F1091" s="107" t="b">
        <v>0</v>
      </c>
      <c r="G1091" s="107" t="b">
        <v>0</v>
      </c>
    </row>
    <row r="1092" spans="1:7" ht="15">
      <c r="A1092" s="87" t="s">
        <v>3536</v>
      </c>
      <c r="B1092" s="107">
        <v>21</v>
      </c>
      <c r="C1092" s="109">
        <v>0.014053016910394931</v>
      </c>
      <c r="D1092" s="107" t="s">
        <v>3501</v>
      </c>
      <c r="E1092" s="107" t="b">
        <v>0</v>
      </c>
      <c r="F1092" s="107" t="b">
        <v>0</v>
      </c>
      <c r="G1092" s="107" t="b">
        <v>0</v>
      </c>
    </row>
    <row r="1093" spans="1:7" ht="15">
      <c r="A1093" s="87" t="s">
        <v>3545</v>
      </c>
      <c r="B1093" s="107">
        <v>20</v>
      </c>
      <c r="C1093" s="109">
        <v>0.012320990111529772</v>
      </c>
      <c r="D1093" s="107" t="s">
        <v>3501</v>
      </c>
      <c r="E1093" s="107" t="b">
        <v>0</v>
      </c>
      <c r="F1093" s="107" t="b">
        <v>0</v>
      </c>
      <c r="G1093" s="107" t="b">
        <v>0</v>
      </c>
    </row>
    <row r="1094" spans="1:7" ht="15">
      <c r="A1094" s="87" t="s">
        <v>2785</v>
      </c>
      <c r="B1094" s="107">
        <v>17</v>
      </c>
      <c r="C1094" s="109">
        <v>0.010756063690991947</v>
      </c>
      <c r="D1094" s="107" t="s">
        <v>3501</v>
      </c>
      <c r="E1094" s="107" t="b">
        <v>1</v>
      </c>
      <c r="F1094" s="107" t="b">
        <v>0</v>
      </c>
      <c r="G1094" s="107" t="b">
        <v>0</v>
      </c>
    </row>
    <row r="1095" spans="1:7" ht="15">
      <c r="A1095" s="87" t="s">
        <v>3546</v>
      </c>
      <c r="B1095" s="107">
        <v>17</v>
      </c>
      <c r="C1095" s="109">
        <v>0.01208532186160566</v>
      </c>
      <c r="D1095" s="107" t="s">
        <v>3501</v>
      </c>
      <c r="E1095" s="107" t="b">
        <v>0</v>
      </c>
      <c r="F1095" s="107" t="b">
        <v>0</v>
      </c>
      <c r="G1095" s="107" t="b">
        <v>0</v>
      </c>
    </row>
    <row r="1096" spans="1:7" ht="15">
      <c r="A1096" s="87" t="s">
        <v>3563</v>
      </c>
      <c r="B1096" s="107">
        <v>14</v>
      </c>
      <c r="C1096" s="109">
        <v>0.010279241820875896</v>
      </c>
      <c r="D1096" s="107" t="s">
        <v>3501</v>
      </c>
      <c r="E1096" s="107" t="b">
        <v>0</v>
      </c>
      <c r="F1096" s="107" t="b">
        <v>0</v>
      </c>
      <c r="G1096" s="107" t="b">
        <v>0</v>
      </c>
    </row>
    <row r="1097" spans="1:7" ht="15">
      <c r="A1097" s="87" t="s">
        <v>3560</v>
      </c>
      <c r="B1097" s="107">
        <v>13</v>
      </c>
      <c r="C1097" s="109">
        <v>0.009874709115639351</v>
      </c>
      <c r="D1097" s="107" t="s">
        <v>3501</v>
      </c>
      <c r="E1097" s="107" t="b">
        <v>0</v>
      </c>
      <c r="F1097" s="107" t="b">
        <v>0</v>
      </c>
      <c r="G1097" s="107" t="b">
        <v>0</v>
      </c>
    </row>
    <row r="1098" spans="1:7" ht="15">
      <c r="A1098" s="87" t="s">
        <v>3568</v>
      </c>
      <c r="B1098" s="107">
        <v>13</v>
      </c>
      <c r="C1098" s="109">
        <v>0.009545010262241905</v>
      </c>
      <c r="D1098" s="107" t="s">
        <v>3501</v>
      </c>
      <c r="E1098" s="107" t="b">
        <v>0</v>
      </c>
      <c r="F1098" s="107" t="b">
        <v>0</v>
      </c>
      <c r="G1098" s="107" t="b">
        <v>0</v>
      </c>
    </row>
    <row r="1099" spans="1:7" ht="15">
      <c r="A1099" s="87" t="s">
        <v>3550</v>
      </c>
      <c r="B1099" s="107">
        <v>11</v>
      </c>
      <c r="C1099" s="109">
        <v>0.008998913656847277</v>
      </c>
      <c r="D1099" s="107" t="s">
        <v>3501</v>
      </c>
      <c r="E1099" s="107" t="b">
        <v>0</v>
      </c>
      <c r="F1099" s="107" t="b">
        <v>0</v>
      </c>
      <c r="G1099" s="107" t="b">
        <v>0</v>
      </c>
    </row>
    <row r="1100" spans="1:7" ht="15">
      <c r="A1100" s="87" t="s">
        <v>3555</v>
      </c>
      <c r="B1100" s="107">
        <v>10</v>
      </c>
      <c r="C1100" s="109">
        <v>0.008524136116914969</v>
      </c>
      <c r="D1100" s="107" t="s">
        <v>3501</v>
      </c>
      <c r="E1100" s="107" t="b">
        <v>1</v>
      </c>
      <c r="F1100" s="107" t="b">
        <v>0</v>
      </c>
      <c r="G1100" s="107" t="b">
        <v>0</v>
      </c>
    </row>
    <row r="1101" spans="1:7" ht="15">
      <c r="A1101" s="87" t="s">
        <v>3561</v>
      </c>
      <c r="B1101" s="107">
        <v>10</v>
      </c>
      <c r="C1101" s="109">
        <v>0.008180830597133888</v>
      </c>
      <c r="D1101" s="107" t="s">
        <v>3501</v>
      </c>
      <c r="E1101" s="107" t="b">
        <v>0</v>
      </c>
      <c r="F1101" s="107" t="b">
        <v>0</v>
      </c>
      <c r="G1101" s="107" t="b">
        <v>0</v>
      </c>
    </row>
    <row r="1102" spans="1:7" ht="15">
      <c r="A1102" s="87" t="s">
        <v>3584</v>
      </c>
      <c r="B1102" s="107">
        <v>10</v>
      </c>
      <c r="C1102" s="109">
        <v>0.008180830597133888</v>
      </c>
      <c r="D1102" s="107" t="s">
        <v>3501</v>
      </c>
      <c r="E1102" s="107" t="b">
        <v>0</v>
      </c>
      <c r="F1102" s="107" t="b">
        <v>0</v>
      </c>
      <c r="G1102" s="107" t="b">
        <v>0</v>
      </c>
    </row>
    <row r="1103" spans="1:7" ht="15">
      <c r="A1103" s="87" t="s">
        <v>3553</v>
      </c>
      <c r="B1103" s="107">
        <v>9</v>
      </c>
      <c r="C1103" s="109">
        <v>0.009490024492455574</v>
      </c>
      <c r="D1103" s="107" t="s">
        <v>3501</v>
      </c>
      <c r="E1103" s="107" t="b">
        <v>0</v>
      </c>
      <c r="F1103" s="107" t="b">
        <v>0</v>
      </c>
      <c r="G1103" s="107" t="b">
        <v>0</v>
      </c>
    </row>
    <row r="1104" spans="1:7" ht="15">
      <c r="A1104" s="87" t="s">
        <v>3538</v>
      </c>
      <c r="B1104" s="107">
        <v>9</v>
      </c>
      <c r="C1104" s="109">
        <v>0.007362747537420499</v>
      </c>
      <c r="D1104" s="107" t="s">
        <v>3501</v>
      </c>
      <c r="E1104" s="107" t="b">
        <v>0</v>
      </c>
      <c r="F1104" s="107" t="b">
        <v>0</v>
      </c>
      <c r="G1104" s="107" t="b">
        <v>0</v>
      </c>
    </row>
    <row r="1105" spans="1:7" ht="15">
      <c r="A1105" s="87" t="s">
        <v>3557</v>
      </c>
      <c r="B1105" s="107">
        <v>9</v>
      </c>
      <c r="C1105" s="109">
        <v>0.007362747537420499</v>
      </c>
      <c r="D1105" s="107" t="s">
        <v>3501</v>
      </c>
      <c r="E1105" s="107" t="b">
        <v>1</v>
      </c>
      <c r="F1105" s="107" t="b">
        <v>0</v>
      </c>
      <c r="G1105" s="107" t="b">
        <v>0</v>
      </c>
    </row>
    <row r="1106" spans="1:7" ht="15">
      <c r="A1106" s="87" t="s">
        <v>3552</v>
      </c>
      <c r="B1106" s="107">
        <v>9</v>
      </c>
      <c r="C1106" s="109">
        <v>0.008022009433276613</v>
      </c>
      <c r="D1106" s="107" t="s">
        <v>3501</v>
      </c>
      <c r="E1106" s="107" t="b">
        <v>0</v>
      </c>
      <c r="F1106" s="107" t="b">
        <v>0</v>
      </c>
      <c r="G1106" s="107" t="b">
        <v>0</v>
      </c>
    </row>
    <row r="1107" spans="1:7" ht="15">
      <c r="A1107" s="87" t="s">
        <v>3600</v>
      </c>
      <c r="B1107" s="107">
        <v>8</v>
      </c>
      <c r="C1107" s="109">
        <v>0.0068193088935319755</v>
      </c>
      <c r="D1107" s="107" t="s">
        <v>3501</v>
      </c>
      <c r="E1107" s="107" t="b">
        <v>0</v>
      </c>
      <c r="F1107" s="107" t="b">
        <v>0</v>
      </c>
      <c r="G1107" s="107" t="b">
        <v>0</v>
      </c>
    </row>
    <row r="1108" spans="1:7" ht="15">
      <c r="A1108" s="87" t="s">
        <v>3543</v>
      </c>
      <c r="B1108" s="107">
        <v>8</v>
      </c>
      <c r="C1108" s="109">
        <v>0.0068193088935319755</v>
      </c>
      <c r="D1108" s="107" t="s">
        <v>3501</v>
      </c>
      <c r="E1108" s="107" t="b">
        <v>1</v>
      </c>
      <c r="F1108" s="107" t="b">
        <v>0</v>
      </c>
      <c r="G1108" s="107" t="b">
        <v>0</v>
      </c>
    </row>
    <row r="1109" spans="1:7" ht="15">
      <c r="A1109" s="87" t="s">
        <v>3592</v>
      </c>
      <c r="B1109" s="107">
        <v>8</v>
      </c>
      <c r="C1109" s="109">
        <v>0.0074901209021671425</v>
      </c>
      <c r="D1109" s="107" t="s">
        <v>3501</v>
      </c>
      <c r="E1109" s="107" t="b">
        <v>0</v>
      </c>
      <c r="F1109" s="107" t="b">
        <v>0</v>
      </c>
      <c r="G1109" s="107" t="b">
        <v>0</v>
      </c>
    </row>
    <row r="1110" spans="1:7" ht="15">
      <c r="A1110" s="87" t="s">
        <v>3566</v>
      </c>
      <c r="B1110" s="107">
        <v>8</v>
      </c>
      <c r="C1110" s="109">
        <v>0.0074901209021671425</v>
      </c>
      <c r="D1110" s="107" t="s">
        <v>3501</v>
      </c>
      <c r="E1110" s="107" t="b">
        <v>0</v>
      </c>
      <c r="F1110" s="107" t="b">
        <v>0</v>
      </c>
      <c r="G1110" s="107" t="b">
        <v>0</v>
      </c>
    </row>
    <row r="1111" spans="1:7" ht="15">
      <c r="A1111" s="87" t="s">
        <v>3544</v>
      </c>
      <c r="B1111" s="107">
        <v>8</v>
      </c>
      <c r="C1111" s="109">
        <v>0.007130675051801433</v>
      </c>
      <c r="D1111" s="107" t="s">
        <v>3501</v>
      </c>
      <c r="E1111" s="107" t="b">
        <v>1</v>
      </c>
      <c r="F1111" s="107" t="b">
        <v>0</v>
      </c>
      <c r="G1111" s="107" t="b">
        <v>0</v>
      </c>
    </row>
    <row r="1112" spans="1:7" ht="15">
      <c r="A1112" s="87" t="s">
        <v>3571</v>
      </c>
      <c r="B1112" s="107">
        <v>7</v>
      </c>
      <c r="C1112" s="109">
        <v>0.006925848220492474</v>
      </c>
      <c r="D1112" s="107" t="s">
        <v>3501</v>
      </c>
      <c r="E1112" s="107" t="b">
        <v>0</v>
      </c>
      <c r="F1112" s="107" t="b">
        <v>0</v>
      </c>
      <c r="G1112" s="107" t="b">
        <v>0</v>
      </c>
    </row>
    <row r="1113" spans="1:7" ht="15">
      <c r="A1113" s="87" t="s">
        <v>3562</v>
      </c>
      <c r="B1113" s="107">
        <v>7</v>
      </c>
      <c r="C1113" s="109">
        <v>0.006239340670326254</v>
      </c>
      <c r="D1113" s="107" t="s">
        <v>3501</v>
      </c>
      <c r="E1113" s="107" t="b">
        <v>0</v>
      </c>
      <c r="F1113" s="107" t="b">
        <v>0</v>
      </c>
      <c r="G1113" s="107" t="b">
        <v>0</v>
      </c>
    </row>
    <row r="1114" spans="1:7" ht="15">
      <c r="A1114" s="87" t="s">
        <v>3634</v>
      </c>
      <c r="B1114" s="107">
        <v>7</v>
      </c>
      <c r="C1114" s="109">
        <v>0.006925848220492474</v>
      </c>
      <c r="D1114" s="107" t="s">
        <v>3501</v>
      </c>
      <c r="E1114" s="107" t="b">
        <v>0</v>
      </c>
      <c r="F1114" s="107" t="b">
        <v>0</v>
      </c>
      <c r="G1114" s="107" t="b">
        <v>0</v>
      </c>
    </row>
    <row r="1115" spans="1:7" ht="15">
      <c r="A1115" s="87" t="s">
        <v>3639</v>
      </c>
      <c r="B1115" s="107">
        <v>7</v>
      </c>
      <c r="C1115" s="109">
        <v>0.00655385578939625</v>
      </c>
      <c r="D1115" s="107" t="s">
        <v>3501</v>
      </c>
      <c r="E1115" s="107" t="b">
        <v>0</v>
      </c>
      <c r="F1115" s="107" t="b">
        <v>0</v>
      </c>
      <c r="G1115" s="107" t="b">
        <v>0</v>
      </c>
    </row>
    <row r="1116" spans="1:7" ht="15">
      <c r="A1116" s="87" t="s">
        <v>3565</v>
      </c>
      <c r="B1116" s="107">
        <v>7</v>
      </c>
      <c r="C1116" s="109">
        <v>0.006925848220492474</v>
      </c>
      <c r="D1116" s="107" t="s">
        <v>3501</v>
      </c>
      <c r="E1116" s="107" t="b">
        <v>0</v>
      </c>
      <c r="F1116" s="107" t="b">
        <v>0</v>
      </c>
      <c r="G1116" s="107" t="b">
        <v>0</v>
      </c>
    </row>
    <row r="1117" spans="1:7" ht="15">
      <c r="A1117" s="87" t="s">
        <v>3596</v>
      </c>
      <c r="B1117" s="107">
        <v>7</v>
      </c>
      <c r="C1117" s="109">
        <v>0.00655385578939625</v>
      </c>
      <c r="D1117" s="107" t="s">
        <v>3501</v>
      </c>
      <c r="E1117" s="107" t="b">
        <v>0</v>
      </c>
      <c r="F1117" s="107" t="b">
        <v>0</v>
      </c>
      <c r="G1117" s="107" t="b">
        <v>0</v>
      </c>
    </row>
    <row r="1118" spans="1:7" ht="15">
      <c r="A1118" s="87" t="s">
        <v>3618</v>
      </c>
      <c r="B1118" s="107">
        <v>7</v>
      </c>
      <c r="C1118" s="109">
        <v>0.00655385578939625</v>
      </c>
      <c r="D1118" s="107" t="s">
        <v>3501</v>
      </c>
      <c r="E1118" s="107" t="b">
        <v>0</v>
      </c>
      <c r="F1118" s="107" t="b">
        <v>0</v>
      </c>
      <c r="G1118" s="107" t="b">
        <v>0</v>
      </c>
    </row>
    <row r="1119" spans="1:7" ht="15">
      <c r="A1119" s="87" t="s">
        <v>3611</v>
      </c>
      <c r="B1119" s="107">
        <v>6</v>
      </c>
      <c r="C1119" s="109">
        <v>0.005617590676625358</v>
      </c>
      <c r="D1119" s="107" t="s">
        <v>3501</v>
      </c>
      <c r="E1119" s="107" t="b">
        <v>0</v>
      </c>
      <c r="F1119" s="107" t="b">
        <v>0</v>
      </c>
      <c r="G1119" s="107" t="b">
        <v>0</v>
      </c>
    </row>
    <row r="1120" spans="1:7" ht="15">
      <c r="A1120" s="87" t="s">
        <v>3573</v>
      </c>
      <c r="B1120" s="107">
        <v>6</v>
      </c>
      <c r="C1120" s="109">
        <v>0.005617590676625358</v>
      </c>
      <c r="D1120" s="107" t="s">
        <v>3501</v>
      </c>
      <c r="E1120" s="107" t="b">
        <v>0</v>
      </c>
      <c r="F1120" s="107" t="b">
        <v>0</v>
      </c>
      <c r="G1120" s="107" t="b">
        <v>0</v>
      </c>
    </row>
    <row r="1121" spans="1:7" ht="15">
      <c r="A1121" s="87" t="s">
        <v>3558</v>
      </c>
      <c r="B1121" s="107">
        <v>6</v>
      </c>
      <c r="C1121" s="109">
        <v>0.005617590676625358</v>
      </c>
      <c r="D1121" s="107" t="s">
        <v>3501</v>
      </c>
      <c r="E1121" s="107" t="b">
        <v>0</v>
      </c>
      <c r="F1121" s="107" t="b">
        <v>0</v>
      </c>
      <c r="G1121" s="107" t="b">
        <v>0</v>
      </c>
    </row>
    <row r="1122" spans="1:7" ht="15">
      <c r="A1122" s="87" t="s">
        <v>3629</v>
      </c>
      <c r="B1122" s="107">
        <v>6</v>
      </c>
      <c r="C1122" s="109">
        <v>0.006326682994970383</v>
      </c>
      <c r="D1122" s="107" t="s">
        <v>3501</v>
      </c>
      <c r="E1122" s="107" t="b">
        <v>0</v>
      </c>
      <c r="F1122" s="107" t="b">
        <v>0</v>
      </c>
      <c r="G1122" s="107" t="b">
        <v>0</v>
      </c>
    </row>
    <row r="1123" spans="1:7" ht="15">
      <c r="A1123" s="87" t="s">
        <v>3578</v>
      </c>
      <c r="B1123" s="107">
        <v>5</v>
      </c>
      <c r="C1123" s="109">
        <v>0.00494703444320891</v>
      </c>
      <c r="D1123" s="107" t="s">
        <v>3501</v>
      </c>
      <c r="E1123" s="107" t="b">
        <v>0</v>
      </c>
      <c r="F1123" s="107" t="b">
        <v>0</v>
      </c>
      <c r="G1123" s="107" t="b">
        <v>0</v>
      </c>
    </row>
    <row r="1124" spans="1:7" ht="15">
      <c r="A1124" s="87" t="s">
        <v>3603</v>
      </c>
      <c r="B1124" s="107">
        <v>5</v>
      </c>
      <c r="C1124" s="109">
        <v>0.005272235829141985</v>
      </c>
      <c r="D1124" s="107" t="s">
        <v>3501</v>
      </c>
      <c r="E1124" s="107" t="b">
        <v>0</v>
      </c>
      <c r="F1124" s="107" t="b">
        <v>0</v>
      </c>
      <c r="G1124" s="107" t="b">
        <v>0</v>
      </c>
    </row>
    <row r="1125" spans="1:7" ht="15">
      <c r="A1125" s="87" t="s">
        <v>3666</v>
      </c>
      <c r="B1125" s="107">
        <v>5</v>
      </c>
      <c r="C1125" s="109">
        <v>0.005272235829141985</v>
      </c>
      <c r="D1125" s="107" t="s">
        <v>3501</v>
      </c>
      <c r="E1125" s="107" t="b">
        <v>0</v>
      </c>
      <c r="F1125" s="107" t="b">
        <v>0</v>
      </c>
      <c r="G1125" s="107" t="b">
        <v>0</v>
      </c>
    </row>
    <row r="1126" spans="1:7" ht="15">
      <c r="A1126" s="87" t="s">
        <v>3595</v>
      </c>
      <c r="B1126" s="107">
        <v>5</v>
      </c>
      <c r="C1126" s="109">
        <v>0.00494703444320891</v>
      </c>
      <c r="D1126" s="107" t="s">
        <v>3501</v>
      </c>
      <c r="E1126" s="107" t="b">
        <v>0</v>
      </c>
      <c r="F1126" s="107" t="b">
        <v>0</v>
      </c>
      <c r="G1126" s="107" t="b">
        <v>0</v>
      </c>
    </row>
    <row r="1127" spans="1:7" ht="15">
      <c r="A1127" s="87" t="s">
        <v>2951</v>
      </c>
      <c r="B1127" s="107">
        <v>5</v>
      </c>
      <c r="C1127" s="109">
        <v>0.00494703444320891</v>
      </c>
      <c r="D1127" s="107" t="s">
        <v>3501</v>
      </c>
      <c r="E1127" s="107" t="b">
        <v>1</v>
      </c>
      <c r="F1127" s="107" t="b">
        <v>0</v>
      </c>
      <c r="G1127" s="107" t="b">
        <v>0</v>
      </c>
    </row>
    <row r="1128" spans="1:7" ht="15">
      <c r="A1128" s="87" t="s">
        <v>3694</v>
      </c>
      <c r="B1128" s="107">
        <v>5</v>
      </c>
      <c r="C1128" s="109">
        <v>0.005691493334538965</v>
      </c>
      <c r="D1128" s="107" t="s">
        <v>3501</v>
      </c>
      <c r="E1128" s="107" t="b">
        <v>0</v>
      </c>
      <c r="F1128" s="107" t="b">
        <v>0</v>
      </c>
      <c r="G1128" s="107" t="b">
        <v>0</v>
      </c>
    </row>
    <row r="1129" spans="1:7" ht="15">
      <c r="A1129" s="87" t="s">
        <v>3657</v>
      </c>
      <c r="B1129" s="107">
        <v>4</v>
      </c>
      <c r="C1129" s="109">
        <v>0.004553194667631172</v>
      </c>
      <c r="D1129" s="107" t="s">
        <v>3501</v>
      </c>
      <c r="E1129" s="107" t="b">
        <v>1</v>
      </c>
      <c r="F1129" s="107" t="b">
        <v>0</v>
      </c>
      <c r="G1129" s="107" t="b">
        <v>0</v>
      </c>
    </row>
    <row r="1130" spans="1:7" ht="15">
      <c r="A1130" s="87" t="s">
        <v>3581</v>
      </c>
      <c r="B1130" s="107">
        <v>4</v>
      </c>
      <c r="C1130" s="109">
        <v>0.004217788663313588</v>
      </c>
      <c r="D1130" s="107" t="s">
        <v>3501</v>
      </c>
      <c r="E1130" s="107" t="b">
        <v>0</v>
      </c>
      <c r="F1130" s="107" t="b">
        <v>0</v>
      </c>
      <c r="G1130" s="107" t="b">
        <v>0</v>
      </c>
    </row>
    <row r="1131" spans="1:7" ht="15">
      <c r="A1131" s="87" t="s">
        <v>3604</v>
      </c>
      <c r="B1131" s="107">
        <v>4</v>
      </c>
      <c r="C1131" s="109">
        <v>0.004217788663313588</v>
      </c>
      <c r="D1131" s="107" t="s">
        <v>3501</v>
      </c>
      <c r="E1131" s="107" t="b">
        <v>0</v>
      </c>
      <c r="F1131" s="107" t="b">
        <v>0</v>
      </c>
      <c r="G1131" s="107" t="b">
        <v>0</v>
      </c>
    </row>
    <row r="1132" spans="1:7" ht="15">
      <c r="A1132" s="87" t="s">
        <v>3765</v>
      </c>
      <c r="B1132" s="107">
        <v>4</v>
      </c>
      <c r="C1132" s="109">
        <v>0.005834057096408789</v>
      </c>
      <c r="D1132" s="107" t="s">
        <v>3501</v>
      </c>
      <c r="E1132" s="107" t="b">
        <v>0</v>
      </c>
      <c r="F1132" s="107" t="b">
        <v>0</v>
      </c>
      <c r="G1132" s="107" t="b">
        <v>0</v>
      </c>
    </row>
    <row r="1133" spans="1:7" ht="15">
      <c r="A1133" s="87" t="s">
        <v>3579</v>
      </c>
      <c r="B1133" s="107">
        <v>4</v>
      </c>
      <c r="C1133" s="109">
        <v>0.004217788663313588</v>
      </c>
      <c r="D1133" s="107" t="s">
        <v>3501</v>
      </c>
      <c r="E1133" s="107" t="b">
        <v>0</v>
      </c>
      <c r="F1133" s="107" t="b">
        <v>0</v>
      </c>
      <c r="G1133" s="107" t="b">
        <v>0</v>
      </c>
    </row>
    <row r="1134" spans="1:7" ht="15">
      <c r="A1134" s="87" t="s">
        <v>3761</v>
      </c>
      <c r="B1134" s="107">
        <v>4</v>
      </c>
      <c r="C1134" s="109">
        <v>0.004553194667631172</v>
      </c>
      <c r="D1134" s="107" t="s">
        <v>3501</v>
      </c>
      <c r="E1134" s="107" t="b">
        <v>1</v>
      </c>
      <c r="F1134" s="107" t="b">
        <v>0</v>
      </c>
      <c r="G1134" s="107" t="b">
        <v>0</v>
      </c>
    </row>
    <row r="1135" spans="1:7" ht="15">
      <c r="A1135" s="87" t="s">
        <v>3727</v>
      </c>
      <c r="B1135" s="107">
        <v>4</v>
      </c>
      <c r="C1135" s="109">
        <v>0.004217788663313588</v>
      </c>
      <c r="D1135" s="107" t="s">
        <v>3501</v>
      </c>
      <c r="E1135" s="107" t="b">
        <v>0</v>
      </c>
      <c r="F1135" s="107" t="b">
        <v>0</v>
      </c>
      <c r="G1135" s="107" t="b">
        <v>0</v>
      </c>
    </row>
    <row r="1136" spans="1:7" ht="15">
      <c r="A1136" s="87" t="s">
        <v>3646</v>
      </c>
      <c r="B1136" s="107">
        <v>4</v>
      </c>
      <c r="C1136" s="109">
        <v>0.004553194667631172</v>
      </c>
      <c r="D1136" s="107" t="s">
        <v>3501</v>
      </c>
      <c r="E1136" s="107" t="b">
        <v>0</v>
      </c>
      <c r="F1136" s="107" t="b">
        <v>0</v>
      </c>
      <c r="G1136" s="107" t="b">
        <v>0</v>
      </c>
    </row>
    <row r="1137" spans="1:7" ht="15">
      <c r="A1137" s="87" t="s">
        <v>3590</v>
      </c>
      <c r="B1137" s="107">
        <v>4</v>
      </c>
      <c r="C1137" s="109">
        <v>0.005025922879861189</v>
      </c>
      <c r="D1137" s="107" t="s">
        <v>3501</v>
      </c>
      <c r="E1137" s="107" t="b">
        <v>0</v>
      </c>
      <c r="F1137" s="107" t="b">
        <v>0</v>
      </c>
      <c r="G1137" s="107" t="b">
        <v>0</v>
      </c>
    </row>
    <row r="1138" spans="1:7" ht="15">
      <c r="A1138" s="87" t="s">
        <v>3705</v>
      </c>
      <c r="B1138" s="107">
        <v>4</v>
      </c>
      <c r="C1138" s="109">
        <v>0.004217788663313588</v>
      </c>
      <c r="D1138" s="107" t="s">
        <v>3501</v>
      </c>
      <c r="E1138" s="107" t="b">
        <v>0</v>
      </c>
      <c r="F1138" s="107" t="b">
        <v>0</v>
      </c>
      <c r="G1138" s="107" t="b">
        <v>0</v>
      </c>
    </row>
    <row r="1139" spans="1:7" ht="15">
      <c r="A1139" s="87" t="s">
        <v>3635</v>
      </c>
      <c r="B1139" s="107">
        <v>4</v>
      </c>
      <c r="C1139" s="109">
        <v>0.004553194667631172</v>
      </c>
      <c r="D1139" s="107" t="s">
        <v>3501</v>
      </c>
      <c r="E1139" s="107" t="b">
        <v>0</v>
      </c>
      <c r="F1139" s="107" t="b">
        <v>0</v>
      </c>
      <c r="G1139" s="107" t="b">
        <v>0</v>
      </c>
    </row>
    <row r="1140" spans="1:7" ht="15">
      <c r="A1140" s="87" t="s">
        <v>3672</v>
      </c>
      <c r="B1140" s="107">
        <v>4</v>
      </c>
      <c r="C1140" s="109">
        <v>0.004217788663313588</v>
      </c>
      <c r="D1140" s="107" t="s">
        <v>3501</v>
      </c>
      <c r="E1140" s="107" t="b">
        <v>0</v>
      </c>
      <c r="F1140" s="107" t="b">
        <v>0</v>
      </c>
      <c r="G1140" s="107" t="b">
        <v>0</v>
      </c>
    </row>
    <row r="1141" spans="1:7" ht="15">
      <c r="A1141" s="87" t="s">
        <v>3714</v>
      </c>
      <c r="B1141" s="107">
        <v>4</v>
      </c>
      <c r="C1141" s="109">
        <v>0.004553194667631172</v>
      </c>
      <c r="D1141" s="107" t="s">
        <v>3501</v>
      </c>
      <c r="E1141" s="107" t="b">
        <v>0</v>
      </c>
      <c r="F1141" s="107" t="b">
        <v>0</v>
      </c>
      <c r="G1141" s="107" t="b">
        <v>0</v>
      </c>
    </row>
    <row r="1142" spans="1:7" ht="15">
      <c r="A1142" s="87" t="s">
        <v>3623</v>
      </c>
      <c r="B1142" s="107">
        <v>4</v>
      </c>
      <c r="C1142" s="109">
        <v>0.004217788663313588</v>
      </c>
      <c r="D1142" s="107" t="s">
        <v>3501</v>
      </c>
      <c r="E1142" s="107" t="b">
        <v>0</v>
      </c>
      <c r="F1142" s="107" t="b">
        <v>0</v>
      </c>
      <c r="G1142" s="107" t="b">
        <v>0</v>
      </c>
    </row>
    <row r="1143" spans="1:7" ht="15">
      <c r="A1143" s="87" t="s">
        <v>3734</v>
      </c>
      <c r="B1143" s="107">
        <v>4</v>
      </c>
      <c r="C1143" s="109">
        <v>0.004553194667631172</v>
      </c>
      <c r="D1143" s="107" t="s">
        <v>3501</v>
      </c>
      <c r="E1143" s="107" t="b">
        <v>0</v>
      </c>
      <c r="F1143" s="107" t="b">
        <v>0</v>
      </c>
      <c r="G1143" s="107" t="b">
        <v>0</v>
      </c>
    </row>
    <row r="1144" spans="1:7" ht="15">
      <c r="A1144" s="87" t="s">
        <v>3675</v>
      </c>
      <c r="B1144" s="107">
        <v>4</v>
      </c>
      <c r="C1144" s="109">
        <v>0.004553194667631172</v>
      </c>
      <c r="D1144" s="107" t="s">
        <v>3501</v>
      </c>
      <c r="E1144" s="107" t="b">
        <v>0</v>
      </c>
      <c r="F1144" s="107" t="b">
        <v>0</v>
      </c>
      <c r="G1144" s="107" t="b">
        <v>0</v>
      </c>
    </row>
    <row r="1145" spans="1:7" ht="15">
      <c r="A1145" s="87" t="s">
        <v>3656</v>
      </c>
      <c r="B1145" s="107">
        <v>4</v>
      </c>
      <c r="C1145" s="109">
        <v>0.004217788663313588</v>
      </c>
      <c r="D1145" s="107" t="s">
        <v>3501</v>
      </c>
      <c r="E1145" s="107" t="b">
        <v>0</v>
      </c>
      <c r="F1145" s="107" t="b">
        <v>0</v>
      </c>
      <c r="G1145" s="107" t="b">
        <v>0</v>
      </c>
    </row>
    <row r="1146" spans="1:7" ht="15">
      <c r="A1146" s="87" t="s">
        <v>3914</v>
      </c>
      <c r="B1146" s="107">
        <v>3</v>
      </c>
      <c r="C1146" s="109">
        <v>0.0034148960007233794</v>
      </c>
      <c r="D1146" s="107" t="s">
        <v>3501</v>
      </c>
      <c r="E1146" s="107" t="b">
        <v>0</v>
      </c>
      <c r="F1146" s="107" t="b">
        <v>0</v>
      </c>
      <c r="G1146" s="107" t="b">
        <v>0</v>
      </c>
    </row>
    <row r="1147" spans="1:7" ht="15">
      <c r="A1147" s="87" t="s">
        <v>3922</v>
      </c>
      <c r="B1147" s="107">
        <v>3</v>
      </c>
      <c r="C1147" s="109">
        <v>0.0034148960007233794</v>
      </c>
      <c r="D1147" s="107" t="s">
        <v>3501</v>
      </c>
      <c r="E1147" s="107" t="b">
        <v>0</v>
      </c>
      <c r="F1147" s="107" t="b">
        <v>0</v>
      </c>
      <c r="G1147" s="107" t="b">
        <v>0</v>
      </c>
    </row>
    <row r="1148" spans="1:7" ht="15">
      <c r="A1148" s="87" t="s">
        <v>3668</v>
      </c>
      <c r="B1148" s="107">
        <v>3</v>
      </c>
      <c r="C1148" s="109">
        <v>0.0034148960007233794</v>
      </c>
      <c r="D1148" s="107" t="s">
        <v>3501</v>
      </c>
      <c r="E1148" s="107" t="b">
        <v>0</v>
      </c>
      <c r="F1148" s="107" t="b">
        <v>0</v>
      </c>
      <c r="G1148" s="107" t="b">
        <v>0</v>
      </c>
    </row>
    <row r="1149" spans="1:7" ht="15">
      <c r="A1149" s="87" t="s">
        <v>3615</v>
      </c>
      <c r="B1149" s="107">
        <v>3</v>
      </c>
      <c r="C1149" s="109">
        <v>0.0034148960007233794</v>
      </c>
      <c r="D1149" s="107" t="s">
        <v>3501</v>
      </c>
      <c r="E1149" s="107" t="b">
        <v>0</v>
      </c>
      <c r="F1149" s="107" t="b">
        <v>0</v>
      </c>
      <c r="G1149" s="107" t="b">
        <v>0</v>
      </c>
    </row>
    <row r="1150" spans="1:7" ht="15">
      <c r="A1150" s="87" t="s">
        <v>3801</v>
      </c>
      <c r="B1150" s="107">
        <v>3</v>
      </c>
      <c r="C1150" s="109">
        <v>0.0034148960007233794</v>
      </c>
      <c r="D1150" s="107" t="s">
        <v>3501</v>
      </c>
      <c r="E1150" s="107" t="b">
        <v>0</v>
      </c>
      <c r="F1150" s="107" t="b">
        <v>0</v>
      </c>
      <c r="G1150" s="107" t="b">
        <v>0</v>
      </c>
    </row>
    <row r="1151" spans="1:7" ht="15">
      <c r="A1151" s="87" t="s">
        <v>3933</v>
      </c>
      <c r="B1151" s="107">
        <v>3</v>
      </c>
      <c r="C1151" s="109">
        <v>0.0034148960007233794</v>
      </c>
      <c r="D1151" s="107" t="s">
        <v>3501</v>
      </c>
      <c r="E1151" s="107" t="b">
        <v>1</v>
      </c>
      <c r="F1151" s="107" t="b">
        <v>0</v>
      </c>
      <c r="G1151" s="107" t="b">
        <v>0</v>
      </c>
    </row>
    <row r="1152" spans="1:7" ht="15">
      <c r="A1152" s="87" t="s">
        <v>3680</v>
      </c>
      <c r="B1152" s="107">
        <v>3</v>
      </c>
      <c r="C1152" s="109">
        <v>0.0037694421598958917</v>
      </c>
      <c r="D1152" s="107" t="s">
        <v>3501</v>
      </c>
      <c r="E1152" s="107" t="b">
        <v>0</v>
      </c>
      <c r="F1152" s="107" t="b">
        <v>0</v>
      </c>
      <c r="G1152" s="107" t="b">
        <v>0</v>
      </c>
    </row>
    <row r="1153" spans="1:7" ht="15">
      <c r="A1153" s="87" t="s">
        <v>3739</v>
      </c>
      <c r="B1153" s="107">
        <v>3</v>
      </c>
      <c r="C1153" s="109">
        <v>0.0034148960007233794</v>
      </c>
      <c r="D1153" s="107" t="s">
        <v>3501</v>
      </c>
      <c r="E1153" s="107" t="b">
        <v>0</v>
      </c>
      <c r="F1153" s="107" t="b">
        <v>0</v>
      </c>
      <c r="G1153" s="107" t="b">
        <v>0</v>
      </c>
    </row>
    <row r="1154" spans="1:7" ht="15">
      <c r="A1154" s="87" t="s">
        <v>3825</v>
      </c>
      <c r="B1154" s="107">
        <v>3</v>
      </c>
      <c r="C1154" s="109">
        <v>0.0037694421598958917</v>
      </c>
      <c r="D1154" s="107" t="s">
        <v>3501</v>
      </c>
      <c r="E1154" s="107" t="b">
        <v>0</v>
      </c>
      <c r="F1154" s="107" t="b">
        <v>0</v>
      </c>
      <c r="G1154" s="107" t="b">
        <v>0</v>
      </c>
    </row>
    <row r="1155" spans="1:7" ht="15">
      <c r="A1155" s="87" t="s">
        <v>3731</v>
      </c>
      <c r="B1155" s="107">
        <v>3</v>
      </c>
      <c r="C1155" s="109">
        <v>0.0037694421598958917</v>
      </c>
      <c r="D1155" s="107" t="s">
        <v>3501</v>
      </c>
      <c r="E1155" s="107" t="b">
        <v>1</v>
      </c>
      <c r="F1155" s="107" t="b">
        <v>0</v>
      </c>
      <c r="G1155" s="107" t="b">
        <v>0</v>
      </c>
    </row>
    <row r="1156" spans="1:7" ht="15">
      <c r="A1156" s="87" t="s">
        <v>3619</v>
      </c>
      <c r="B1156" s="107">
        <v>3</v>
      </c>
      <c r="C1156" s="109">
        <v>0.0034148960007233794</v>
      </c>
      <c r="D1156" s="107" t="s">
        <v>3501</v>
      </c>
      <c r="E1156" s="107" t="b">
        <v>0</v>
      </c>
      <c r="F1156" s="107" t="b">
        <v>0</v>
      </c>
      <c r="G1156" s="107" t="b">
        <v>0</v>
      </c>
    </row>
    <row r="1157" spans="1:7" ht="15">
      <c r="A1157" s="87" t="s">
        <v>3685</v>
      </c>
      <c r="B1157" s="107">
        <v>3</v>
      </c>
      <c r="C1157" s="109">
        <v>0.0034148960007233794</v>
      </c>
      <c r="D1157" s="107" t="s">
        <v>3501</v>
      </c>
      <c r="E1157" s="107" t="b">
        <v>0</v>
      </c>
      <c r="F1157" s="107" t="b">
        <v>0</v>
      </c>
      <c r="G1157" s="107" t="b">
        <v>0</v>
      </c>
    </row>
    <row r="1158" spans="1:7" ht="15">
      <c r="A1158" s="87" t="s">
        <v>3585</v>
      </c>
      <c r="B1158" s="107">
        <v>3</v>
      </c>
      <c r="C1158" s="109">
        <v>0.0034148960007233794</v>
      </c>
      <c r="D1158" s="107" t="s">
        <v>3501</v>
      </c>
      <c r="E1158" s="107" t="b">
        <v>0</v>
      </c>
      <c r="F1158" s="107" t="b">
        <v>0</v>
      </c>
      <c r="G1158" s="107" t="b">
        <v>0</v>
      </c>
    </row>
    <row r="1159" spans="1:7" ht="15">
      <c r="A1159" s="87" t="s">
        <v>3792</v>
      </c>
      <c r="B1159" s="107">
        <v>3</v>
      </c>
      <c r="C1159" s="109">
        <v>0.0034148960007233794</v>
      </c>
      <c r="D1159" s="107" t="s">
        <v>3501</v>
      </c>
      <c r="E1159" s="107" t="b">
        <v>1</v>
      </c>
      <c r="F1159" s="107" t="b">
        <v>0</v>
      </c>
      <c r="G1159" s="107" t="b">
        <v>0</v>
      </c>
    </row>
    <row r="1160" spans="1:7" ht="15">
      <c r="A1160" s="87" t="s">
        <v>3653</v>
      </c>
      <c r="B1160" s="107">
        <v>3</v>
      </c>
      <c r="C1160" s="109">
        <v>0.0034148960007233794</v>
      </c>
      <c r="D1160" s="107" t="s">
        <v>3501</v>
      </c>
      <c r="E1160" s="107" t="b">
        <v>0</v>
      </c>
      <c r="F1160" s="107" t="b">
        <v>0</v>
      </c>
      <c r="G1160" s="107" t="b">
        <v>0</v>
      </c>
    </row>
    <row r="1161" spans="1:7" ht="15">
      <c r="A1161" s="87" t="s">
        <v>2719</v>
      </c>
      <c r="B1161" s="107">
        <v>3</v>
      </c>
      <c r="C1161" s="109">
        <v>0.0034148960007233794</v>
      </c>
      <c r="D1161" s="107" t="s">
        <v>3501</v>
      </c>
      <c r="E1161" s="107" t="b">
        <v>0</v>
      </c>
      <c r="F1161" s="107" t="b">
        <v>0</v>
      </c>
      <c r="G1161" s="107" t="b">
        <v>0</v>
      </c>
    </row>
    <row r="1162" spans="1:7" ht="15">
      <c r="A1162" s="87" t="s">
        <v>3621</v>
      </c>
      <c r="B1162" s="107">
        <v>3</v>
      </c>
      <c r="C1162" s="109">
        <v>0.0037694421598958917</v>
      </c>
      <c r="D1162" s="107" t="s">
        <v>3501</v>
      </c>
      <c r="E1162" s="107" t="b">
        <v>0</v>
      </c>
      <c r="F1162" s="107" t="b">
        <v>0</v>
      </c>
      <c r="G1162" s="107" t="b">
        <v>0</v>
      </c>
    </row>
    <row r="1163" spans="1:7" ht="15">
      <c r="A1163" s="87" t="s">
        <v>3655</v>
      </c>
      <c r="B1163" s="107">
        <v>3</v>
      </c>
      <c r="C1163" s="109">
        <v>0.0037694421598958917</v>
      </c>
      <c r="D1163" s="107" t="s">
        <v>3501</v>
      </c>
      <c r="E1163" s="107" t="b">
        <v>0</v>
      </c>
      <c r="F1163" s="107" t="b">
        <v>0</v>
      </c>
      <c r="G1163" s="107" t="b">
        <v>0</v>
      </c>
    </row>
    <row r="1164" spans="1:7" ht="15">
      <c r="A1164" s="87" t="s">
        <v>3864</v>
      </c>
      <c r="B1164" s="107">
        <v>3</v>
      </c>
      <c r="C1164" s="109">
        <v>0.0034148960007233794</v>
      </c>
      <c r="D1164" s="107" t="s">
        <v>3501</v>
      </c>
      <c r="E1164" s="107" t="b">
        <v>0</v>
      </c>
      <c r="F1164" s="107" t="b">
        <v>0</v>
      </c>
      <c r="G1164" s="107" t="b">
        <v>0</v>
      </c>
    </row>
    <row r="1165" spans="1:7" ht="15">
      <c r="A1165" s="87" t="s">
        <v>2839</v>
      </c>
      <c r="B1165" s="107">
        <v>3</v>
      </c>
      <c r="C1165" s="109">
        <v>0.0034148960007233794</v>
      </c>
      <c r="D1165" s="107" t="s">
        <v>3501</v>
      </c>
      <c r="E1165" s="107" t="b">
        <v>1</v>
      </c>
      <c r="F1165" s="107" t="b">
        <v>0</v>
      </c>
      <c r="G1165" s="107" t="b">
        <v>0</v>
      </c>
    </row>
    <row r="1166" spans="1:7" ht="15">
      <c r="A1166" s="87" t="s">
        <v>3703</v>
      </c>
      <c r="B1166" s="107">
        <v>3</v>
      </c>
      <c r="C1166" s="109">
        <v>0.0034148960007233794</v>
      </c>
      <c r="D1166" s="107" t="s">
        <v>3501</v>
      </c>
      <c r="E1166" s="107" t="b">
        <v>0</v>
      </c>
      <c r="F1166" s="107" t="b">
        <v>0</v>
      </c>
      <c r="G1166" s="107" t="b">
        <v>0</v>
      </c>
    </row>
    <row r="1167" spans="1:7" ht="15">
      <c r="A1167" s="87" t="s">
        <v>3574</v>
      </c>
      <c r="B1167" s="107">
        <v>3</v>
      </c>
      <c r="C1167" s="109">
        <v>0.0034148960007233794</v>
      </c>
      <c r="D1167" s="107" t="s">
        <v>3501</v>
      </c>
      <c r="E1167" s="107" t="b">
        <v>0</v>
      </c>
      <c r="F1167" s="107" t="b">
        <v>0</v>
      </c>
      <c r="G1167" s="107" t="b">
        <v>0</v>
      </c>
    </row>
    <row r="1168" spans="1:7" ht="15">
      <c r="A1168" s="87" t="s">
        <v>3751</v>
      </c>
      <c r="B1168" s="107">
        <v>3</v>
      </c>
      <c r="C1168" s="109">
        <v>0.0037694421598958917</v>
      </c>
      <c r="D1168" s="107" t="s">
        <v>3501</v>
      </c>
      <c r="E1168" s="107" t="b">
        <v>0</v>
      </c>
      <c r="F1168" s="107" t="b">
        <v>0</v>
      </c>
      <c r="G1168" s="107" t="b">
        <v>0</v>
      </c>
    </row>
    <row r="1169" spans="1:7" ht="15">
      <c r="A1169" s="87" t="s">
        <v>3948</v>
      </c>
      <c r="B1169" s="107">
        <v>3</v>
      </c>
      <c r="C1169" s="109">
        <v>0.004375542822306592</v>
      </c>
      <c r="D1169" s="107" t="s">
        <v>3501</v>
      </c>
      <c r="E1169" s="107" t="b">
        <v>0</v>
      </c>
      <c r="F1169" s="107" t="b">
        <v>0</v>
      </c>
      <c r="G1169" s="107" t="b">
        <v>0</v>
      </c>
    </row>
    <row r="1170" spans="1:7" ht="15">
      <c r="A1170" s="87" t="s">
        <v>3899</v>
      </c>
      <c r="B1170" s="107">
        <v>3</v>
      </c>
      <c r="C1170" s="109">
        <v>0.0034148960007233794</v>
      </c>
      <c r="D1170" s="107" t="s">
        <v>3501</v>
      </c>
      <c r="E1170" s="107" t="b">
        <v>0</v>
      </c>
      <c r="F1170" s="107" t="b">
        <v>0</v>
      </c>
      <c r="G1170" s="107" t="b">
        <v>0</v>
      </c>
    </row>
    <row r="1171" spans="1:7" ht="15">
      <c r="A1171" s="87" t="s">
        <v>3548</v>
      </c>
      <c r="B1171" s="107">
        <v>3</v>
      </c>
      <c r="C1171" s="109">
        <v>0.0034148960007233794</v>
      </c>
      <c r="D1171" s="107" t="s">
        <v>3501</v>
      </c>
      <c r="E1171" s="107" t="b">
        <v>0</v>
      </c>
      <c r="F1171" s="107" t="b">
        <v>0</v>
      </c>
      <c r="G1171" s="107" t="b">
        <v>0</v>
      </c>
    </row>
    <row r="1172" spans="1:7" ht="15">
      <c r="A1172" s="87" t="s">
        <v>3704</v>
      </c>
      <c r="B1172" s="107">
        <v>3</v>
      </c>
      <c r="C1172" s="109">
        <v>0.0034148960007233794</v>
      </c>
      <c r="D1172" s="107" t="s">
        <v>3501</v>
      </c>
      <c r="E1172" s="107" t="b">
        <v>0</v>
      </c>
      <c r="F1172" s="107" t="b">
        <v>0</v>
      </c>
      <c r="G1172" s="107" t="b">
        <v>0</v>
      </c>
    </row>
    <row r="1173" spans="1:7" ht="15">
      <c r="A1173" s="87" t="s">
        <v>3683</v>
      </c>
      <c r="B1173" s="107">
        <v>3</v>
      </c>
      <c r="C1173" s="109">
        <v>0.004375542822306592</v>
      </c>
      <c r="D1173" s="107" t="s">
        <v>3501</v>
      </c>
      <c r="E1173" s="107" t="b">
        <v>0</v>
      </c>
      <c r="F1173" s="107" t="b">
        <v>0</v>
      </c>
      <c r="G1173" s="107" t="b">
        <v>0</v>
      </c>
    </row>
    <row r="1174" spans="1:7" ht="15">
      <c r="A1174" s="87" t="s">
        <v>3687</v>
      </c>
      <c r="B1174" s="107">
        <v>3</v>
      </c>
      <c r="C1174" s="109">
        <v>0.0037694421598958917</v>
      </c>
      <c r="D1174" s="107" t="s">
        <v>3501</v>
      </c>
      <c r="E1174" s="107" t="b">
        <v>0</v>
      </c>
      <c r="F1174" s="107" t="b">
        <v>0</v>
      </c>
      <c r="G1174" s="107" t="b">
        <v>0</v>
      </c>
    </row>
    <row r="1175" spans="1:7" ht="15">
      <c r="A1175" s="87" t="s">
        <v>3869</v>
      </c>
      <c r="B1175" s="107">
        <v>3</v>
      </c>
      <c r="C1175" s="109">
        <v>0.0034148960007233794</v>
      </c>
      <c r="D1175" s="107" t="s">
        <v>3501</v>
      </c>
      <c r="E1175" s="107" t="b">
        <v>0</v>
      </c>
      <c r="F1175" s="107" t="b">
        <v>0</v>
      </c>
      <c r="G1175" s="107" t="b">
        <v>0</v>
      </c>
    </row>
    <row r="1176" spans="1:7" ht="15">
      <c r="A1176" s="87" t="s">
        <v>3617</v>
      </c>
      <c r="B1176" s="107">
        <v>3</v>
      </c>
      <c r="C1176" s="109">
        <v>0.0034148960007233794</v>
      </c>
      <c r="D1176" s="107" t="s">
        <v>3501</v>
      </c>
      <c r="E1176" s="107" t="b">
        <v>0</v>
      </c>
      <c r="F1176" s="107" t="b">
        <v>0</v>
      </c>
      <c r="G1176" s="107" t="b">
        <v>0</v>
      </c>
    </row>
    <row r="1177" spans="1:7" ht="15">
      <c r="A1177" s="87" t="s">
        <v>3597</v>
      </c>
      <c r="B1177" s="107">
        <v>3</v>
      </c>
      <c r="C1177" s="109">
        <v>0.0034148960007233794</v>
      </c>
      <c r="D1177" s="107" t="s">
        <v>3501</v>
      </c>
      <c r="E1177" s="107" t="b">
        <v>0</v>
      </c>
      <c r="F1177" s="107" t="b">
        <v>0</v>
      </c>
      <c r="G1177" s="107" t="b">
        <v>0</v>
      </c>
    </row>
    <row r="1178" spans="1:7" ht="15">
      <c r="A1178" s="87" t="s">
        <v>3589</v>
      </c>
      <c r="B1178" s="107">
        <v>3</v>
      </c>
      <c r="C1178" s="109">
        <v>0.0034148960007233794</v>
      </c>
      <c r="D1178" s="107" t="s">
        <v>3501</v>
      </c>
      <c r="E1178" s="107" t="b">
        <v>0</v>
      </c>
      <c r="F1178" s="107" t="b">
        <v>1</v>
      </c>
      <c r="G1178" s="107" t="b">
        <v>0</v>
      </c>
    </row>
    <row r="1179" spans="1:7" ht="15">
      <c r="A1179" s="87" t="s">
        <v>3773</v>
      </c>
      <c r="B1179" s="107">
        <v>3</v>
      </c>
      <c r="C1179" s="109">
        <v>0.0034148960007233794</v>
      </c>
      <c r="D1179" s="107" t="s">
        <v>3501</v>
      </c>
      <c r="E1179" s="107" t="b">
        <v>1</v>
      </c>
      <c r="F1179" s="107" t="b">
        <v>0</v>
      </c>
      <c r="G1179" s="107" t="b">
        <v>0</v>
      </c>
    </row>
    <row r="1180" spans="1:7" ht="15">
      <c r="A1180" s="87" t="s">
        <v>3549</v>
      </c>
      <c r="B1180" s="107">
        <v>3</v>
      </c>
      <c r="C1180" s="109">
        <v>0.0034148960007233794</v>
      </c>
      <c r="D1180" s="107" t="s">
        <v>3501</v>
      </c>
      <c r="E1180" s="107" t="b">
        <v>0</v>
      </c>
      <c r="F1180" s="107" t="b">
        <v>0</v>
      </c>
      <c r="G1180" s="107" t="b">
        <v>0</v>
      </c>
    </row>
    <row r="1181" spans="1:7" ht="15">
      <c r="A1181" s="87" t="s">
        <v>3633</v>
      </c>
      <c r="B1181" s="107">
        <v>3</v>
      </c>
      <c r="C1181" s="109">
        <v>0.0034148960007233794</v>
      </c>
      <c r="D1181" s="107" t="s">
        <v>3501</v>
      </c>
      <c r="E1181" s="107" t="b">
        <v>0</v>
      </c>
      <c r="F1181" s="107" t="b">
        <v>0</v>
      </c>
      <c r="G1181" s="107" t="b">
        <v>0</v>
      </c>
    </row>
    <row r="1182" spans="1:7" ht="15">
      <c r="A1182" s="87" t="s">
        <v>3708</v>
      </c>
      <c r="B1182" s="107">
        <v>3</v>
      </c>
      <c r="C1182" s="109">
        <v>0.0037694421598958917</v>
      </c>
      <c r="D1182" s="107" t="s">
        <v>3501</v>
      </c>
      <c r="E1182" s="107" t="b">
        <v>0</v>
      </c>
      <c r="F1182" s="107" t="b">
        <v>0</v>
      </c>
      <c r="G1182" s="107" t="b">
        <v>0</v>
      </c>
    </row>
    <row r="1183" spans="1:7" ht="15">
      <c r="A1183" s="87" t="s">
        <v>3831</v>
      </c>
      <c r="B1183" s="107">
        <v>3</v>
      </c>
      <c r="C1183" s="109">
        <v>0.0037694421598958917</v>
      </c>
      <c r="D1183" s="107" t="s">
        <v>3501</v>
      </c>
      <c r="E1183" s="107" t="b">
        <v>0</v>
      </c>
      <c r="F1183" s="107" t="b">
        <v>0</v>
      </c>
      <c r="G1183" s="107" t="b">
        <v>0</v>
      </c>
    </row>
    <row r="1184" spans="1:7" ht="15">
      <c r="A1184" s="87" t="s">
        <v>3768</v>
      </c>
      <c r="B1184" s="107">
        <v>3</v>
      </c>
      <c r="C1184" s="109">
        <v>0.0034148960007233794</v>
      </c>
      <c r="D1184" s="107" t="s">
        <v>3501</v>
      </c>
      <c r="E1184" s="107" t="b">
        <v>0</v>
      </c>
      <c r="F1184" s="107" t="b">
        <v>0</v>
      </c>
      <c r="G1184" s="107" t="b">
        <v>0</v>
      </c>
    </row>
    <row r="1185" spans="1:7" ht="15">
      <c r="A1185" s="87" t="s">
        <v>3796</v>
      </c>
      <c r="B1185" s="107">
        <v>3</v>
      </c>
      <c r="C1185" s="109">
        <v>0.0034148960007233794</v>
      </c>
      <c r="D1185" s="107" t="s">
        <v>3501</v>
      </c>
      <c r="E1185" s="107" t="b">
        <v>0</v>
      </c>
      <c r="F1185" s="107" t="b">
        <v>1</v>
      </c>
      <c r="G1185" s="107" t="b">
        <v>0</v>
      </c>
    </row>
    <row r="1186" spans="1:7" ht="15">
      <c r="A1186" s="87" t="s">
        <v>4226</v>
      </c>
      <c r="B1186" s="107">
        <v>2</v>
      </c>
      <c r="C1186" s="109">
        <v>0.0025129614399305943</v>
      </c>
      <c r="D1186" s="107" t="s">
        <v>3501</v>
      </c>
      <c r="E1186" s="107" t="b">
        <v>0</v>
      </c>
      <c r="F1186" s="107" t="b">
        <v>0</v>
      </c>
      <c r="G1186" s="107" t="b">
        <v>0</v>
      </c>
    </row>
    <row r="1187" spans="1:7" ht="15">
      <c r="A1187" s="87" t="s">
        <v>3780</v>
      </c>
      <c r="B1187" s="107">
        <v>2</v>
      </c>
      <c r="C1187" s="109">
        <v>0.0025129614399305943</v>
      </c>
      <c r="D1187" s="107" t="s">
        <v>3501</v>
      </c>
      <c r="E1187" s="107" t="b">
        <v>0</v>
      </c>
      <c r="F1187" s="107" t="b">
        <v>0</v>
      </c>
      <c r="G1187" s="107" t="b">
        <v>0</v>
      </c>
    </row>
    <row r="1188" spans="1:7" ht="15">
      <c r="A1188" s="87" t="s">
        <v>4277</v>
      </c>
      <c r="B1188" s="107">
        <v>2</v>
      </c>
      <c r="C1188" s="109">
        <v>0.0025129614399305943</v>
      </c>
      <c r="D1188" s="107" t="s">
        <v>3501</v>
      </c>
      <c r="E1188" s="107" t="b">
        <v>0</v>
      </c>
      <c r="F1188" s="107" t="b">
        <v>0</v>
      </c>
      <c r="G1188" s="107" t="b">
        <v>0</v>
      </c>
    </row>
    <row r="1189" spans="1:7" ht="15">
      <c r="A1189" s="87" t="s">
        <v>3927</v>
      </c>
      <c r="B1189" s="107">
        <v>2</v>
      </c>
      <c r="C1189" s="109">
        <v>0.0025129614399305943</v>
      </c>
      <c r="D1189" s="107" t="s">
        <v>3501</v>
      </c>
      <c r="E1189" s="107" t="b">
        <v>0</v>
      </c>
      <c r="F1189" s="107" t="b">
        <v>0</v>
      </c>
      <c r="G1189" s="107" t="b">
        <v>0</v>
      </c>
    </row>
    <row r="1190" spans="1:7" ht="15">
      <c r="A1190" s="87" t="s">
        <v>4091</v>
      </c>
      <c r="B1190" s="107">
        <v>2</v>
      </c>
      <c r="C1190" s="109">
        <v>0.0029170285482043945</v>
      </c>
      <c r="D1190" s="107" t="s">
        <v>3501</v>
      </c>
      <c r="E1190" s="107" t="b">
        <v>0</v>
      </c>
      <c r="F1190" s="107" t="b">
        <v>0</v>
      </c>
      <c r="G1190" s="107" t="b">
        <v>0</v>
      </c>
    </row>
    <row r="1191" spans="1:7" ht="15">
      <c r="A1191" s="87" t="s">
        <v>3620</v>
      </c>
      <c r="B1191" s="107">
        <v>2</v>
      </c>
      <c r="C1191" s="109">
        <v>0.0025129614399305943</v>
      </c>
      <c r="D1191" s="107" t="s">
        <v>3501</v>
      </c>
      <c r="E1191" s="107" t="b">
        <v>0</v>
      </c>
      <c r="F1191" s="107" t="b">
        <v>0</v>
      </c>
      <c r="G1191" s="107" t="b">
        <v>0</v>
      </c>
    </row>
    <row r="1192" spans="1:7" ht="15">
      <c r="A1192" s="87" t="s">
        <v>4123</v>
      </c>
      <c r="B1192" s="107">
        <v>2</v>
      </c>
      <c r="C1192" s="109">
        <v>0.0025129614399305943</v>
      </c>
      <c r="D1192" s="107" t="s">
        <v>3501</v>
      </c>
      <c r="E1192" s="107" t="b">
        <v>0</v>
      </c>
      <c r="F1192" s="107" t="b">
        <v>0</v>
      </c>
      <c r="G1192" s="107" t="b">
        <v>0</v>
      </c>
    </row>
    <row r="1193" spans="1:7" ht="15">
      <c r="A1193" s="87" t="s">
        <v>4005</v>
      </c>
      <c r="B1193" s="107">
        <v>2</v>
      </c>
      <c r="C1193" s="109">
        <v>0.0029170285482043945</v>
      </c>
      <c r="D1193" s="107" t="s">
        <v>3501</v>
      </c>
      <c r="E1193" s="107" t="b">
        <v>0</v>
      </c>
      <c r="F1193" s="107" t="b">
        <v>1</v>
      </c>
      <c r="G1193" s="107" t="b">
        <v>0</v>
      </c>
    </row>
    <row r="1194" spans="1:7" ht="15">
      <c r="A1194" s="87" t="s">
        <v>4279</v>
      </c>
      <c r="B1194" s="107">
        <v>2</v>
      </c>
      <c r="C1194" s="109">
        <v>0.0029170285482043945</v>
      </c>
      <c r="D1194" s="107" t="s">
        <v>3501</v>
      </c>
      <c r="E1194" s="107" t="b">
        <v>0</v>
      </c>
      <c r="F1194" s="107" t="b">
        <v>0</v>
      </c>
      <c r="G1194" s="107" t="b">
        <v>0</v>
      </c>
    </row>
    <row r="1195" spans="1:7" ht="15">
      <c r="A1195" s="87" t="s">
        <v>4129</v>
      </c>
      <c r="B1195" s="107">
        <v>2</v>
      </c>
      <c r="C1195" s="109">
        <v>0.0029170285482043945</v>
      </c>
      <c r="D1195" s="107" t="s">
        <v>3501</v>
      </c>
      <c r="E1195" s="107" t="b">
        <v>0</v>
      </c>
      <c r="F1195" s="107" t="b">
        <v>0</v>
      </c>
      <c r="G1195" s="107" t="b">
        <v>0</v>
      </c>
    </row>
    <row r="1196" spans="1:7" ht="15">
      <c r="A1196" s="87" t="s">
        <v>3669</v>
      </c>
      <c r="B1196" s="107">
        <v>2</v>
      </c>
      <c r="C1196" s="109">
        <v>0.0025129614399305943</v>
      </c>
      <c r="D1196" s="107" t="s">
        <v>3501</v>
      </c>
      <c r="E1196" s="107" t="b">
        <v>0</v>
      </c>
      <c r="F1196" s="107" t="b">
        <v>0</v>
      </c>
      <c r="G1196" s="107" t="b">
        <v>0</v>
      </c>
    </row>
    <row r="1197" spans="1:7" ht="15">
      <c r="A1197" s="87" t="s">
        <v>3878</v>
      </c>
      <c r="B1197" s="107">
        <v>2</v>
      </c>
      <c r="C1197" s="109">
        <v>0.0025129614399305943</v>
      </c>
      <c r="D1197" s="107" t="s">
        <v>3501</v>
      </c>
      <c r="E1197" s="107" t="b">
        <v>0</v>
      </c>
      <c r="F1197" s="107" t="b">
        <v>0</v>
      </c>
      <c r="G1197" s="107" t="b">
        <v>0</v>
      </c>
    </row>
    <row r="1198" spans="1:7" ht="15">
      <c r="A1198" s="87" t="s">
        <v>3939</v>
      </c>
      <c r="B1198" s="107">
        <v>2</v>
      </c>
      <c r="C1198" s="109">
        <v>0.0029170285482043945</v>
      </c>
      <c r="D1198" s="107" t="s">
        <v>3501</v>
      </c>
      <c r="E1198" s="107" t="b">
        <v>0</v>
      </c>
      <c r="F1198" s="107" t="b">
        <v>1</v>
      </c>
      <c r="G1198" s="107" t="b">
        <v>0</v>
      </c>
    </row>
    <row r="1199" spans="1:7" ht="15">
      <c r="A1199" s="87" t="s">
        <v>3610</v>
      </c>
      <c r="B1199" s="107">
        <v>2</v>
      </c>
      <c r="C1199" s="109">
        <v>0.0025129614399305943</v>
      </c>
      <c r="D1199" s="107" t="s">
        <v>3501</v>
      </c>
      <c r="E1199" s="107" t="b">
        <v>0</v>
      </c>
      <c r="F1199" s="107" t="b">
        <v>1</v>
      </c>
      <c r="G1199" s="107" t="b">
        <v>0</v>
      </c>
    </row>
    <row r="1200" spans="1:7" ht="15">
      <c r="A1200" s="87" t="s">
        <v>4350</v>
      </c>
      <c r="B1200" s="107">
        <v>2</v>
      </c>
      <c r="C1200" s="109">
        <v>0.0025129614399305943</v>
      </c>
      <c r="D1200" s="107" t="s">
        <v>3501</v>
      </c>
      <c r="E1200" s="107" t="b">
        <v>0</v>
      </c>
      <c r="F1200" s="107" t="b">
        <v>0</v>
      </c>
      <c r="G1200" s="107" t="b">
        <v>0</v>
      </c>
    </row>
    <row r="1201" spans="1:7" ht="15">
      <c r="A1201" s="87" t="s">
        <v>3992</v>
      </c>
      <c r="B1201" s="107">
        <v>2</v>
      </c>
      <c r="C1201" s="109">
        <v>0.0025129614399305943</v>
      </c>
      <c r="D1201" s="107" t="s">
        <v>3501</v>
      </c>
      <c r="E1201" s="107" t="b">
        <v>0</v>
      </c>
      <c r="F1201" s="107" t="b">
        <v>0</v>
      </c>
      <c r="G1201" s="107" t="b">
        <v>0</v>
      </c>
    </row>
    <row r="1202" spans="1:7" ht="15">
      <c r="A1202" s="87" t="s">
        <v>4022</v>
      </c>
      <c r="B1202" s="107">
        <v>2</v>
      </c>
      <c r="C1202" s="109">
        <v>0.0029170285482043945</v>
      </c>
      <c r="D1202" s="107" t="s">
        <v>3501</v>
      </c>
      <c r="E1202" s="107" t="b">
        <v>0</v>
      </c>
      <c r="F1202" s="107" t="b">
        <v>0</v>
      </c>
      <c r="G1202" s="107" t="b">
        <v>0</v>
      </c>
    </row>
    <row r="1203" spans="1:7" ht="15">
      <c r="A1203" s="87" t="s">
        <v>3809</v>
      </c>
      <c r="B1203" s="107">
        <v>2</v>
      </c>
      <c r="C1203" s="109">
        <v>0.0025129614399305943</v>
      </c>
      <c r="D1203" s="107" t="s">
        <v>3501</v>
      </c>
      <c r="E1203" s="107" t="b">
        <v>0</v>
      </c>
      <c r="F1203" s="107" t="b">
        <v>1</v>
      </c>
      <c r="G1203" s="107" t="b">
        <v>0</v>
      </c>
    </row>
    <row r="1204" spans="1:7" ht="15">
      <c r="A1204" s="87" t="s">
        <v>3985</v>
      </c>
      <c r="B1204" s="107">
        <v>2</v>
      </c>
      <c r="C1204" s="109">
        <v>0.0025129614399305943</v>
      </c>
      <c r="D1204" s="107" t="s">
        <v>3501</v>
      </c>
      <c r="E1204" s="107" t="b">
        <v>1</v>
      </c>
      <c r="F1204" s="107" t="b">
        <v>0</v>
      </c>
      <c r="G1204" s="107" t="b">
        <v>0</v>
      </c>
    </row>
    <row r="1205" spans="1:7" ht="15">
      <c r="A1205" s="87" t="s">
        <v>4330</v>
      </c>
      <c r="B1205" s="107">
        <v>2</v>
      </c>
      <c r="C1205" s="109">
        <v>0.0025129614399305943</v>
      </c>
      <c r="D1205" s="107" t="s">
        <v>3501</v>
      </c>
      <c r="E1205" s="107" t="b">
        <v>0</v>
      </c>
      <c r="F1205" s="107" t="b">
        <v>0</v>
      </c>
      <c r="G1205" s="107" t="b">
        <v>0</v>
      </c>
    </row>
    <row r="1206" spans="1:7" ht="15">
      <c r="A1206" s="87" t="s">
        <v>3832</v>
      </c>
      <c r="B1206" s="107">
        <v>2</v>
      </c>
      <c r="C1206" s="109">
        <v>0.0029170285482043945</v>
      </c>
      <c r="D1206" s="107" t="s">
        <v>3501</v>
      </c>
      <c r="E1206" s="107" t="b">
        <v>0</v>
      </c>
      <c r="F1206" s="107" t="b">
        <v>0</v>
      </c>
      <c r="G1206" s="107" t="b">
        <v>0</v>
      </c>
    </row>
    <row r="1207" spans="1:7" ht="15">
      <c r="A1207" s="87" t="s">
        <v>3650</v>
      </c>
      <c r="B1207" s="107">
        <v>2</v>
      </c>
      <c r="C1207" s="109">
        <v>0.0025129614399305943</v>
      </c>
      <c r="D1207" s="107" t="s">
        <v>3501</v>
      </c>
      <c r="E1207" s="107" t="b">
        <v>0</v>
      </c>
      <c r="F1207" s="107" t="b">
        <v>0</v>
      </c>
      <c r="G1207" s="107" t="b">
        <v>0</v>
      </c>
    </row>
    <row r="1208" spans="1:7" ht="15">
      <c r="A1208" s="87" t="s">
        <v>2893</v>
      </c>
      <c r="B1208" s="107">
        <v>2</v>
      </c>
      <c r="C1208" s="109">
        <v>0.0029170285482043945</v>
      </c>
      <c r="D1208" s="107" t="s">
        <v>3501</v>
      </c>
      <c r="E1208" s="107" t="b">
        <v>0</v>
      </c>
      <c r="F1208" s="107" t="b">
        <v>0</v>
      </c>
      <c r="G1208" s="107" t="b">
        <v>0</v>
      </c>
    </row>
    <row r="1209" spans="1:7" ht="15">
      <c r="A1209" s="87" t="s">
        <v>4184</v>
      </c>
      <c r="B1209" s="107">
        <v>2</v>
      </c>
      <c r="C1209" s="109">
        <v>0.0025129614399305943</v>
      </c>
      <c r="D1209" s="107" t="s">
        <v>3501</v>
      </c>
      <c r="E1209" s="107" t="b">
        <v>0</v>
      </c>
      <c r="F1209" s="107" t="b">
        <v>0</v>
      </c>
      <c r="G1209" s="107" t="b">
        <v>0</v>
      </c>
    </row>
    <row r="1210" spans="1:7" ht="15">
      <c r="A1210" s="87" t="s">
        <v>3661</v>
      </c>
      <c r="B1210" s="107">
        <v>2</v>
      </c>
      <c r="C1210" s="109">
        <v>0.0025129614399305943</v>
      </c>
      <c r="D1210" s="107" t="s">
        <v>3501</v>
      </c>
      <c r="E1210" s="107" t="b">
        <v>0</v>
      </c>
      <c r="F1210" s="107" t="b">
        <v>0</v>
      </c>
      <c r="G1210" s="107" t="b">
        <v>0</v>
      </c>
    </row>
    <row r="1211" spans="1:7" ht="15">
      <c r="A1211" s="87" t="s">
        <v>4021</v>
      </c>
      <c r="B1211" s="107">
        <v>2</v>
      </c>
      <c r="C1211" s="109">
        <v>0.0025129614399305943</v>
      </c>
      <c r="D1211" s="107" t="s">
        <v>3501</v>
      </c>
      <c r="E1211" s="107" t="b">
        <v>0</v>
      </c>
      <c r="F1211" s="107" t="b">
        <v>0</v>
      </c>
      <c r="G1211" s="107" t="b">
        <v>0</v>
      </c>
    </row>
    <row r="1212" spans="1:7" ht="15">
      <c r="A1212" s="87" t="s">
        <v>3987</v>
      </c>
      <c r="B1212" s="107">
        <v>2</v>
      </c>
      <c r="C1212" s="109">
        <v>0.0025129614399305943</v>
      </c>
      <c r="D1212" s="107" t="s">
        <v>3501</v>
      </c>
      <c r="E1212" s="107" t="b">
        <v>0</v>
      </c>
      <c r="F1212" s="107" t="b">
        <v>1</v>
      </c>
      <c r="G1212" s="107" t="b">
        <v>0</v>
      </c>
    </row>
    <row r="1213" spans="1:7" ht="15">
      <c r="A1213" s="87" t="s">
        <v>4114</v>
      </c>
      <c r="B1213" s="107">
        <v>2</v>
      </c>
      <c r="C1213" s="109">
        <v>0.0029170285482043945</v>
      </c>
      <c r="D1213" s="107" t="s">
        <v>3501</v>
      </c>
      <c r="E1213" s="107" t="b">
        <v>0</v>
      </c>
      <c r="F1213" s="107" t="b">
        <v>0</v>
      </c>
      <c r="G1213" s="107" t="b">
        <v>0</v>
      </c>
    </row>
    <row r="1214" spans="1:7" ht="15">
      <c r="A1214" s="87" t="s">
        <v>4004</v>
      </c>
      <c r="B1214" s="107">
        <v>2</v>
      </c>
      <c r="C1214" s="109">
        <v>0.0025129614399305943</v>
      </c>
      <c r="D1214" s="107" t="s">
        <v>3501</v>
      </c>
      <c r="E1214" s="107" t="b">
        <v>0</v>
      </c>
      <c r="F1214" s="107" t="b">
        <v>0</v>
      </c>
      <c r="G1214" s="107" t="b">
        <v>0</v>
      </c>
    </row>
    <row r="1215" spans="1:7" ht="15">
      <c r="A1215" s="87" t="s">
        <v>3612</v>
      </c>
      <c r="B1215" s="107">
        <v>2</v>
      </c>
      <c r="C1215" s="109">
        <v>0.0025129614399305943</v>
      </c>
      <c r="D1215" s="107" t="s">
        <v>3501</v>
      </c>
      <c r="E1215" s="107" t="b">
        <v>0</v>
      </c>
      <c r="F1215" s="107" t="b">
        <v>0</v>
      </c>
      <c r="G1215" s="107" t="b">
        <v>0</v>
      </c>
    </row>
    <row r="1216" spans="1:7" ht="15">
      <c r="A1216" s="87" t="s">
        <v>4120</v>
      </c>
      <c r="B1216" s="107">
        <v>2</v>
      </c>
      <c r="C1216" s="109">
        <v>0.0029170285482043945</v>
      </c>
      <c r="D1216" s="107" t="s">
        <v>3501</v>
      </c>
      <c r="E1216" s="107" t="b">
        <v>0</v>
      </c>
      <c r="F1216" s="107" t="b">
        <v>0</v>
      </c>
      <c r="G1216" s="107" t="b">
        <v>0</v>
      </c>
    </row>
    <row r="1217" spans="1:7" ht="15">
      <c r="A1217" s="87" t="s">
        <v>3889</v>
      </c>
      <c r="B1217" s="107">
        <v>2</v>
      </c>
      <c r="C1217" s="109">
        <v>0.0025129614399305943</v>
      </c>
      <c r="D1217" s="107" t="s">
        <v>3501</v>
      </c>
      <c r="E1217" s="107" t="b">
        <v>0</v>
      </c>
      <c r="F1217" s="107" t="b">
        <v>0</v>
      </c>
      <c r="G1217" s="107" t="b">
        <v>0</v>
      </c>
    </row>
    <row r="1218" spans="1:7" ht="15">
      <c r="A1218" s="87" t="s">
        <v>4078</v>
      </c>
      <c r="B1218" s="107">
        <v>2</v>
      </c>
      <c r="C1218" s="109">
        <v>0.0025129614399305943</v>
      </c>
      <c r="D1218" s="107" t="s">
        <v>3501</v>
      </c>
      <c r="E1218" s="107" t="b">
        <v>0</v>
      </c>
      <c r="F1218" s="107" t="b">
        <v>1</v>
      </c>
      <c r="G1218" s="107" t="b">
        <v>0</v>
      </c>
    </row>
    <row r="1219" spans="1:7" ht="15">
      <c r="A1219" s="87" t="s">
        <v>3901</v>
      </c>
      <c r="B1219" s="107">
        <v>2</v>
      </c>
      <c r="C1219" s="109">
        <v>0.0029170285482043945</v>
      </c>
      <c r="D1219" s="107" t="s">
        <v>3501</v>
      </c>
      <c r="E1219" s="107" t="b">
        <v>0</v>
      </c>
      <c r="F1219" s="107" t="b">
        <v>0</v>
      </c>
      <c r="G1219" s="107" t="b">
        <v>0</v>
      </c>
    </row>
    <row r="1220" spans="1:7" ht="15">
      <c r="A1220" s="87" t="s">
        <v>3022</v>
      </c>
      <c r="B1220" s="107">
        <v>2</v>
      </c>
      <c r="C1220" s="109">
        <v>0.0025129614399305943</v>
      </c>
      <c r="D1220" s="107" t="s">
        <v>3501</v>
      </c>
      <c r="E1220" s="107" t="b">
        <v>1</v>
      </c>
      <c r="F1220" s="107" t="b">
        <v>0</v>
      </c>
      <c r="G1220" s="107" t="b">
        <v>0</v>
      </c>
    </row>
    <row r="1221" spans="1:7" ht="15">
      <c r="A1221" s="87" t="s">
        <v>4337</v>
      </c>
      <c r="B1221" s="107">
        <v>2</v>
      </c>
      <c r="C1221" s="109">
        <v>0.0025129614399305943</v>
      </c>
      <c r="D1221" s="107" t="s">
        <v>3501</v>
      </c>
      <c r="E1221" s="107" t="b">
        <v>0</v>
      </c>
      <c r="F1221" s="107" t="b">
        <v>0</v>
      </c>
      <c r="G1221" s="107" t="b">
        <v>0</v>
      </c>
    </row>
    <row r="1222" spans="1:7" ht="15">
      <c r="A1222" s="87" t="s">
        <v>3605</v>
      </c>
      <c r="B1222" s="107">
        <v>2</v>
      </c>
      <c r="C1222" s="109">
        <v>0.0025129614399305943</v>
      </c>
      <c r="D1222" s="107" t="s">
        <v>3501</v>
      </c>
      <c r="E1222" s="107" t="b">
        <v>0</v>
      </c>
      <c r="F1222" s="107" t="b">
        <v>0</v>
      </c>
      <c r="G1222" s="107" t="b">
        <v>0</v>
      </c>
    </row>
    <row r="1223" spans="1:7" ht="15">
      <c r="A1223" s="87" t="s">
        <v>3606</v>
      </c>
      <c r="B1223" s="107">
        <v>2</v>
      </c>
      <c r="C1223" s="109">
        <v>0.0025129614399305943</v>
      </c>
      <c r="D1223" s="107" t="s">
        <v>3501</v>
      </c>
      <c r="E1223" s="107" t="b">
        <v>0</v>
      </c>
      <c r="F1223" s="107" t="b">
        <v>0</v>
      </c>
      <c r="G1223" s="107" t="b">
        <v>0</v>
      </c>
    </row>
    <row r="1224" spans="1:7" ht="15">
      <c r="A1224" s="87" t="s">
        <v>3798</v>
      </c>
      <c r="B1224" s="107">
        <v>2</v>
      </c>
      <c r="C1224" s="109">
        <v>0.0025129614399305943</v>
      </c>
      <c r="D1224" s="107" t="s">
        <v>3501</v>
      </c>
      <c r="E1224" s="107" t="b">
        <v>0</v>
      </c>
      <c r="F1224" s="107" t="b">
        <v>0</v>
      </c>
      <c r="G1224" s="107" t="b">
        <v>0</v>
      </c>
    </row>
    <row r="1225" spans="1:7" ht="15">
      <c r="A1225" s="87" t="s">
        <v>3588</v>
      </c>
      <c r="B1225" s="107">
        <v>2</v>
      </c>
      <c r="C1225" s="109">
        <v>0.0025129614399305943</v>
      </c>
      <c r="D1225" s="107" t="s">
        <v>3501</v>
      </c>
      <c r="E1225" s="107" t="b">
        <v>0</v>
      </c>
      <c r="F1225" s="107" t="b">
        <v>0</v>
      </c>
      <c r="G1225" s="107" t="b">
        <v>0</v>
      </c>
    </row>
    <row r="1226" spans="1:7" ht="15">
      <c r="A1226" s="87" t="s">
        <v>3890</v>
      </c>
      <c r="B1226" s="107">
        <v>2</v>
      </c>
      <c r="C1226" s="109">
        <v>0.0025129614399305943</v>
      </c>
      <c r="D1226" s="107" t="s">
        <v>3501</v>
      </c>
      <c r="E1226" s="107" t="b">
        <v>0</v>
      </c>
      <c r="F1226" s="107" t="b">
        <v>0</v>
      </c>
      <c r="G1226" s="107" t="b">
        <v>0</v>
      </c>
    </row>
    <row r="1227" spans="1:7" ht="15">
      <c r="A1227" s="87" t="s">
        <v>3582</v>
      </c>
      <c r="B1227" s="107">
        <v>2</v>
      </c>
      <c r="C1227" s="109">
        <v>0.0025129614399305943</v>
      </c>
      <c r="D1227" s="107" t="s">
        <v>3501</v>
      </c>
      <c r="E1227" s="107" t="b">
        <v>0</v>
      </c>
      <c r="F1227" s="107" t="b">
        <v>0</v>
      </c>
      <c r="G1227" s="107" t="b">
        <v>0</v>
      </c>
    </row>
    <row r="1228" spans="1:7" ht="15">
      <c r="A1228" s="87" t="s">
        <v>4053</v>
      </c>
      <c r="B1228" s="107">
        <v>2</v>
      </c>
      <c r="C1228" s="109">
        <v>0.0025129614399305943</v>
      </c>
      <c r="D1228" s="107" t="s">
        <v>3501</v>
      </c>
      <c r="E1228" s="107" t="b">
        <v>0</v>
      </c>
      <c r="F1228" s="107" t="b">
        <v>0</v>
      </c>
      <c r="G1228" s="107" t="b">
        <v>0</v>
      </c>
    </row>
    <row r="1229" spans="1:7" ht="15">
      <c r="A1229" s="87" t="s">
        <v>3697</v>
      </c>
      <c r="B1229" s="107">
        <v>2</v>
      </c>
      <c r="C1229" s="109">
        <v>0.0029170285482043945</v>
      </c>
      <c r="D1229" s="107" t="s">
        <v>3501</v>
      </c>
      <c r="E1229" s="107" t="b">
        <v>1</v>
      </c>
      <c r="F1229" s="107" t="b">
        <v>0</v>
      </c>
      <c r="G1229" s="107" t="b">
        <v>0</v>
      </c>
    </row>
    <row r="1230" spans="1:7" ht="15">
      <c r="A1230" s="87" t="s">
        <v>3713</v>
      </c>
      <c r="B1230" s="107">
        <v>2</v>
      </c>
      <c r="C1230" s="109">
        <v>0.0025129614399305943</v>
      </c>
      <c r="D1230" s="107" t="s">
        <v>3501</v>
      </c>
      <c r="E1230" s="107" t="b">
        <v>0</v>
      </c>
      <c r="F1230" s="107" t="b">
        <v>0</v>
      </c>
      <c r="G1230" s="107" t="b">
        <v>0</v>
      </c>
    </row>
    <row r="1231" spans="1:7" ht="15">
      <c r="A1231" s="87" t="s">
        <v>3844</v>
      </c>
      <c r="B1231" s="107">
        <v>2</v>
      </c>
      <c r="C1231" s="109">
        <v>0.0025129614399305943</v>
      </c>
      <c r="D1231" s="107" t="s">
        <v>3501</v>
      </c>
      <c r="E1231" s="107" t="b">
        <v>0</v>
      </c>
      <c r="F1231" s="107" t="b">
        <v>0</v>
      </c>
      <c r="G1231" s="107" t="b">
        <v>0</v>
      </c>
    </row>
    <row r="1232" spans="1:7" ht="15">
      <c r="A1232" s="87" t="s">
        <v>3711</v>
      </c>
      <c r="B1232" s="107">
        <v>2</v>
      </c>
      <c r="C1232" s="109">
        <v>0.0025129614399305943</v>
      </c>
      <c r="D1232" s="107" t="s">
        <v>3501</v>
      </c>
      <c r="E1232" s="107" t="b">
        <v>1</v>
      </c>
      <c r="F1232" s="107" t="b">
        <v>0</v>
      </c>
      <c r="G1232" s="107" t="b">
        <v>0</v>
      </c>
    </row>
    <row r="1233" spans="1:7" ht="15">
      <c r="A1233" s="87" t="s">
        <v>4076</v>
      </c>
      <c r="B1233" s="107">
        <v>2</v>
      </c>
      <c r="C1233" s="109">
        <v>0.0025129614399305943</v>
      </c>
      <c r="D1233" s="107" t="s">
        <v>3501</v>
      </c>
      <c r="E1233" s="107" t="b">
        <v>0</v>
      </c>
      <c r="F1233" s="107" t="b">
        <v>0</v>
      </c>
      <c r="G1233" s="107" t="b">
        <v>0</v>
      </c>
    </row>
    <row r="1234" spans="1:7" ht="15">
      <c r="A1234" s="87" t="s">
        <v>3976</v>
      </c>
      <c r="B1234" s="107">
        <v>2</v>
      </c>
      <c r="C1234" s="109">
        <v>0.0025129614399305943</v>
      </c>
      <c r="D1234" s="107" t="s">
        <v>3501</v>
      </c>
      <c r="E1234" s="107" t="b">
        <v>0</v>
      </c>
      <c r="F1234" s="107" t="b">
        <v>0</v>
      </c>
      <c r="G1234" s="107" t="b">
        <v>0</v>
      </c>
    </row>
    <row r="1235" spans="1:7" ht="15">
      <c r="A1235" s="87" t="s">
        <v>3984</v>
      </c>
      <c r="B1235" s="107">
        <v>2</v>
      </c>
      <c r="C1235" s="109">
        <v>0.0025129614399305943</v>
      </c>
      <c r="D1235" s="107" t="s">
        <v>3501</v>
      </c>
      <c r="E1235" s="107" t="b">
        <v>0</v>
      </c>
      <c r="F1235" s="107" t="b">
        <v>0</v>
      </c>
      <c r="G1235" s="107" t="b">
        <v>0</v>
      </c>
    </row>
    <row r="1236" spans="1:7" ht="15">
      <c r="A1236" s="87" t="s">
        <v>3710</v>
      </c>
      <c r="B1236" s="107">
        <v>2</v>
      </c>
      <c r="C1236" s="109">
        <v>0.0025129614399305943</v>
      </c>
      <c r="D1236" s="107" t="s">
        <v>3501</v>
      </c>
      <c r="E1236" s="107" t="b">
        <v>0</v>
      </c>
      <c r="F1236" s="107" t="b">
        <v>0</v>
      </c>
      <c r="G1236" s="107" t="b">
        <v>0</v>
      </c>
    </row>
    <row r="1237" spans="1:7" ht="15">
      <c r="A1237" s="87" t="s">
        <v>4294</v>
      </c>
      <c r="B1237" s="107">
        <v>2</v>
      </c>
      <c r="C1237" s="109">
        <v>0.0025129614399305943</v>
      </c>
      <c r="D1237" s="107" t="s">
        <v>3501</v>
      </c>
      <c r="E1237" s="107" t="b">
        <v>0</v>
      </c>
      <c r="F1237" s="107" t="b">
        <v>0</v>
      </c>
      <c r="G1237" s="107" t="b">
        <v>0</v>
      </c>
    </row>
    <row r="1238" spans="1:7" ht="15">
      <c r="A1238" s="87" t="s">
        <v>4292</v>
      </c>
      <c r="B1238" s="107">
        <v>2</v>
      </c>
      <c r="C1238" s="109">
        <v>0.0029170285482043945</v>
      </c>
      <c r="D1238" s="107" t="s">
        <v>3501</v>
      </c>
      <c r="E1238" s="107" t="b">
        <v>0</v>
      </c>
      <c r="F1238" s="107" t="b">
        <v>0</v>
      </c>
      <c r="G1238" s="107" t="b">
        <v>0</v>
      </c>
    </row>
    <row r="1239" spans="1:7" ht="15">
      <c r="A1239" s="87" t="s">
        <v>4108</v>
      </c>
      <c r="B1239" s="107">
        <v>2</v>
      </c>
      <c r="C1239" s="109">
        <v>0.0025129614399305943</v>
      </c>
      <c r="D1239" s="107" t="s">
        <v>3501</v>
      </c>
      <c r="E1239" s="107" t="b">
        <v>0</v>
      </c>
      <c r="F1239" s="107" t="b">
        <v>0</v>
      </c>
      <c r="G1239" s="107" t="b">
        <v>0</v>
      </c>
    </row>
    <row r="1240" spans="1:7" ht="15">
      <c r="A1240" s="87" t="s">
        <v>3962</v>
      </c>
      <c r="B1240" s="107">
        <v>2</v>
      </c>
      <c r="C1240" s="109">
        <v>0.0025129614399305943</v>
      </c>
      <c r="D1240" s="107" t="s">
        <v>3501</v>
      </c>
      <c r="E1240" s="107" t="b">
        <v>0</v>
      </c>
      <c r="F1240" s="107" t="b">
        <v>0</v>
      </c>
      <c r="G1240" s="107" t="b">
        <v>0</v>
      </c>
    </row>
    <row r="1241" spans="1:7" ht="15">
      <c r="A1241" s="87" t="s">
        <v>4275</v>
      </c>
      <c r="B1241" s="107">
        <v>2</v>
      </c>
      <c r="C1241" s="109">
        <v>0.0025129614399305943</v>
      </c>
      <c r="D1241" s="107" t="s">
        <v>3501</v>
      </c>
      <c r="E1241" s="107" t="b">
        <v>0</v>
      </c>
      <c r="F1241" s="107" t="b">
        <v>0</v>
      </c>
      <c r="G1241" s="107" t="b">
        <v>0</v>
      </c>
    </row>
    <row r="1242" spans="1:7" ht="15">
      <c r="A1242" s="87" t="s">
        <v>3681</v>
      </c>
      <c r="B1242" s="107">
        <v>2</v>
      </c>
      <c r="C1242" s="109">
        <v>0.0025129614399305943</v>
      </c>
      <c r="D1242" s="107" t="s">
        <v>3501</v>
      </c>
      <c r="E1242" s="107" t="b">
        <v>0</v>
      </c>
      <c r="F1242" s="107" t="b">
        <v>0</v>
      </c>
      <c r="G1242" s="107" t="b">
        <v>0</v>
      </c>
    </row>
    <row r="1243" spans="1:7" ht="15">
      <c r="A1243" s="87" t="s">
        <v>4158</v>
      </c>
      <c r="B1243" s="107">
        <v>2</v>
      </c>
      <c r="C1243" s="109">
        <v>0.0025129614399305943</v>
      </c>
      <c r="D1243" s="107" t="s">
        <v>3501</v>
      </c>
      <c r="E1243" s="107" t="b">
        <v>0</v>
      </c>
      <c r="F1243" s="107" t="b">
        <v>0</v>
      </c>
      <c r="G1243" s="107" t="b">
        <v>0</v>
      </c>
    </row>
    <row r="1244" spans="1:7" ht="15">
      <c r="A1244" s="87" t="s">
        <v>3756</v>
      </c>
      <c r="B1244" s="107">
        <v>2</v>
      </c>
      <c r="C1244" s="109">
        <v>0.0025129614399305943</v>
      </c>
      <c r="D1244" s="107" t="s">
        <v>3501</v>
      </c>
      <c r="E1244" s="107" t="b">
        <v>0</v>
      </c>
      <c r="F1244" s="107" t="b">
        <v>1</v>
      </c>
      <c r="G1244" s="107" t="b">
        <v>0</v>
      </c>
    </row>
    <row r="1245" spans="1:7" ht="15">
      <c r="A1245" s="87" t="s">
        <v>3833</v>
      </c>
      <c r="B1245" s="107">
        <v>2</v>
      </c>
      <c r="C1245" s="109">
        <v>0.0029170285482043945</v>
      </c>
      <c r="D1245" s="107" t="s">
        <v>3501</v>
      </c>
      <c r="E1245" s="107" t="b">
        <v>0</v>
      </c>
      <c r="F1245" s="107" t="b">
        <v>0</v>
      </c>
      <c r="G1245" s="107" t="b">
        <v>0</v>
      </c>
    </row>
    <row r="1246" spans="1:7" ht="15">
      <c r="A1246" s="87" t="s">
        <v>4058</v>
      </c>
      <c r="B1246" s="107">
        <v>2</v>
      </c>
      <c r="C1246" s="109">
        <v>0.0025129614399305943</v>
      </c>
      <c r="D1246" s="107" t="s">
        <v>3501</v>
      </c>
      <c r="E1246" s="107" t="b">
        <v>0</v>
      </c>
      <c r="F1246" s="107" t="b">
        <v>1</v>
      </c>
      <c r="G1246" s="107" t="b">
        <v>0</v>
      </c>
    </row>
    <row r="1247" spans="1:7" ht="15">
      <c r="A1247" s="87" t="s">
        <v>4068</v>
      </c>
      <c r="B1247" s="107">
        <v>2</v>
      </c>
      <c r="C1247" s="109">
        <v>0.0025129614399305943</v>
      </c>
      <c r="D1247" s="107" t="s">
        <v>3501</v>
      </c>
      <c r="E1247" s="107" t="b">
        <v>1</v>
      </c>
      <c r="F1247" s="107" t="b">
        <v>0</v>
      </c>
      <c r="G1247" s="107" t="b">
        <v>0</v>
      </c>
    </row>
    <row r="1248" spans="1:7" ht="15">
      <c r="A1248" s="87" t="s">
        <v>3614</v>
      </c>
      <c r="B1248" s="107">
        <v>2</v>
      </c>
      <c r="C1248" s="109">
        <v>0.0025129614399305943</v>
      </c>
      <c r="D1248" s="107" t="s">
        <v>3501</v>
      </c>
      <c r="E1248" s="107" t="b">
        <v>0</v>
      </c>
      <c r="F1248" s="107" t="b">
        <v>1</v>
      </c>
      <c r="G1248" s="107" t="b">
        <v>0</v>
      </c>
    </row>
    <row r="1249" spans="1:7" ht="15">
      <c r="A1249" s="87" t="s">
        <v>3759</v>
      </c>
      <c r="B1249" s="107">
        <v>2</v>
      </c>
      <c r="C1249" s="109">
        <v>0.0025129614399305943</v>
      </c>
      <c r="D1249" s="107" t="s">
        <v>3501</v>
      </c>
      <c r="E1249" s="107" t="b">
        <v>0</v>
      </c>
      <c r="F1249" s="107" t="b">
        <v>1</v>
      </c>
      <c r="G1249" s="107" t="b">
        <v>0</v>
      </c>
    </row>
    <row r="1250" spans="1:7" ht="15">
      <c r="A1250" s="87" t="s">
        <v>3667</v>
      </c>
      <c r="B1250" s="107">
        <v>2</v>
      </c>
      <c r="C1250" s="109">
        <v>0.0025129614399305943</v>
      </c>
      <c r="D1250" s="107" t="s">
        <v>3501</v>
      </c>
      <c r="E1250" s="107" t="b">
        <v>0</v>
      </c>
      <c r="F1250" s="107" t="b">
        <v>0</v>
      </c>
      <c r="G1250" s="107" t="b">
        <v>0</v>
      </c>
    </row>
    <row r="1251" spans="1:7" ht="15">
      <c r="A1251" s="87" t="s">
        <v>3838</v>
      </c>
      <c r="B1251" s="107">
        <v>2</v>
      </c>
      <c r="C1251" s="109">
        <v>0.0025129614399305943</v>
      </c>
      <c r="D1251" s="107" t="s">
        <v>3501</v>
      </c>
      <c r="E1251" s="107" t="b">
        <v>0</v>
      </c>
      <c r="F1251" s="107" t="b">
        <v>0</v>
      </c>
      <c r="G1251" s="107" t="b">
        <v>0</v>
      </c>
    </row>
    <row r="1252" spans="1:7" ht="15">
      <c r="A1252" s="87" t="s">
        <v>3772</v>
      </c>
      <c r="B1252" s="107">
        <v>2</v>
      </c>
      <c r="C1252" s="109">
        <v>0.0025129614399305943</v>
      </c>
      <c r="D1252" s="107" t="s">
        <v>3501</v>
      </c>
      <c r="E1252" s="107" t="b">
        <v>0</v>
      </c>
      <c r="F1252" s="107" t="b">
        <v>0</v>
      </c>
      <c r="G1252" s="107" t="b">
        <v>0</v>
      </c>
    </row>
    <row r="1253" spans="1:7" ht="15">
      <c r="A1253" s="87" t="s">
        <v>3873</v>
      </c>
      <c r="B1253" s="107">
        <v>2</v>
      </c>
      <c r="C1253" s="109">
        <v>0.0025129614399305943</v>
      </c>
      <c r="D1253" s="107" t="s">
        <v>3501</v>
      </c>
      <c r="E1253" s="107" t="b">
        <v>0</v>
      </c>
      <c r="F1253" s="107" t="b">
        <v>0</v>
      </c>
      <c r="G1253" s="107" t="b">
        <v>0</v>
      </c>
    </row>
    <row r="1254" spans="1:7" ht="15">
      <c r="A1254" s="87" t="s">
        <v>4079</v>
      </c>
      <c r="B1254" s="107">
        <v>2</v>
      </c>
      <c r="C1254" s="109">
        <v>0.0025129614399305943</v>
      </c>
      <c r="D1254" s="107" t="s">
        <v>3501</v>
      </c>
      <c r="E1254" s="107" t="b">
        <v>0</v>
      </c>
      <c r="F1254" s="107" t="b">
        <v>0</v>
      </c>
      <c r="G1254" s="107" t="b">
        <v>0</v>
      </c>
    </row>
    <row r="1255" spans="1:7" ht="15">
      <c r="A1255" s="87" t="s">
        <v>3887</v>
      </c>
      <c r="B1255" s="107">
        <v>2</v>
      </c>
      <c r="C1255" s="109">
        <v>0.0025129614399305943</v>
      </c>
      <c r="D1255" s="107" t="s">
        <v>3501</v>
      </c>
      <c r="E1255" s="107" t="b">
        <v>0</v>
      </c>
      <c r="F1255" s="107" t="b">
        <v>0</v>
      </c>
      <c r="G1255" s="107" t="b">
        <v>0</v>
      </c>
    </row>
    <row r="1256" spans="1:7" ht="15">
      <c r="A1256" s="87" t="s">
        <v>3613</v>
      </c>
      <c r="B1256" s="107">
        <v>2</v>
      </c>
      <c r="C1256" s="109">
        <v>0.0029170285482043945</v>
      </c>
      <c r="D1256" s="107" t="s">
        <v>3501</v>
      </c>
      <c r="E1256" s="107" t="b">
        <v>0</v>
      </c>
      <c r="F1256" s="107" t="b">
        <v>0</v>
      </c>
      <c r="G1256" s="107" t="b">
        <v>0</v>
      </c>
    </row>
    <row r="1257" spans="1:7" ht="15">
      <c r="A1257" s="87" t="s">
        <v>3572</v>
      </c>
      <c r="B1257" s="107">
        <v>2</v>
      </c>
      <c r="C1257" s="109">
        <v>0.0025129614399305943</v>
      </c>
      <c r="D1257" s="107" t="s">
        <v>3501</v>
      </c>
      <c r="E1257" s="107" t="b">
        <v>0</v>
      </c>
      <c r="F1257" s="107" t="b">
        <v>0</v>
      </c>
      <c r="G1257" s="107" t="b">
        <v>0</v>
      </c>
    </row>
    <row r="1258" spans="1:7" ht="15">
      <c r="A1258" s="87" t="s">
        <v>3819</v>
      </c>
      <c r="B1258" s="107">
        <v>2</v>
      </c>
      <c r="C1258" s="109">
        <v>0.0029170285482043945</v>
      </c>
      <c r="D1258" s="107" t="s">
        <v>3501</v>
      </c>
      <c r="E1258" s="107" t="b">
        <v>0</v>
      </c>
      <c r="F1258" s="107" t="b">
        <v>0</v>
      </c>
      <c r="G1258" s="107" t="b">
        <v>0</v>
      </c>
    </row>
    <row r="1259" spans="1:7" ht="15">
      <c r="A1259" s="87" t="s">
        <v>4329</v>
      </c>
      <c r="B1259" s="107">
        <v>2</v>
      </c>
      <c r="C1259" s="109">
        <v>0.0025129614399305943</v>
      </c>
      <c r="D1259" s="107" t="s">
        <v>3501</v>
      </c>
      <c r="E1259" s="107" t="b">
        <v>0</v>
      </c>
      <c r="F1259" s="107" t="b">
        <v>1</v>
      </c>
      <c r="G1259" s="107" t="b">
        <v>0</v>
      </c>
    </row>
    <row r="1260" spans="1:7" ht="15">
      <c r="A1260" s="87" t="s">
        <v>3673</v>
      </c>
      <c r="B1260" s="107">
        <v>2</v>
      </c>
      <c r="C1260" s="109">
        <v>0.0025129614399305943</v>
      </c>
      <c r="D1260" s="107" t="s">
        <v>3501</v>
      </c>
      <c r="E1260" s="107" t="b">
        <v>0</v>
      </c>
      <c r="F1260" s="107" t="b">
        <v>0</v>
      </c>
      <c r="G1260" s="107" t="b">
        <v>0</v>
      </c>
    </row>
    <row r="1261" spans="1:7" ht="15">
      <c r="A1261" s="87" t="s">
        <v>3728</v>
      </c>
      <c r="B1261" s="107">
        <v>2</v>
      </c>
      <c r="C1261" s="109">
        <v>0.0025129614399305943</v>
      </c>
      <c r="D1261" s="107" t="s">
        <v>3501</v>
      </c>
      <c r="E1261" s="107" t="b">
        <v>0</v>
      </c>
      <c r="F1261" s="107" t="b">
        <v>0</v>
      </c>
      <c r="G1261" s="107" t="b">
        <v>0</v>
      </c>
    </row>
    <row r="1262" spans="1:7" ht="15">
      <c r="A1262" s="87" t="s">
        <v>3570</v>
      </c>
      <c r="B1262" s="107">
        <v>2</v>
      </c>
      <c r="C1262" s="109">
        <v>0.0025129614399305943</v>
      </c>
      <c r="D1262" s="107" t="s">
        <v>3501</v>
      </c>
      <c r="E1262" s="107" t="b">
        <v>1</v>
      </c>
      <c r="F1262" s="107" t="b">
        <v>0</v>
      </c>
      <c r="G1262" s="107" t="b">
        <v>0</v>
      </c>
    </row>
    <row r="1263" spans="1:7" ht="15">
      <c r="A1263" s="87" t="s">
        <v>3906</v>
      </c>
      <c r="B1263" s="107">
        <v>2</v>
      </c>
      <c r="C1263" s="109">
        <v>0.0025129614399305943</v>
      </c>
      <c r="D1263" s="107" t="s">
        <v>3501</v>
      </c>
      <c r="E1263" s="107" t="b">
        <v>0</v>
      </c>
      <c r="F1263" s="107" t="b">
        <v>0</v>
      </c>
      <c r="G1263" s="107" t="b">
        <v>0</v>
      </c>
    </row>
    <row r="1264" spans="1:7" ht="15">
      <c r="A1264" s="87" t="s">
        <v>4295</v>
      </c>
      <c r="B1264" s="107">
        <v>2</v>
      </c>
      <c r="C1264" s="109">
        <v>0.0025129614399305943</v>
      </c>
      <c r="D1264" s="107" t="s">
        <v>3501</v>
      </c>
      <c r="E1264" s="107" t="b">
        <v>0</v>
      </c>
      <c r="F1264" s="107" t="b">
        <v>0</v>
      </c>
      <c r="G1264" s="107" t="b">
        <v>0</v>
      </c>
    </row>
    <row r="1265" spans="1:7" ht="15">
      <c r="A1265" s="87" t="s">
        <v>3593</v>
      </c>
      <c r="B1265" s="107">
        <v>2</v>
      </c>
      <c r="C1265" s="109">
        <v>0.0025129614399305943</v>
      </c>
      <c r="D1265" s="107" t="s">
        <v>3501</v>
      </c>
      <c r="E1265" s="107" t="b">
        <v>0</v>
      </c>
      <c r="F1265" s="107" t="b">
        <v>0</v>
      </c>
      <c r="G1265" s="107" t="b">
        <v>0</v>
      </c>
    </row>
    <row r="1266" spans="1:7" ht="15">
      <c r="A1266" s="87" t="s">
        <v>4298</v>
      </c>
      <c r="B1266" s="107">
        <v>2</v>
      </c>
      <c r="C1266" s="109">
        <v>0.0025129614399305943</v>
      </c>
      <c r="D1266" s="107" t="s">
        <v>3501</v>
      </c>
      <c r="E1266" s="107" t="b">
        <v>0</v>
      </c>
      <c r="F1266" s="107" t="b">
        <v>0</v>
      </c>
      <c r="G1266" s="107" t="b">
        <v>0</v>
      </c>
    </row>
    <row r="1267" spans="1:7" ht="15">
      <c r="A1267" s="87" t="s">
        <v>3787</v>
      </c>
      <c r="B1267" s="107">
        <v>2</v>
      </c>
      <c r="C1267" s="109">
        <v>0.0025129614399305943</v>
      </c>
      <c r="D1267" s="107" t="s">
        <v>3501</v>
      </c>
      <c r="E1267" s="107" t="b">
        <v>0</v>
      </c>
      <c r="F1267" s="107" t="b">
        <v>0</v>
      </c>
      <c r="G1267" s="107" t="b">
        <v>0</v>
      </c>
    </row>
    <row r="1268" spans="1:7" ht="15">
      <c r="A1268" s="87" t="s">
        <v>4111</v>
      </c>
      <c r="B1268" s="107">
        <v>2</v>
      </c>
      <c r="C1268" s="109">
        <v>0.0025129614399305943</v>
      </c>
      <c r="D1268" s="107" t="s">
        <v>3501</v>
      </c>
      <c r="E1268" s="107" t="b">
        <v>0</v>
      </c>
      <c r="F1268" s="107" t="b">
        <v>0</v>
      </c>
      <c r="G1268" s="107" t="b">
        <v>0</v>
      </c>
    </row>
    <row r="1269" spans="1:7" ht="15">
      <c r="A1269" s="87" t="s">
        <v>3587</v>
      </c>
      <c r="B1269" s="107">
        <v>2</v>
      </c>
      <c r="C1269" s="109">
        <v>0.0029170285482043945</v>
      </c>
      <c r="D1269" s="107" t="s">
        <v>3501</v>
      </c>
      <c r="E1269" s="107" t="b">
        <v>1</v>
      </c>
      <c r="F1269" s="107" t="b">
        <v>0</v>
      </c>
      <c r="G1269" s="107" t="b">
        <v>0</v>
      </c>
    </row>
    <row r="1270" spans="1:7" ht="15">
      <c r="A1270" s="87" t="s">
        <v>3677</v>
      </c>
      <c r="B1270" s="107">
        <v>2</v>
      </c>
      <c r="C1270" s="109">
        <v>0.0025129614399305943</v>
      </c>
      <c r="D1270" s="107" t="s">
        <v>3501</v>
      </c>
      <c r="E1270" s="107" t="b">
        <v>0</v>
      </c>
      <c r="F1270" s="107" t="b">
        <v>0</v>
      </c>
      <c r="G1270" s="107" t="b">
        <v>0</v>
      </c>
    </row>
    <row r="1271" spans="1:7" ht="15">
      <c r="A1271" s="87" t="s">
        <v>4115</v>
      </c>
      <c r="B1271" s="107">
        <v>2</v>
      </c>
      <c r="C1271" s="109">
        <v>0.0025129614399305943</v>
      </c>
      <c r="D1271" s="107" t="s">
        <v>3501</v>
      </c>
      <c r="E1271" s="107" t="b">
        <v>0</v>
      </c>
      <c r="F1271" s="107" t="b">
        <v>0</v>
      </c>
      <c r="G1271" s="107" t="b">
        <v>0</v>
      </c>
    </row>
    <row r="1272" spans="1:7" ht="15">
      <c r="A1272" s="87" t="s">
        <v>4200</v>
      </c>
      <c r="B1272" s="107">
        <v>2</v>
      </c>
      <c r="C1272" s="109">
        <v>0.0025129614399305943</v>
      </c>
      <c r="D1272" s="107" t="s">
        <v>3501</v>
      </c>
      <c r="E1272" s="107" t="b">
        <v>0</v>
      </c>
      <c r="F1272" s="107" t="b">
        <v>0</v>
      </c>
      <c r="G1272" s="107" t="b">
        <v>0</v>
      </c>
    </row>
    <row r="1273" spans="1:7" ht="15">
      <c r="A1273" s="87" t="s">
        <v>3720</v>
      </c>
      <c r="B1273" s="107">
        <v>2</v>
      </c>
      <c r="C1273" s="109">
        <v>0.0025129614399305943</v>
      </c>
      <c r="D1273" s="107" t="s">
        <v>3501</v>
      </c>
      <c r="E1273" s="107" t="b">
        <v>0</v>
      </c>
      <c r="F1273" s="107" t="b">
        <v>0</v>
      </c>
      <c r="G1273" s="107" t="b">
        <v>0</v>
      </c>
    </row>
    <row r="1274" spans="1:7" ht="15">
      <c r="A1274" s="87" t="s">
        <v>3791</v>
      </c>
      <c r="B1274" s="107">
        <v>2</v>
      </c>
      <c r="C1274" s="109">
        <v>0.0025129614399305943</v>
      </c>
      <c r="D1274" s="107" t="s">
        <v>3501</v>
      </c>
      <c r="E1274" s="107" t="b">
        <v>0</v>
      </c>
      <c r="F1274" s="107" t="b">
        <v>1</v>
      </c>
      <c r="G1274" s="107" t="b">
        <v>0</v>
      </c>
    </row>
    <row r="1275" spans="1:7" ht="15">
      <c r="A1275" s="87" t="s">
        <v>4253</v>
      </c>
      <c r="B1275" s="107">
        <v>2</v>
      </c>
      <c r="C1275" s="109">
        <v>0.0025129614399305943</v>
      </c>
      <c r="D1275" s="107" t="s">
        <v>3501</v>
      </c>
      <c r="E1275" s="107" t="b">
        <v>0</v>
      </c>
      <c r="F1275" s="107" t="b">
        <v>0</v>
      </c>
      <c r="G1275" s="107" t="b">
        <v>0</v>
      </c>
    </row>
    <row r="1276" spans="1:7" ht="15">
      <c r="A1276" s="87" t="s">
        <v>3872</v>
      </c>
      <c r="B1276" s="107">
        <v>2</v>
      </c>
      <c r="C1276" s="109">
        <v>0.0025129614399305943</v>
      </c>
      <c r="D1276" s="107" t="s">
        <v>3501</v>
      </c>
      <c r="E1276" s="107" t="b">
        <v>0</v>
      </c>
      <c r="F1276" s="107" t="b">
        <v>0</v>
      </c>
      <c r="G1276" s="107" t="b">
        <v>0</v>
      </c>
    </row>
    <row r="1277" spans="1:7" ht="15">
      <c r="A1277" s="87" t="s">
        <v>3741</v>
      </c>
      <c r="B1277" s="107">
        <v>2</v>
      </c>
      <c r="C1277" s="109">
        <v>0.0025129614399305943</v>
      </c>
      <c r="D1277" s="107" t="s">
        <v>3501</v>
      </c>
      <c r="E1277" s="107" t="b">
        <v>1</v>
      </c>
      <c r="F1277" s="107" t="b">
        <v>0</v>
      </c>
      <c r="G1277" s="107" t="b">
        <v>0</v>
      </c>
    </row>
    <row r="1278" spans="1:7" ht="15">
      <c r="A1278" s="87" t="s">
        <v>4155</v>
      </c>
      <c r="B1278" s="107">
        <v>2</v>
      </c>
      <c r="C1278" s="109">
        <v>0.0025129614399305943</v>
      </c>
      <c r="D1278" s="107" t="s">
        <v>3501</v>
      </c>
      <c r="E1278" s="107" t="b">
        <v>0</v>
      </c>
      <c r="F1278" s="107" t="b">
        <v>0</v>
      </c>
      <c r="G1278" s="107" t="b">
        <v>0</v>
      </c>
    </row>
    <row r="1279" spans="1:7" ht="15">
      <c r="A1279" s="87" t="s">
        <v>3763</v>
      </c>
      <c r="B1279" s="107">
        <v>2</v>
      </c>
      <c r="C1279" s="109">
        <v>0.0029170285482043945</v>
      </c>
      <c r="D1279" s="107" t="s">
        <v>3501</v>
      </c>
      <c r="E1279" s="107" t="b">
        <v>0</v>
      </c>
      <c r="F1279" s="107" t="b">
        <v>1</v>
      </c>
      <c r="G1279" s="107" t="b">
        <v>0</v>
      </c>
    </row>
    <row r="1280" spans="1:7" ht="15">
      <c r="A1280" s="87" t="s">
        <v>4241</v>
      </c>
      <c r="B1280" s="107">
        <v>2</v>
      </c>
      <c r="C1280" s="109">
        <v>0.0029170285482043945</v>
      </c>
      <c r="D1280" s="107" t="s">
        <v>3501</v>
      </c>
      <c r="E1280" s="107" t="b">
        <v>0</v>
      </c>
      <c r="F1280" s="107" t="b">
        <v>1</v>
      </c>
      <c r="G1280" s="107" t="b">
        <v>0</v>
      </c>
    </row>
    <row r="1281" spans="1:7" ht="15">
      <c r="A1281" s="87" t="s">
        <v>4075</v>
      </c>
      <c r="B1281" s="107">
        <v>2</v>
      </c>
      <c r="C1281" s="109">
        <v>0.0025129614399305943</v>
      </c>
      <c r="D1281" s="107" t="s">
        <v>3501</v>
      </c>
      <c r="E1281" s="107" t="b">
        <v>0</v>
      </c>
      <c r="F1281" s="107" t="b">
        <v>0</v>
      </c>
      <c r="G1281" s="107" t="b">
        <v>0</v>
      </c>
    </row>
    <row r="1282" spans="1:7" ht="15">
      <c r="A1282" s="87" t="s">
        <v>3811</v>
      </c>
      <c r="B1282" s="107">
        <v>2</v>
      </c>
      <c r="C1282" s="109">
        <v>0.0025129614399305943</v>
      </c>
      <c r="D1282" s="107" t="s">
        <v>3501</v>
      </c>
      <c r="E1282" s="107" t="b">
        <v>0</v>
      </c>
      <c r="F1282" s="107" t="b">
        <v>0</v>
      </c>
      <c r="G1282" s="107" t="b">
        <v>0</v>
      </c>
    </row>
    <row r="1283" spans="1:7" ht="15">
      <c r="A1283" s="87" t="s">
        <v>3576</v>
      </c>
      <c r="B1283" s="107">
        <v>2</v>
      </c>
      <c r="C1283" s="109">
        <v>0.0025129614399305943</v>
      </c>
      <c r="D1283" s="107" t="s">
        <v>3501</v>
      </c>
      <c r="E1283" s="107" t="b">
        <v>0</v>
      </c>
      <c r="F1283" s="107" t="b">
        <v>0</v>
      </c>
      <c r="G1283" s="107" t="b">
        <v>0</v>
      </c>
    </row>
    <row r="1284" spans="1:7" ht="15">
      <c r="A1284" s="87" t="s">
        <v>4299</v>
      </c>
      <c r="B1284" s="107">
        <v>2</v>
      </c>
      <c r="C1284" s="109">
        <v>0.0025129614399305943</v>
      </c>
      <c r="D1284" s="107" t="s">
        <v>3501</v>
      </c>
      <c r="E1284" s="107" t="b">
        <v>0</v>
      </c>
      <c r="F1284" s="107" t="b">
        <v>0</v>
      </c>
      <c r="G1284" s="107" t="b">
        <v>0</v>
      </c>
    </row>
    <row r="1285" spans="1:7" ht="15">
      <c r="A1285" s="87" t="s">
        <v>4274</v>
      </c>
      <c r="B1285" s="107">
        <v>2</v>
      </c>
      <c r="C1285" s="109">
        <v>0.0025129614399305943</v>
      </c>
      <c r="D1285" s="107" t="s">
        <v>3501</v>
      </c>
      <c r="E1285" s="107" t="b">
        <v>0</v>
      </c>
      <c r="F1285" s="107" t="b">
        <v>1</v>
      </c>
      <c r="G1285" s="107" t="b">
        <v>0</v>
      </c>
    </row>
    <row r="1286" spans="1:7" ht="15">
      <c r="A1286" s="87" t="s">
        <v>3892</v>
      </c>
      <c r="B1286" s="107">
        <v>2</v>
      </c>
      <c r="C1286" s="109">
        <v>0.0025129614399305943</v>
      </c>
      <c r="D1286" s="107" t="s">
        <v>3501</v>
      </c>
      <c r="E1286" s="107" t="b">
        <v>0</v>
      </c>
      <c r="F1286" s="107" t="b">
        <v>0</v>
      </c>
      <c r="G1286" s="107" t="b">
        <v>0</v>
      </c>
    </row>
    <row r="1287" spans="1:7" ht="15">
      <c r="A1287" s="87" t="s">
        <v>3567</v>
      </c>
      <c r="B1287" s="107">
        <v>2</v>
      </c>
      <c r="C1287" s="109">
        <v>0.0025129614399305943</v>
      </c>
      <c r="D1287" s="107" t="s">
        <v>3501</v>
      </c>
      <c r="E1287" s="107" t="b">
        <v>0</v>
      </c>
      <c r="F1287" s="107" t="b">
        <v>0</v>
      </c>
      <c r="G1287" s="107" t="b">
        <v>0</v>
      </c>
    </row>
    <row r="1288" spans="1:7" ht="15">
      <c r="A1288" s="87" t="s">
        <v>4258</v>
      </c>
      <c r="B1288" s="107">
        <v>2</v>
      </c>
      <c r="C1288" s="109">
        <v>0.0029170285482043945</v>
      </c>
      <c r="D1288" s="107" t="s">
        <v>3501</v>
      </c>
      <c r="E1288" s="107" t="b">
        <v>0</v>
      </c>
      <c r="F1288" s="107" t="b">
        <v>0</v>
      </c>
      <c r="G1288" s="107" t="b">
        <v>0</v>
      </c>
    </row>
    <row r="1289" spans="1:7" ht="15">
      <c r="A1289" s="87" t="s">
        <v>3537</v>
      </c>
      <c r="B1289" s="107">
        <v>21</v>
      </c>
      <c r="C1289" s="109">
        <v>0.009707411430315525</v>
      </c>
      <c r="D1289" s="107" t="s">
        <v>3502</v>
      </c>
      <c r="E1289" s="107" t="b">
        <v>0</v>
      </c>
      <c r="F1289" s="107" t="b">
        <v>0</v>
      </c>
      <c r="G1289" s="107" t="b">
        <v>0</v>
      </c>
    </row>
    <row r="1290" spans="1:7" ht="15">
      <c r="A1290" s="87" t="s">
        <v>3543</v>
      </c>
      <c r="B1290" s="107">
        <v>14</v>
      </c>
      <c r="C1290" s="109">
        <v>0.009671622760146369</v>
      </c>
      <c r="D1290" s="107" t="s">
        <v>3502</v>
      </c>
      <c r="E1290" s="107" t="b">
        <v>1</v>
      </c>
      <c r="F1290" s="107" t="b">
        <v>0</v>
      </c>
      <c r="G1290" s="107" t="b">
        <v>0</v>
      </c>
    </row>
    <row r="1291" spans="1:7" ht="15">
      <c r="A1291" s="87" t="s">
        <v>2596</v>
      </c>
      <c r="B1291" s="107">
        <v>11</v>
      </c>
      <c r="C1291" s="109">
        <v>0.006443984348011341</v>
      </c>
      <c r="D1291" s="107" t="s">
        <v>3502</v>
      </c>
      <c r="E1291" s="107" t="b">
        <v>0</v>
      </c>
      <c r="F1291" s="107" t="b">
        <v>0</v>
      </c>
      <c r="G1291" s="107" t="b">
        <v>0</v>
      </c>
    </row>
    <row r="1292" spans="1:7" ht="15">
      <c r="A1292" s="87" t="s">
        <v>3542</v>
      </c>
      <c r="B1292" s="107">
        <v>11</v>
      </c>
      <c r="C1292" s="109">
        <v>0.007599132168686433</v>
      </c>
      <c r="D1292" s="107" t="s">
        <v>3502</v>
      </c>
      <c r="E1292" s="107" t="b">
        <v>0</v>
      </c>
      <c r="F1292" s="107" t="b">
        <v>0</v>
      </c>
      <c r="G1292" s="107" t="b">
        <v>0</v>
      </c>
    </row>
    <row r="1293" spans="1:7" ht="15">
      <c r="A1293" s="87" t="s">
        <v>3608</v>
      </c>
      <c r="B1293" s="107">
        <v>9</v>
      </c>
      <c r="C1293" s="109">
        <v>0.007071267240951335</v>
      </c>
      <c r="D1293" s="107" t="s">
        <v>3502</v>
      </c>
      <c r="E1293" s="107" t="b">
        <v>0</v>
      </c>
      <c r="F1293" s="107" t="b">
        <v>0</v>
      </c>
      <c r="G1293" s="107" t="b">
        <v>0</v>
      </c>
    </row>
    <row r="1294" spans="1:7" ht="15">
      <c r="A1294" s="87" t="s">
        <v>3553</v>
      </c>
      <c r="B1294" s="107">
        <v>9</v>
      </c>
      <c r="C1294" s="109">
        <v>0.007612369150160616</v>
      </c>
      <c r="D1294" s="107" t="s">
        <v>3502</v>
      </c>
      <c r="E1294" s="107" t="b">
        <v>0</v>
      </c>
      <c r="F1294" s="107" t="b">
        <v>0</v>
      </c>
      <c r="G1294" s="107" t="b">
        <v>0</v>
      </c>
    </row>
    <row r="1295" spans="1:7" ht="15">
      <c r="A1295" s="87" t="s">
        <v>3572</v>
      </c>
      <c r="B1295" s="107">
        <v>9</v>
      </c>
      <c r="C1295" s="109">
        <v>0.008274624364338679</v>
      </c>
      <c r="D1295" s="107" t="s">
        <v>3502</v>
      </c>
      <c r="E1295" s="107" t="b">
        <v>0</v>
      </c>
      <c r="F1295" s="107" t="b">
        <v>0</v>
      </c>
      <c r="G1295" s="107" t="b">
        <v>0</v>
      </c>
    </row>
    <row r="1296" spans="1:7" ht="15">
      <c r="A1296" s="87" t="s">
        <v>3622</v>
      </c>
      <c r="B1296" s="107">
        <v>8</v>
      </c>
      <c r="C1296" s="109">
        <v>0.005526641577226497</v>
      </c>
      <c r="D1296" s="107" t="s">
        <v>3502</v>
      </c>
      <c r="E1296" s="107" t="b">
        <v>0</v>
      </c>
      <c r="F1296" s="107" t="b">
        <v>0</v>
      </c>
      <c r="G1296" s="107" t="b">
        <v>0</v>
      </c>
    </row>
    <row r="1297" spans="1:7" ht="15">
      <c r="A1297" s="87" t="s">
        <v>3538</v>
      </c>
      <c r="B1297" s="107">
        <v>8</v>
      </c>
      <c r="C1297" s="109">
        <v>0.0067665503556983255</v>
      </c>
      <c r="D1297" s="107" t="s">
        <v>3502</v>
      </c>
      <c r="E1297" s="107" t="b">
        <v>0</v>
      </c>
      <c r="F1297" s="107" t="b">
        <v>0</v>
      </c>
      <c r="G1297" s="107" t="b">
        <v>0</v>
      </c>
    </row>
    <row r="1298" spans="1:7" ht="15">
      <c r="A1298" s="87" t="s">
        <v>3548</v>
      </c>
      <c r="B1298" s="107">
        <v>8</v>
      </c>
      <c r="C1298" s="109">
        <v>0.005878908529254967</v>
      </c>
      <c r="D1298" s="107" t="s">
        <v>3502</v>
      </c>
      <c r="E1298" s="107" t="b">
        <v>0</v>
      </c>
      <c r="F1298" s="107" t="b">
        <v>0</v>
      </c>
      <c r="G1298" s="107" t="b">
        <v>0</v>
      </c>
    </row>
    <row r="1299" spans="1:7" ht="15">
      <c r="A1299" s="87" t="s">
        <v>3536</v>
      </c>
      <c r="B1299" s="107">
        <v>7</v>
      </c>
      <c r="C1299" s="109">
        <v>0.005144044963098095</v>
      </c>
      <c r="D1299" s="107" t="s">
        <v>3502</v>
      </c>
      <c r="E1299" s="107" t="b">
        <v>0</v>
      </c>
      <c r="F1299" s="107" t="b">
        <v>0</v>
      </c>
      <c r="G1299" s="107" t="b">
        <v>0</v>
      </c>
    </row>
    <row r="1300" spans="1:7" ht="15">
      <c r="A1300" s="87" t="s">
        <v>3576</v>
      </c>
      <c r="B1300" s="107">
        <v>7</v>
      </c>
      <c r="C1300" s="109">
        <v>0.005920731561236034</v>
      </c>
      <c r="D1300" s="107" t="s">
        <v>3502</v>
      </c>
      <c r="E1300" s="107" t="b">
        <v>0</v>
      </c>
      <c r="F1300" s="107" t="b">
        <v>0</v>
      </c>
      <c r="G1300" s="107" t="b">
        <v>0</v>
      </c>
    </row>
    <row r="1301" spans="1:7" ht="15">
      <c r="A1301" s="87" t="s">
        <v>3620</v>
      </c>
      <c r="B1301" s="107">
        <v>6</v>
      </c>
      <c r="C1301" s="109">
        <v>0.006085613220606802</v>
      </c>
      <c r="D1301" s="107" t="s">
        <v>3502</v>
      </c>
      <c r="E1301" s="107" t="b">
        <v>0</v>
      </c>
      <c r="F1301" s="107" t="b">
        <v>0</v>
      </c>
      <c r="G1301" s="107" t="b">
        <v>0</v>
      </c>
    </row>
    <row r="1302" spans="1:7" ht="15">
      <c r="A1302" s="87" t="s">
        <v>3562</v>
      </c>
      <c r="B1302" s="107">
        <v>6</v>
      </c>
      <c r="C1302" s="109">
        <v>0.006085613220606802</v>
      </c>
      <c r="D1302" s="107" t="s">
        <v>3502</v>
      </c>
      <c r="E1302" s="107" t="b">
        <v>0</v>
      </c>
      <c r="F1302" s="107" t="b">
        <v>0</v>
      </c>
      <c r="G1302" s="107" t="b">
        <v>0</v>
      </c>
    </row>
    <row r="1303" spans="1:7" ht="15">
      <c r="A1303" s="87" t="s">
        <v>2785</v>
      </c>
      <c r="B1303" s="107">
        <v>6</v>
      </c>
      <c r="C1303" s="109">
        <v>0.0050749127667737435</v>
      </c>
      <c r="D1303" s="107" t="s">
        <v>3502</v>
      </c>
      <c r="E1303" s="107" t="b">
        <v>1</v>
      </c>
      <c r="F1303" s="107" t="b">
        <v>0</v>
      </c>
      <c r="G1303" s="107" t="b">
        <v>0</v>
      </c>
    </row>
    <row r="1304" spans="1:7" ht="15">
      <c r="A1304" s="87" t="s">
        <v>3654</v>
      </c>
      <c r="B1304" s="107">
        <v>6</v>
      </c>
      <c r="C1304" s="109">
        <v>0.0050749127667737435</v>
      </c>
      <c r="D1304" s="107" t="s">
        <v>3502</v>
      </c>
      <c r="E1304" s="107" t="b">
        <v>0</v>
      </c>
      <c r="F1304" s="107" t="b">
        <v>1</v>
      </c>
      <c r="G1304" s="107" t="b">
        <v>0</v>
      </c>
    </row>
    <row r="1305" spans="1:7" ht="15">
      <c r="A1305" s="87" t="s">
        <v>3630</v>
      </c>
      <c r="B1305" s="107">
        <v>6</v>
      </c>
      <c r="C1305" s="109">
        <v>0.0050749127667737435</v>
      </c>
      <c r="D1305" s="107" t="s">
        <v>3502</v>
      </c>
      <c r="E1305" s="107" t="b">
        <v>0</v>
      </c>
      <c r="F1305" s="107" t="b">
        <v>0</v>
      </c>
      <c r="G1305" s="107" t="b">
        <v>0</v>
      </c>
    </row>
    <row r="1306" spans="1:7" ht="15">
      <c r="A1306" s="87" t="s">
        <v>3570</v>
      </c>
      <c r="B1306" s="107">
        <v>6</v>
      </c>
      <c r="C1306" s="109">
        <v>0.0055164162428924515</v>
      </c>
      <c r="D1306" s="107" t="s">
        <v>3502</v>
      </c>
      <c r="E1306" s="107" t="b">
        <v>1</v>
      </c>
      <c r="F1306" s="107" t="b">
        <v>0</v>
      </c>
      <c r="G1306" s="107" t="b">
        <v>0</v>
      </c>
    </row>
    <row r="1307" spans="1:7" ht="15">
      <c r="A1307" s="87" t="s">
        <v>3640</v>
      </c>
      <c r="B1307" s="107">
        <v>6</v>
      </c>
      <c r="C1307" s="109">
        <v>0.004714178160634223</v>
      </c>
      <c r="D1307" s="107" t="s">
        <v>3502</v>
      </c>
      <c r="E1307" s="107" t="b">
        <v>0</v>
      </c>
      <c r="F1307" s="107" t="b">
        <v>0</v>
      </c>
      <c r="G1307" s="107" t="b">
        <v>0</v>
      </c>
    </row>
    <row r="1308" spans="1:7" ht="15">
      <c r="A1308" s="87" t="s">
        <v>3651</v>
      </c>
      <c r="B1308" s="107">
        <v>6</v>
      </c>
      <c r="C1308" s="109">
        <v>0.0055164162428924515</v>
      </c>
      <c r="D1308" s="107" t="s">
        <v>3502</v>
      </c>
      <c r="E1308" s="107" t="b">
        <v>0</v>
      </c>
      <c r="F1308" s="107" t="b">
        <v>1</v>
      </c>
      <c r="G1308" s="107" t="b">
        <v>0</v>
      </c>
    </row>
    <row r="1309" spans="1:7" ht="15">
      <c r="A1309" s="87" t="s">
        <v>3594</v>
      </c>
      <c r="B1309" s="107">
        <v>6</v>
      </c>
      <c r="C1309" s="109">
        <v>0.00825928636283761</v>
      </c>
      <c r="D1309" s="107" t="s">
        <v>3502</v>
      </c>
      <c r="E1309" s="107" t="b">
        <v>0</v>
      </c>
      <c r="F1309" s="107" t="b">
        <v>0</v>
      </c>
      <c r="G1309" s="107" t="b">
        <v>0</v>
      </c>
    </row>
    <row r="1310" spans="1:7" ht="15">
      <c r="A1310" s="87" t="s">
        <v>3546</v>
      </c>
      <c r="B1310" s="107">
        <v>6</v>
      </c>
      <c r="C1310" s="109">
        <v>0.004714178160634223</v>
      </c>
      <c r="D1310" s="107" t="s">
        <v>3502</v>
      </c>
      <c r="E1310" s="107" t="b">
        <v>0</v>
      </c>
      <c r="F1310" s="107" t="b">
        <v>0</v>
      </c>
      <c r="G1310" s="107" t="b">
        <v>0</v>
      </c>
    </row>
    <row r="1311" spans="1:7" ht="15">
      <c r="A1311" s="87" t="s">
        <v>3554</v>
      </c>
      <c r="B1311" s="107">
        <v>5</v>
      </c>
      <c r="C1311" s="109">
        <v>0.004597013535743709</v>
      </c>
      <c r="D1311" s="107" t="s">
        <v>3502</v>
      </c>
      <c r="E1311" s="107" t="b">
        <v>0</v>
      </c>
      <c r="F1311" s="107" t="b">
        <v>0</v>
      </c>
      <c r="G1311" s="107" t="b">
        <v>0</v>
      </c>
    </row>
    <row r="1312" spans="1:7" ht="15">
      <c r="A1312" s="87" t="s">
        <v>3578</v>
      </c>
      <c r="B1312" s="107">
        <v>5</v>
      </c>
      <c r="C1312" s="109">
        <v>0.004597013535743709</v>
      </c>
      <c r="D1312" s="107" t="s">
        <v>3502</v>
      </c>
      <c r="E1312" s="107" t="b">
        <v>0</v>
      </c>
      <c r="F1312" s="107" t="b">
        <v>0</v>
      </c>
      <c r="G1312" s="107" t="b">
        <v>0</v>
      </c>
    </row>
    <row r="1313" spans="1:7" ht="15">
      <c r="A1313" s="87" t="s">
        <v>3545</v>
      </c>
      <c r="B1313" s="107">
        <v>5</v>
      </c>
      <c r="C1313" s="109">
        <v>0.004597013535743709</v>
      </c>
      <c r="D1313" s="107" t="s">
        <v>3502</v>
      </c>
      <c r="E1313" s="107" t="b">
        <v>0</v>
      </c>
      <c r="F1313" s="107" t="b">
        <v>0</v>
      </c>
      <c r="G1313" s="107" t="b">
        <v>0</v>
      </c>
    </row>
    <row r="1314" spans="1:7" ht="15">
      <c r="A1314" s="87" t="s">
        <v>3605</v>
      </c>
      <c r="B1314" s="107">
        <v>5</v>
      </c>
      <c r="C1314" s="109">
        <v>0.004229093972311453</v>
      </c>
      <c r="D1314" s="107" t="s">
        <v>3502</v>
      </c>
      <c r="E1314" s="107" t="b">
        <v>0</v>
      </c>
      <c r="F1314" s="107" t="b">
        <v>0</v>
      </c>
      <c r="G1314" s="107" t="b">
        <v>0</v>
      </c>
    </row>
    <row r="1315" spans="1:7" ht="15">
      <c r="A1315" s="87" t="s">
        <v>3582</v>
      </c>
      <c r="B1315" s="107">
        <v>5</v>
      </c>
      <c r="C1315" s="109">
        <v>0.004229093972311453</v>
      </c>
      <c r="D1315" s="107" t="s">
        <v>3502</v>
      </c>
      <c r="E1315" s="107" t="b">
        <v>0</v>
      </c>
      <c r="F1315" s="107" t="b">
        <v>0</v>
      </c>
      <c r="G1315" s="107" t="b">
        <v>0</v>
      </c>
    </row>
    <row r="1316" spans="1:7" ht="15">
      <c r="A1316" s="87" t="s">
        <v>3658</v>
      </c>
      <c r="B1316" s="107">
        <v>5</v>
      </c>
      <c r="C1316" s="109">
        <v>0.005071344350505668</v>
      </c>
      <c r="D1316" s="107" t="s">
        <v>3502</v>
      </c>
      <c r="E1316" s="107" t="b">
        <v>0</v>
      </c>
      <c r="F1316" s="107" t="b">
        <v>0</v>
      </c>
      <c r="G1316" s="107" t="b">
        <v>0</v>
      </c>
    </row>
    <row r="1317" spans="1:7" ht="15">
      <c r="A1317" s="87" t="s">
        <v>3566</v>
      </c>
      <c r="B1317" s="107">
        <v>5</v>
      </c>
      <c r="C1317" s="109">
        <v>0.004229093972311453</v>
      </c>
      <c r="D1317" s="107" t="s">
        <v>3502</v>
      </c>
      <c r="E1317" s="107" t="b">
        <v>0</v>
      </c>
      <c r="F1317" s="107" t="b">
        <v>0</v>
      </c>
      <c r="G1317" s="107" t="b">
        <v>0</v>
      </c>
    </row>
    <row r="1318" spans="1:7" ht="15">
      <c r="A1318" s="87" t="s">
        <v>3662</v>
      </c>
      <c r="B1318" s="107">
        <v>5</v>
      </c>
      <c r="C1318" s="109">
        <v>0.004229093972311453</v>
      </c>
      <c r="D1318" s="107" t="s">
        <v>3502</v>
      </c>
      <c r="E1318" s="107" t="b">
        <v>0</v>
      </c>
      <c r="F1318" s="107" t="b">
        <v>1</v>
      </c>
      <c r="G1318" s="107" t="b">
        <v>0</v>
      </c>
    </row>
    <row r="1319" spans="1:7" ht="15">
      <c r="A1319" s="87" t="s">
        <v>3587</v>
      </c>
      <c r="B1319" s="107">
        <v>5</v>
      </c>
      <c r="C1319" s="109">
        <v>0.005071344350505668</v>
      </c>
      <c r="D1319" s="107" t="s">
        <v>3502</v>
      </c>
      <c r="E1319" s="107" t="b">
        <v>1</v>
      </c>
      <c r="F1319" s="107" t="b">
        <v>0</v>
      </c>
      <c r="G1319" s="107" t="b">
        <v>0</v>
      </c>
    </row>
    <row r="1320" spans="1:7" ht="15">
      <c r="A1320" s="87" t="s">
        <v>3567</v>
      </c>
      <c r="B1320" s="107">
        <v>5</v>
      </c>
      <c r="C1320" s="109">
        <v>0.004229093972311453</v>
      </c>
      <c r="D1320" s="107" t="s">
        <v>3502</v>
      </c>
      <c r="E1320" s="107" t="b">
        <v>0</v>
      </c>
      <c r="F1320" s="107" t="b">
        <v>0</v>
      </c>
      <c r="G1320" s="107" t="b">
        <v>0</v>
      </c>
    </row>
    <row r="1321" spans="1:7" ht="15">
      <c r="A1321" s="87" t="s">
        <v>3774</v>
      </c>
      <c r="B1321" s="107">
        <v>4</v>
      </c>
      <c r="C1321" s="109">
        <v>0.004057075480404535</v>
      </c>
      <c r="D1321" s="107" t="s">
        <v>3502</v>
      </c>
      <c r="E1321" s="107" t="b">
        <v>0</v>
      </c>
      <c r="F1321" s="107" t="b">
        <v>0</v>
      </c>
      <c r="G1321" s="107" t="b">
        <v>0</v>
      </c>
    </row>
    <row r="1322" spans="1:7" ht="15">
      <c r="A1322" s="87" t="s">
        <v>3725</v>
      </c>
      <c r="B1322" s="107">
        <v>4</v>
      </c>
      <c r="C1322" s="109">
        <v>0.004591900868576688</v>
      </c>
      <c r="D1322" s="107" t="s">
        <v>3502</v>
      </c>
      <c r="E1322" s="107" t="b">
        <v>0</v>
      </c>
      <c r="F1322" s="107" t="b">
        <v>0</v>
      </c>
      <c r="G1322" s="107" t="b">
        <v>0</v>
      </c>
    </row>
    <row r="1323" spans="1:7" ht="15">
      <c r="A1323" s="87" t="s">
        <v>3670</v>
      </c>
      <c r="B1323" s="107">
        <v>4</v>
      </c>
      <c r="C1323" s="109">
        <v>0.0055061909085584075</v>
      </c>
      <c r="D1323" s="107" t="s">
        <v>3502</v>
      </c>
      <c r="E1323" s="107" t="b">
        <v>1</v>
      </c>
      <c r="F1323" s="107" t="b">
        <v>0</v>
      </c>
      <c r="G1323" s="107" t="b">
        <v>0</v>
      </c>
    </row>
    <row r="1324" spans="1:7" ht="15">
      <c r="A1324" s="87" t="s">
        <v>2719</v>
      </c>
      <c r="B1324" s="107">
        <v>4</v>
      </c>
      <c r="C1324" s="109">
        <v>0.004057075480404535</v>
      </c>
      <c r="D1324" s="107" t="s">
        <v>3502</v>
      </c>
      <c r="E1324" s="107" t="b">
        <v>0</v>
      </c>
      <c r="F1324" s="107" t="b">
        <v>0</v>
      </c>
      <c r="G1324" s="107" t="b">
        <v>0</v>
      </c>
    </row>
    <row r="1325" spans="1:7" ht="15">
      <c r="A1325" s="87" t="s">
        <v>3604</v>
      </c>
      <c r="B1325" s="107">
        <v>4</v>
      </c>
      <c r="C1325" s="109">
        <v>0.0036776108285949682</v>
      </c>
      <c r="D1325" s="107" t="s">
        <v>3502</v>
      </c>
      <c r="E1325" s="107" t="b">
        <v>0</v>
      </c>
      <c r="F1325" s="107" t="b">
        <v>0</v>
      </c>
      <c r="G1325" s="107" t="b">
        <v>0</v>
      </c>
    </row>
    <row r="1326" spans="1:7" ht="15">
      <c r="A1326" s="87" t="s">
        <v>3550</v>
      </c>
      <c r="B1326" s="107">
        <v>4</v>
      </c>
      <c r="C1326" s="109">
        <v>0.0036776108285949682</v>
      </c>
      <c r="D1326" s="107" t="s">
        <v>3502</v>
      </c>
      <c r="E1326" s="107" t="b">
        <v>0</v>
      </c>
      <c r="F1326" s="107" t="b">
        <v>0</v>
      </c>
      <c r="G1326" s="107" t="b">
        <v>0</v>
      </c>
    </row>
    <row r="1327" spans="1:7" ht="15">
      <c r="A1327" s="87" t="s">
        <v>3588</v>
      </c>
      <c r="B1327" s="107">
        <v>4</v>
      </c>
      <c r="C1327" s="109">
        <v>0.0036776108285949682</v>
      </c>
      <c r="D1327" s="107" t="s">
        <v>3502</v>
      </c>
      <c r="E1327" s="107" t="b">
        <v>0</v>
      </c>
      <c r="F1327" s="107" t="b">
        <v>0</v>
      </c>
      <c r="G1327" s="107" t="b">
        <v>0</v>
      </c>
    </row>
    <row r="1328" spans="1:7" ht="15">
      <c r="A1328" s="87" t="s">
        <v>3626</v>
      </c>
      <c r="B1328" s="107">
        <v>4</v>
      </c>
      <c r="C1328" s="109">
        <v>0.0036776108285949682</v>
      </c>
      <c r="D1328" s="107" t="s">
        <v>3502</v>
      </c>
      <c r="E1328" s="107" t="b">
        <v>0</v>
      </c>
      <c r="F1328" s="107" t="b">
        <v>0</v>
      </c>
      <c r="G1328" s="107" t="b">
        <v>0</v>
      </c>
    </row>
    <row r="1329" spans="1:7" ht="15">
      <c r="A1329" s="87" t="s">
        <v>3686</v>
      </c>
      <c r="B1329" s="107">
        <v>4</v>
      </c>
      <c r="C1329" s="109">
        <v>0.004057075480404535</v>
      </c>
      <c r="D1329" s="107" t="s">
        <v>3502</v>
      </c>
      <c r="E1329" s="107" t="b">
        <v>0</v>
      </c>
      <c r="F1329" s="107" t="b">
        <v>0</v>
      </c>
      <c r="G1329" s="107" t="b">
        <v>0</v>
      </c>
    </row>
    <row r="1330" spans="1:7" ht="15">
      <c r="A1330" s="87" t="s">
        <v>3579</v>
      </c>
      <c r="B1330" s="107">
        <v>4</v>
      </c>
      <c r="C1330" s="109">
        <v>0.004057075480404535</v>
      </c>
      <c r="D1330" s="107" t="s">
        <v>3502</v>
      </c>
      <c r="E1330" s="107" t="b">
        <v>0</v>
      </c>
      <c r="F1330" s="107" t="b">
        <v>0</v>
      </c>
      <c r="G1330" s="107" t="b">
        <v>0</v>
      </c>
    </row>
    <row r="1331" spans="1:7" ht="15">
      <c r="A1331" s="87" t="s">
        <v>3729</v>
      </c>
      <c r="B1331" s="107">
        <v>4</v>
      </c>
      <c r="C1331" s="109">
        <v>0.004591900868576688</v>
      </c>
      <c r="D1331" s="107" t="s">
        <v>3502</v>
      </c>
      <c r="E1331" s="107" t="b">
        <v>0</v>
      </c>
      <c r="F1331" s="107" t="b">
        <v>0</v>
      </c>
      <c r="G1331" s="107" t="b">
        <v>0</v>
      </c>
    </row>
    <row r="1332" spans="1:7" ht="15">
      <c r="A1332" s="87" t="s">
        <v>3544</v>
      </c>
      <c r="B1332" s="107">
        <v>4</v>
      </c>
      <c r="C1332" s="109">
        <v>0.0036776108285949682</v>
      </c>
      <c r="D1332" s="107" t="s">
        <v>3502</v>
      </c>
      <c r="E1332" s="107" t="b">
        <v>1</v>
      </c>
      <c r="F1332" s="107" t="b">
        <v>0</v>
      </c>
      <c r="G1332" s="107" t="b">
        <v>0</v>
      </c>
    </row>
    <row r="1333" spans="1:7" ht="15">
      <c r="A1333" s="87" t="s">
        <v>3673</v>
      </c>
      <c r="B1333" s="107">
        <v>4</v>
      </c>
      <c r="C1333" s="109">
        <v>0.0036776108285949682</v>
      </c>
      <c r="D1333" s="107" t="s">
        <v>3502</v>
      </c>
      <c r="E1333" s="107" t="b">
        <v>0</v>
      </c>
      <c r="F1333" s="107" t="b">
        <v>0</v>
      </c>
      <c r="G1333" s="107" t="b">
        <v>0</v>
      </c>
    </row>
    <row r="1334" spans="1:7" ht="15">
      <c r="A1334" s="87" t="s">
        <v>3749</v>
      </c>
      <c r="B1334" s="107">
        <v>4</v>
      </c>
      <c r="C1334" s="109">
        <v>0.0036776108285949682</v>
      </c>
      <c r="D1334" s="107" t="s">
        <v>3502</v>
      </c>
      <c r="E1334" s="107" t="b">
        <v>0</v>
      </c>
      <c r="F1334" s="107" t="b">
        <v>0</v>
      </c>
      <c r="G1334" s="107" t="b">
        <v>0</v>
      </c>
    </row>
    <row r="1335" spans="1:7" ht="15">
      <c r="A1335" s="87" t="s">
        <v>3671</v>
      </c>
      <c r="B1335" s="107">
        <v>4</v>
      </c>
      <c r="C1335" s="109">
        <v>0.0036776108285949682</v>
      </c>
      <c r="D1335" s="107" t="s">
        <v>3502</v>
      </c>
      <c r="E1335" s="107" t="b">
        <v>0</v>
      </c>
      <c r="F1335" s="107" t="b">
        <v>0</v>
      </c>
      <c r="G1335" s="107" t="b">
        <v>0</v>
      </c>
    </row>
    <row r="1336" spans="1:7" ht="15">
      <c r="A1336" s="87" t="s">
        <v>3781</v>
      </c>
      <c r="B1336" s="107">
        <v>4</v>
      </c>
      <c r="C1336" s="109">
        <v>0.004591900868576688</v>
      </c>
      <c r="D1336" s="107" t="s">
        <v>3502</v>
      </c>
      <c r="E1336" s="107" t="b">
        <v>0</v>
      </c>
      <c r="F1336" s="107" t="b">
        <v>0</v>
      </c>
      <c r="G1336" s="107" t="b">
        <v>0</v>
      </c>
    </row>
    <row r="1337" spans="1:7" ht="15">
      <c r="A1337" s="87" t="s">
        <v>3715</v>
      </c>
      <c r="B1337" s="107">
        <v>4</v>
      </c>
      <c r="C1337" s="109">
        <v>0.0036776108285949682</v>
      </c>
      <c r="D1337" s="107" t="s">
        <v>3502</v>
      </c>
      <c r="E1337" s="107" t="b">
        <v>0</v>
      </c>
      <c r="F1337" s="107" t="b">
        <v>0</v>
      </c>
      <c r="G1337" s="107" t="b">
        <v>0</v>
      </c>
    </row>
    <row r="1338" spans="1:7" ht="15">
      <c r="A1338" s="87" t="s">
        <v>3571</v>
      </c>
      <c r="B1338" s="107">
        <v>3</v>
      </c>
      <c r="C1338" s="109">
        <v>0.003042806610303401</v>
      </c>
      <c r="D1338" s="107" t="s">
        <v>3502</v>
      </c>
      <c r="E1338" s="107" t="b">
        <v>0</v>
      </c>
      <c r="F1338" s="107" t="b">
        <v>0</v>
      </c>
      <c r="G1338" s="107" t="b">
        <v>0</v>
      </c>
    </row>
    <row r="1339" spans="1:7" ht="15">
      <c r="A1339" s="87" t="s">
        <v>3645</v>
      </c>
      <c r="B1339" s="107">
        <v>3</v>
      </c>
      <c r="C1339" s="109">
        <v>0.003042806610303401</v>
      </c>
      <c r="D1339" s="107" t="s">
        <v>3502</v>
      </c>
      <c r="E1339" s="107" t="b">
        <v>0</v>
      </c>
      <c r="F1339" s="107" t="b">
        <v>0</v>
      </c>
      <c r="G1339" s="107" t="b">
        <v>0</v>
      </c>
    </row>
    <row r="1340" spans="1:7" ht="15">
      <c r="A1340" s="87" t="s">
        <v>3610</v>
      </c>
      <c r="B1340" s="107">
        <v>3</v>
      </c>
      <c r="C1340" s="109">
        <v>0.003042806610303401</v>
      </c>
      <c r="D1340" s="107" t="s">
        <v>3502</v>
      </c>
      <c r="E1340" s="107" t="b">
        <v>0</v>
      </c>
      <c r="F1340" s="107" t="b">
        <v>1</v>
      </c>
      <c r="G1340" s="107" t="b">
        <v>0</v>
      </c>
    </row>
    <row r="1341" spans="1:7" ht="15">
      <c r="A1341" s="87" t="s">
        <v>3870</v>
      </c>
      <c r="B1341" s="107">
        <v>3</v>
      </c>
      <c r="C1341" s="109">
        <v>0.003042806610303401</v>
      </c>
      <c r="D1341" s="107" t="s">
        <v>3502</v>
      </c>
      <c r="E1341" s="107" t="b">
        <v>0</v>
      </c>
      <c r="F1341" s="107" t="b">
        <v>0</v>
      </c>
      <c r="G1341" s="107" t="b">
        <v>0</v>
      </c>
    </row>
    <row r="1342" spans="1:7" ht="15">
      <c r="A1342" s="87" t="s">
        <v>3696</v>
      </c>
      <c r="B1342" s="107">
        <v>3</v>
      </c>
      <c r="C1342" s="109">
        <v>0.0034439256514325156</v>
      </c>
      <c r="D1342" s="107" t="s">
        <v>3502</v>
      </c>
      <c r="E1342" s="107" t="b">
        <v>0</v>
      </c>
      <c r="F1342" s="107" t="b">
        <v>0</v>
      </c>
      <c r="G1342" s="107" t="b">
        <v>0</v>
      </c>
    </row>
    <row r="1343" spans="1:7" ht="15">
      <c r="A1343" s="87" t="s">
        <v>3907</v>
      </c>
      <c r="B1343" s="107">
        <v>3</v>
      </c>
      <c r="C1343" s="109">
        <v>0.0034439256514325156</v>
      </c>
      <c r="D1343" s="107" t="s">
        <v>3502</v>
      </c>
      <c r="E1343" s="107" t="b">
        <v>0</v>
      </c>
      <c r="F1343" s="107" t="b">
        <v>0</v>
      </c>
      <c r="G1343" s="107" t="b">
        <v>0</v>
      </c>
    </row>
    <row r="1344" spans="1:7" ht="15">
      <c r="A1344" s="87" t="s">
        <v>3650</v>
      </c>
      <c r="B1344" s="107">
        <v>3</v>
      </c>
      <c r="C1344" s="109">
        <v>0.003042806610303401</v>
      </c>
      <c r="D1344" s="107" t="s">
        <v>3502</v>
      </c>
      <c r="E1344" s="107" t="b">
        <v>0</v>
      </c>
      <c r="F1344" s="107" t="b">
        <v>0</v>
      </c>
      <c r="G1344" s="107" t="b">
        <v>0</v>
      </c>
    </row>
    <row r="1345" spans="1:7" ht="15">
      <c r="A1345" s="87" t="s">
        <v>3747</v>
      </c>
      <c r="B1345" s="107">
        <v>3</v>
      </c>
      <c r="C1345" s="109">
        <v>0.004129643181418805</v>
      </c>
      <c r="D1345" s="107" t="s">
        <v>3502</v>
      </c>
      <c r="E1345" s="107" t="b">
        <v>0</v>
      </c>
      <c r="F1345" s="107" t="b">
        <v>0</v>
      </c>
      <c r="G1345" s="107" t="b">
        <v>0</v>
      </c>
    </row>
    <row r="1346" spans="1:7" ht="15">
      <c r="A1346" s="87" t="s">
        <v>3674</v>
      </c>
      <c r="B1346" s="107">
        <v>3</v>
      </c>
      <c r="C1346" s="109">
        <v>0.003042806610303401</v>
      </c>
      <c r="D1346" s="107" t="s">
        <v>3502</v>
      </c>
      <c r="E1346" s="107" t="b">
        <v>0</v>
      </c>
      <c r="F1346" s="107" t="b">
        <v>0</v>
      </c>
      <c r="G1346" s="107" t="b">
        <v>0</v>
      </c>
    </row>
    <row r="1347" spans="1:7" ht="15">
      <c r="A1347" s="87" t="s">
        <v>3900</v>
      </c>
      <c r="B1347" s="107">
        <v>3</v>
      </c>
      <c r="C1347" s="109">
        <v>0.003042806610303401</v>
      </c>
      <c r="D1347" s="107" t="s">
        <v>3502</v>
      </c>
      <c r="E1347" s="107" t="b">
        <v>0</v>
      </c>
      <c r="F1347" s="107" t="b">
        <v>0</v>
      </c>
      <c r="G1347" s="107" t="b">
        <v>0</v>
      </c>
    </row>
    <row r="1348" spans="1:7" ht="15">
      <c r="A1348" s="87" t="s">
        <v>3569</v>
      </c>
      <c r="B1348" s="107">
        <v>3</v>
      </c>
      <c r="C1348" s="109">
        <v>0.003042806610303401</v>
      </c>
      <c r="D1348" s="107" t="s">
        <v>3502</v>
      </c>
      <c r="E1348" s="107" t="b">
        <v>0</v>
      </c>
      <c r="F1348" s="107" t="b">
        <v>0</v>
      </c>
      <c r="G1348" s="107" t="b">
        <v>0</v>
      </c>
    </row>
    <row r="1349" spans="1:7" ht="15">
      <c r="A1349" s="87" t="s">
        <v>3764</v>
      </c>
      <c r="B1349" s="107">
        <v>3</v>
      </c>
      <c r="C1349" s="109">
        <v>0.0034439256514325156</v>
      </c>
      <c r="D1349" s="107" t="s">
        <v>3502</v>
      </c>
      <c r="E1349" s="107" t="b">
        <v>0</v>
      </c>
      <c r="F1349" s="107" t="b">
        <v>1</v>
      </c>
      <c r="G1349" s="107" t="b">
        <v>0</v>
      </c>
    </row>
    <row r="1350" spans="1:7" ht="15">
      <c r="A1350" s="87" t="s">
        <v>3612</v>
      </c>
      <c r="B1350" s="107">
        <v>3</v>
      </c>
      <c r="C1350" s="109">
        <v>0.003042806610303401</v>
      </c>
      <c r="D1350" s="107" t="s">
        <v>3502</v>
      </c>
      <c r="E1350" s="107" t="b">
        <v>0</v>
      </c>
      <c r="F1350" s="107" t="b">
        <v>0</v>
      </c>
      <c r="G1350" s="107" t="b">
        <v>0</v>
      </c>
    </row>
    <row r="1351" spans="1:7" ht="15">
      <c r="A1351" s="87" t="s">
        <v>3942</v>
      </c>
      <c r="B1351" s="107">
        <v>3</v>
      </c>
      <c r="C1351" s="109">
        <v>0.0034439256514325156</v>
      </c>
      <c r="D1351" s="107" t="s">
        <v>3502</v>
      </c>
      <c r="E1351" s="107" t="b">
        <v>0</v>
      </c>
      <c r="F1351" s="107" t="b">
        <v>0</v>
      </c>
      <c r="G1351" s="107" t="b">
        <v>0</v>
      </c>
    </row>
    <row r="1352" spans="1:7" ht="15">
      <c r="A1352" s="87" t="s">
        <v>3581</v>
      </c>
      <c r="B1352" s="107">
        <v>3</v>
      </c>
      <c r="C1352" s="109">
        <v>0.0034439256514325156</v>
      </c>
      <c r="D1352" s="107" t="s">
        <v>3502</v>
      </c>
      <c r="E1352" s="107" t="b">
        <v>0</v>
      </c>
      <c r="F1352" s="107" t="b">
        <v>0</v>
      </c>
      <c r="G1352" s="107" t="b">
        <v>0</v>
      </c>
    </row>
    <row r="1353" spans="1:7" ht="15">
      <c r="A1353" s="87" t="s">
        <v>3585</v>
      </c>
      <c r="B1353" s="107">
        <v>3</v>
      </c>
      <c r="C1353" s="109">
        <v>0.003042806610303401</v>
      </c>
      <c r="D1353" s="107" t="s">
        <v>3502</v>
      </c>
      <c r="E1353" s="107" t="b">
        <v>0</v>
      </c>
      <c r="F1353" s="107" t="b">
        <v>0</v>
      </c>
      <c r="G1353" s="107" t="b">
        <v>0</v>
      </c>
    </row>
    <row r="1354" spans="1:7" ht="15">
      <c r="A1354" s="87" t="s">
        <v>3949</v>
      </c>
      <c r="B1354" s="107">
        <v>3</v>
      </c>
      <c r="C1354" s="109">
        <v>0.0034439256514325156</v>
      </c>
      <c r="D1354" s="107" t="s">
        <v>3502</v>
      </c>
      <c r="E1354" s="107" t="b">
        <v>0</v>
      </c>
      <c r="F1354" s="107" t="b">
        <v>0</v>
      </c>
      <c r="G1354" s="107" t="b">
        <v>0</v>
      </c>
    </row>
    <row r="1355" spans="1:7" ht="15">
      <c r="A1355" s="87" t="s">
        <v>3556</v>
      </c>
      <c r="B1355" s="107">
        <v>3</v>
      </c>
      <c r="C1355" s="109">
        <v>0.003042806610303401</v>
      </c>
      <c r="D1355" s="107" t="s">
        <v>3502</v>
      </c>
      <c r="E1355" s="107" t="b">
        <v>0</v>
      </c>
      <c r="F1355" s="107" t="b">
        <v>0</v>
      </c>
      <c r="G1355" s="107" t="b">
        <v>0</v>
      </c>
    </row>
    <row r="1356" spans="1:7" ht="15">
      <c r="A1356" s="87" t="s">
        <v>3655</v>
      </c>
      <c r="B1356" s="107">
        <v>3</v>
      </c>
      <c r="C1356" s="109">
        <v>0.003042806610303401</v>
      </c>
      <c r="D1356" s="107" t="s">
        <v>3502</v>
      </c>
      <c r="E1356" s="107" t="b">
        <v>0</v>
      </c>
      <c r="F1356" s="107" t="b">
        <v>0</v>
      </c>
      <c r="G1356" s="107" t="b">
        <v>0</v>
      </c>
    </row>
    <row r="1357" spans="1:7" ht="15">
      <c r="A1357" s="87" t="s">
        <v>3828</v>
      </c>
      <c r="B1357" s="107">
        <v>3</v>
      </c>
      <c r="C1357" s="109">
        <v>0.004129643181418805</v>
      </c>
      <c r="D1357" s="107" t="s">
        <v>3502</v>
      </c>
      <c r="E1357" s="107" t="b">
        <v>0</v>
      </c>
      <c r="F1357" s="107" t="b">
        <v>1</v>
      </c>
      <c r="G1357" s="107" t="b">
        <v>0</v>
      </c>
    </row>
    <row r="1358" spans="1:7" ht="15">
      <c r="A1358" s="87" t="s">
        <v>2632</v>
      </c>
      <c r="B1358" s="107">
        <v>3</v>
      </c>
      <c r="C1358" s="109">
        <v>0.003042806610303401</v>
      </c>
      <c r="D1358" s="107" t="s">
        <v>3502</v>
      </c>
      <c r="E1358" s="107" t="b">
        <v>1</v>
      </c>
      <c r="F1358" s="107" t="b">
        <v>0</v>
      </c>
      <c r="G1358" s="107" t="b">
        <v>0</v>
      </c>
    </row>
    <row r="1359" spans="1:7" ht="15">
      <c r="A1359" s="87" t="s">
        <v>3737</v>
      </c>
      <c r="B1359" s="107">
        <v>3</v>
      </c>
      <c r="C1359" s="109">
        <v>0.0034439256514325156</v>
      </c>
      <c r="D1359" s="107" t="s">
        <v>3502</v>
      </c>
      <c r="E1359" s="107" t="b">
        <v>1</v>
      </c>
      <c r="F1359" s="107" t="b">
        <v>0</v>
      </c>
      <c r="G1359" s="107" t="b">
        <v>0</v>
      </c>
    </row>
    <row r="1360" spans="1:7" ht="15">
      <c r="A1360" s="87" t="s">
        <v>3911</v>
      </c>
      <c r="B1360" s="107">
        <v>3</v>
      </c>
      <c r="C1360" s="109">
        <v>0.0034439256514325156</v>
      </c>
      <c r="D1360" s="107" t="s">
        <v>3502</v>
      </c>
      <c r="E1360" s="107" t="b">
        <v>0</v>
      </c>
      <c r="F1360" s="107" t="b">
        <v>0</v>
      </c>
      <c r="G1360" s="107" t="b">
        <v>0</v>
      </c>
    </row>
    <row r="1361" spans="1:7" ht="15">
      <c r="A1361" s="87" t="s">
        <v>3810</v>
      </c>
      <c r="B1361" s="107">
        <v>3</v>
      </c>
      <c r="C1361" s="109">
        <v>0.0034439256514325156</v>
      </c>
      <c r="D1361" s="107" t="s">
        <v>3502</v>
      </c>
      <c r="E1361" s="107" t="b">
        <v>0</v>
      </c>
      <c r="F1361" s="107" t="b">
        <v>0</v>
      </c>
      <c r="G1361" s="107" t="b">
        <v>0</v>
      </c>
    </row>
    <row r="1362" spans="1:7" ht="15">
      <c r="A1362" s="87" t="s">
        <v>3829</v>
      </c>
      <c r="B1362" s="107">
        <v>3</v>
      </c>
      <c r="C1362" s="109">
        <v>0.003042806610303401</v>
      </c>
      <c r="D1362" s="107" t="s">
        <v>3502</v>
      </c>
      <c r="E1362" s="107" t="b">
        <v>1</v>
      </c>
      <c r="F1362" s="107" t="b">
        <v>0</v>
      </c>
      <c r="G1362" s="107" t="b">
        <v>0</v>
      </c>
    </row>
    <row r="1363" spans="1:7" ht="15">
      <c r="A1363" s="87" t="s">
        <v>3595</v>
      </c>
      <c r="B1363" s="107">
        <v>3</v>
      </c>
      <c r="C1363" s="109">
        <v>0.003042806610303401</v>
      </c>
      <c r="D1363" s="107" t="s">
        <v>3502</v>
      </c>
      <c r="E1363" s="107" t="b">
        <v>0</v>
      </c>
      <c r="F1363" s="107" t="b">
        <v>0</v>
      </c>
      <c r="G1363" s="107" t="b">
        <v>0</v>
      </c>
    </row>
    <row r="1364" spans="1:7" ht="15">
      <c r="A1364" s="87" t="s">
        <v>3724</v>
      </c>
      <c r="B1364" s="107">
        <v>3</v>
      </c>
      <c r="C1364" s="109">
        <v>0.0034439256514325156</v>
      </c>
      <c r="D1364" s="107" t="s">
        <v>3502</v>
      </c>
      <c r="E1364" s="107" t="b">
        <v>0</v>
      </c>
      <c r="F1364" s="107" t="b">
        <v>0</v>
      </c>
      <c r="G1364" s="107" t="b">
        <v>0</v>
      </c>
    </row>
    <row r="1365" spans="1:7" ht="15">
      <c r="A1365" s="87" t="s">
        <v>3845</v>
      </c>
      <c r="B1365" s="107">
        <v>3</v>
      </c>
      <c r="C1365" s="109">
        <v>0.003042806610303401</v>
      </c>
      <c r="D1365" s="107" t="s">
        <v>3502</v>
      </c>
      <c r="E1365" s="107" t="b">
        <v>0</v>
      </c>
      <c r="F1365" s="107" t="b">
        <v>0</v>
      </c>
      <c r="G1365" s="107" t="b">
        <v>0</v>
      </c>
    </row>
    <row r="1366" spans="1:7" ht="15">
      <c r="A1366" s="87" t="s">
        <v>3794</v>
      </c>
      <c r="B1366" s="107">
        <v>3</v>
      </c>
      <c r="C1366" s="109">
        <v>0.0034439256514325156</v>
      </c>
      <c r="D1366" s="107" t="s">
        <v>3502</v>
      </c>
      <c r="E1366" s="107" t="b">
        <v>0</v>
      </c>
      <c r="F1366" s="107" t="b">
        <v>1</v>
      </c>
      <c r="G1366" s="107" t="b">
        <v>0</v>
      </c>
    </row>
    <row r="1367" spans="1:7" ht="15">
      <c r="A1367" s="87" t="s">
        <v>3800</v>
      </c>
      <c r="B1367" s="107">
        <v>3</v>
      </c>
      <c r="C1367" s="109">
        <v>0.0034439256514325156</v>
      </c>
      <c r="D1367" s="107" t="s">
        <v>3502</v>
      </c>
      <c r="E1367" s="107" t="b">
        <v>0</v>
      </c>
      <c r="F1367" s="107" t="b">
        <v>0</v>
      </c>
      <c r="G1367" s="107" t="b">
        <v>0</v>
      </c>
    </row>
    <row r="1368" spans="1:7" ht="15">
      <c r="A1368" s="87" t="s">
        <v>3635</v>
      </c>
      <c r="B1368" s="107">
        <v>3</v>
      </c>
      <c r="C1368" s="109">
        <v>0.0034439256514325156</v>
      </c>
      <c r="D1368" s="107" t="s">
        <v>3502</v>
      </c>
      <c r="E1368" s="107" t="b">
        <v>0</v>
      </c>
      <c r="F1368" s="107" t="b">
        <v>0</v>
      </c>
      <c r="G1368" s="107" t="b">
        <v>0</v>
      </c>
    </row>
    <row r="1369" spans="1:7" ht="15">
      <c r="A1369" s="87" t="s">
        <v>3648</v>
      </c>
      <c r="B1369" s="107">
        <v>3</v>
      </c>
      <c r="C1369" s="109">
        <v>0.0034439256514325156</v>
      </c>
      <c r="D1369" s="107" t="s">
        <v>3502</v>
      </c>
      <c r="E1369" s="107" t="b">
        <v>1</v>
      </c>
      <c r="F1369" s="107" t="b">
        <v>0</v>
      </c>
      <c r="G1369" s="107" t="b">
        <v>0</v>
      </c>
    </row>
    <row r="1370" spans="1:7" ht="15">
      <c r="A1370" s="87" t="s">
        <v>3857</v>
      </c>
      <c r="B1370" s="107">
        <v>3</v>
      </c>
      <c r="C1370" s="109">
        <v>0.004129643181418805</v>
      </c>
      <c r="D1370" s="107" t="s">
        <v>3502</v>
      </c>
      <c r="E1370" s="107" t="b">
        <v>0</v>
      </c>
      <c r="F1370" s="107" t="b">
        <v>0</v>
      </c>
      <c r="G1370" s="107" t="b">
        <v>0</v>
      </c>
    </row>
    <row r="1371" spans="1:7" ht="15">
      <c r="A1371" s="87" t="s">
        <v>3905</v>
      </c>
      <c r="B1371" s="107">
        <v>3</v>
      </c>
      <c r="C1371" s="109">
        <v>0.003042806610303401</v>
      </c>
      <c r="D1371" s="107" t="s">
        <v>3502</v>
      </c>
      <c r="E1371" s="107" t="b">
        <v>0</v>
      </c>
      <c r="F1371" s="107" t="b">
        <v>0</v>
      </c>
      <c r="G1371" s="107" t="b">
        <v>0</v>
      </c>
    </row>
    <row r="1372" spans="1:7" ht="15">
      <c r="A1372" s="87" t="s">
        <v>3730</v>
      </c>
      <c r="B1372" s="107">
        <v>3</v>
      </c>
      <c r="C1372" s="109">
        <v>0.003042806610303401</v>
      </c>
      <c r="D1372" s="107" t="s">
        <v>3502</v>
      </c>
      <c r="E1372" s="107" t="b">
        <v>0</v>
      </c>
      <c r="F1372" s="107" t="b">
        <v>1</v>
      </c>
      <c r="G1372" s="107" t="b">
        <v>0</v>
      </c>
    </row>
    <row r="1373" spans="1:7" ht="15">
      <c r="A1373" s="87" t="s">
        <v>3940</v>
      </c>
      <c r="B1373" s="107">
        <v>3</v>
      </c>
      <c r="C1373" s="109">
        <v>0.0034439256514325156</v>
      </c>
      <c r="D1373" s="107" t="s">
        <v>3502</v>
      </c>
      <c r="E1373" s="107" t="b">
        <v>0</v>
      </c>
      <c r="F1373" s="107" t="b">
        <v>0</v>
      </c>
      <c r="G1373" s="107" t="b">
        <v>0</v>
      </c>
    </row>
    <row r="1374" spans="1:7" ht="15">
      <c r="A1374" s="87" t="s">
        <v>3745</v>
      </c>
      <c r="B1374" s="107">
        <v>3</v>
      </c>
      <c r="C1374" s="109">
        <v>0.0034439256514325156</v>
      </c>
      <c r="D1374" s="107" t="s">
        <v>3502</v>
      </c>
      <c r="E1374" s="107" t="b">
        <v>0</v>
      </c>
      <c r="F1374" s="107" t="b">
        <v>0</v>
      </c>
      <c r="G1374" s="107" t="b">
        <v>0</v>
      </c>
    </row>
    <row r="1375" spans="1:7" ht="15">
      <c r="A1375" s="87" t="s">
        <v>3557</v>
      </c>
      <c r="B1375" s="107">
        <v>3</v>
      </c>
      <c r="C1375" s="109">
        <v>0.003042806610303401</v>
      </c>
      <c r="D1375" s="107" t="s">
        <v>3502</v>
      </c>
      <c r="E1375" s="107" t="b">
        <v>1</v>
      </c>
      <c r="F1375" s="107" t="b">
        <v>0</v>
      </c>
      <c r="G1375" s="107" t="b">
        <v>0</v>
      </c>
    </row>
    <row r="1376" spans="1:7" ht="15">
      <c r="A1376" s="87" t="s">
        <v>3551</v>
      </c>
      <c r="B1376" s="107">
        <v>3</v>
      </c>
      <c r="C1376" s="109">
        <v>0.003042806610303401</v>
      </c>
      <c r="D1376" s="107" t="s">
        <v>3502</v>
      </c>
      <c r="E1376" s="107" t="b">
        <v>1</v>
      </c>
      <c r="F1376" s="107" t="b">
        <v>0</v>
      </c>
      <c r="G1376" s="107" t="b">
        <v>0</v>
      </c>
    </row>
    <row r="1377" spans="1:7" ht="15">
      <c r="A1377" s="87" t="s">
        <v>3601</v>
      </c>
      <c r="B1377" s="107">
        <v>3</v>
      </c>
      <c r="C1377" s="109">
        <v>0.003042806610303401</v>
      </c>
      <c r="D1377" s="107" t="s">
        <v>3502</v>
      </c>
      <c r="E1377" s="107" t="b">
        <v>0</v>
      </c>
      <c r="F1377" s="107" t="b">
        <v>0</v>
      </c>
      <c r="G1377" s="107" t="b">
        <v>0</v>
      </c>
    </row>
    <row r="1378" spans="1:7" ht="15">
      <c r="A1378" s="87" t="s">
        <v>3971</v>
      </c>
      <c r="B1378" s="107">
        <v>2</v>
      </c>
      <c r="C1378" s="109">
        <v>0.002295950434288344</v>
      </c>
      <c r="D1378" s="107" t="s">
        <v>3502</v>
      </c>
      <c r="E1378" s="107" t="b">
        <v>0</v>
      </c>
      <c r="F1378" s="107" t="b">
        <v>0</v>
      </c>
      <c r="G1378" s="107" t="b">
        <v>0</v>
      </c>
    </row>
    <row r="1379" spans="1:7" ht="15">
      <c r="A1379" s="87" t="s">
        <v>4283</v>
      </c>
      <c r="B1379" s="107">
        <v>2</v>
      </c>
      <c r="C1379" s="109">
        <v>0.0027530954542792038</v>
      </c>
      <c r="D1379" s="107" t="s">
        <v>3502</v>
      </c>
      <c r="E1379" s="107" t="b">
        <v>0</v>
      </c>
      <c r="F1379" s="107" t="b">
        <v>1</v>
      </c>
      <c r="G1379" s="107" t="b">
        <v>0</v>
      </c>
    </row>
    <row r="1380" spans="1:7" ht="15">
      <c r="A1380" s="87" t="s">
        <v>4296</v>
      </c>
      <c r="B1380" s="107">
        <v>2</v>
      </c>
      <c r="C1380" s="109">
        <v>0.002295950434288344</v>
      </c>
      <c r="D1380" s="107" t="s">
        <v>3502</v>
      </c>
      <c r="E1380" s="107" t="b">
        <v>0</v>
      </c>
      <c r="F1380" s="107" t="b">
        <v>0</v>
      </c>
      <c r="G1380" s="107" t="b">
        <v>0</v>
      </c>
    </row>
    <row r="1381" spans="1:7" ht="15">
      <c r="A1381" s="87" t="s">
        <v>3847</v>
      </c>
      <c r="B1381" s="107">
        <v>2</v>
      </c>
      <c r="C1381" s="109">
        <v>0.0027530954542792038</v>
      </c>
      <c r="D1381" s="107" t="s">
        <v>3502</v>
      </c>
      <c r="E1381" s="107" t="b">
        <v>0</v>
      </c>
      <c r="F1381" s="107" t="b">
        <v>0</v>
      </c>
      <c r="G1381" s="107" t="b">
        <v>0</v>
      </c>
    </row>
    <row r="1382" spans="1:7" ht="15">
      <c r="A1382" s="87" t="s">
        <v>3897</v>
      </c>
      <c r="B1382" s="107">
        <v>2</v>
      </c>
      <c r="C1382" s="109">
        <v>0.002295950434288344</v>
      </c>
      <c r="D1382" s="107" t="s">
        <v>3502</v>
      </c>
      <c r="E1382" s="107" t="b">
        <v>0</v>
      </c>
      <c r="F1382" s="107" t="b">
        <v>0</v>
      </c>
      <c r="G1382" s="107" t="b">
        <v>0</v>
      </c>
    </row>
    <row r="1383" spans="1:7" ht="15">
      <c r="A1383" s="87" t="s">
        <v>3611</v>
      </c>
      <c r="B1383" s="107">
        <v>2</v>
      </c>
      <c r="C1383" s="109">
        <v>0.002295950434288344</v>
      </c>
      <c r="D1383" s="107" t="s">
        <v>3502</v>
      </c>
      <c r="E1383" s="107" t="b">
        <v>0</v>
      </c>
      <c r="F1383" s="107" t="b">
        <v>0</v>
      </c>
      <c r="G1383" s="107" t="b">
        <v>0</v>
      </c>
    </row>
    <row r="1384" spans="1:7" ht="15">
      <c r="A1384" s="87" t="s">
        <v>3722</v>
      </c>
      <c r="B1384" s="107">
        <v>2</v>
      </c>
      <c r="C1384" s="109">
        <v>0.002295950434288344</v>
      </c>
      <c r="D1384" s="107" t="s">
        <v>3502</v>
      </c>
      <c r="E1384" s="107" t="b">
        <v>0</v>
      </c>
      <c r="F1384" s="107" t="b">
        <v>0</v>
      </c>
      <c r="G1384" s="107" t="b">
        <v>0</v>
      </c>
    </row>
    <row r="1385" spans="1:7" ht="15">
      <c r="A1385" s="87" t="s">
        <v>4280</v>
      </c>
      <c r="B1385" s="107">
        <v>2</v>
      </c>
      <c r="C1385" s="109">
        <v>0.0027530954542792038</v>
      </c>
      <c r="D1385" s="107" t="s">
        <v>3502</v>
      </c>
      <c r="E1385" s="107" t="b">
        <v>0</v>
      </c>
      <c r="F1385" s="107" t="b">
        <v>0</v>
      </c>
      <c r="G1385" s="107" t="b">
        <v>0</v>
      </c>
    </row>
    <row r="1386" spans="1:7" ht="15">
      <c r="A1386" s="87" t="s">
        <v>3835</v>
      </c>
      <c r="B1386" s="107">
        <v>2</v>
      </c>
      <c r="C1386" s="109">
        <v>0.0027530954542792038</v>
      </c>
      <c r="D1386" s="107" t="s">
        <v>3502</v>
      </c>
      <c r="E1386" s="107" t="b">
        <v>0</v>
      </c>
      <c r="F1386" s="107" t="b">
        <v>0</v>
      </c>
      <c r="G1386" s="107" t="b">
        <v>0</v>
      </c>
    </row>
    <row r="1387" spans="1:7" ht="15">
      <c r="A1387" s="87" t="s">
        <v>4286</v>
      </c>
      <c r="B1387" s="107">
        <v>2</v>
      </c>
      <c r="C1387" s="109">
        <v>0.0027530954542792038</v>
      </c>
      <c r="D1387" s="107" t="s">
        <v>3502</v>
      </c>
      <c r="E1387" s="107" t="b">
        <v>0</v>
      </c>
      <c r="F1387" s="107" t="b">
        <v>0</v>
      </c>
      <c r="G1387" s="107" t="b">
        <v>0</v>
      </c>
    </row>
    <row r="1388" spans="1:7" ht="15">
      <c r="A1388" s="87" t="s">
        <v>3807</v>
      </c>
      <c r="B1388" s="107">
        <v>2</v>
      </c>
      <c r="C1388" s="109">
        <v>0.002295950434288344</v>
      </c>
      <c r="D1388" s="107" t="s">
        <v>3502</v>
      </c>
      <c r="E1388" s="107" t="b">
        <v>0</v>
      </c>
      <c r="F1388" s="107" t="b">
        <v>0</v>
      </c>
      <c r="G1388" s="107" t="b">
        <v>0</v>
      </c>
    </row>
    <row r="1389" spans="1:7" ht="15">
      <c r="A1389" s="87" t="s">
        <v>3767</v>
      </c>
      <c r="B1389" s="107">
        <v>2</v>
      </c>
      <c r="C1389" s="109">
        <v>0.002295950434288344</v>
      </c>
      <c r="D1389" s="107" t="s">
        <v>3502</v>
      </c>
      <c r="E1389" s="107" t="b">
        <v>0</v>
      </c>
      <c r="F1389" s="107" t="b">
        <v>1</v>
      </c>
      <c r="G1389" s="107" t="b">
        <v>0</v>
      </c>
    </row>
    <row r="1390" spans="1:7" ht="15">
      <c r="A1390" s="87" t="s">
        <v>4178</v>
      </c>
      <c r="B1390" s="107">
        <v>2</v>
      </c>
      <c r="C1390" s="109">
        <v>0.002295950434288344</v>
      </c>
      <c r="D1390" s="107" t="s">
        <v>3502</v>
      </c>
      <c r="E1390" s="107" t="b">
        <v>0</v>
      </c>
      <c r="F1390" s="107" t="b">
        <v>0</v>
      </c>
      <c r="G1390" s="107" t="b">
        <v>0</v>
      </c>
    </row>
    <row r="1391" spans="1:7" ht="15">
      <c r="A1391" s="87" t="s">
        <v>4083</v>
      </c>
      <c r="B1391" s="107">
        <v>2</v>
      </c>
      <c r="C1391" s="109">
        <v>0.002295950434288344</v>
      </c>
      <c r="D1391" s="107" t="s">
        <v>3502</v>
      </c>
      <c r="E1391" s="107" t="b">
        <v>0</v>
      </c>
      <c r="F1391" s="107" t="b">
        <v>0</v>
      </c>
      <c r="G1391" s="107" t="b">
        <v>0</v>
      </c>
    </row>
    <row r="1392" spans="1:7" ht="15">
      <c r="A1392" s="87" t="s">
        <v>3958</v>
      </c>
      <c r="B1392" s="107">
        <v>2</v>
      </c>
      <c r="C1392" s="109">
        <v>0.002295950434288344</v>
      </c>
      <c r="D1392" s="107" t="s">
        <v>3502</v>
      </c>
      <c r="E1392" s="107" t="b">
        <v>0</v>
      </c>
      <c r="F1392" s="107" t="b">
        <v>0</v>
      </c>
      <c r="G1392" s="107" t="b">
        <v>0</v>
      </c>
    </row>
    <row r="1393" spans="1:7" ht="15">
      <c r="A1393" s="87" t="s">
        <v>4128</v>
      </c>
      <c r="B1393" s="107">
        <v>2</v>
      </c>
      <c r="C1393" s="109">
        <v>0.0027530954542792038</v>
      </c>
      <c r="D1393" s="107" t="s">
        <v>3502</v>
      </c>
      <c r="E1393" s="107" t="b">
        <v>1</v>
      </c>
      <c r="F1393" s="107" t="b">
        <v>0</v>
      </c>
      <c r="G1393" s="107" t="b">
        <v>0</v>
      </c>
    </row>
    <row r="1394" spans="1:7" ht="15">
      <c r="A1394" s="87" t="s">
        <v>4003</v>
      </c>
      <c r="B1394" s="107">
        <v>2</v>
      </c>
      <c r="C1394" s="109">
        <v>0.0027530954542792038</v>
      </c>
      <c r="D1394" s="107" t="s">
        <v>3502</v>
      </c>
      <c r="E1394" s="107" t="b">
        <v>0</v>
      </c>
      <c r="F1394" s="107" t="b">
        <v>0</v>
      </c>
      <c r="G1394" s="107" t="b">
        <v>0</v>
      </c>
    </row>
    <row r="1395" spans="1:7" ht="15">
      <c r="A1395" s="87" t="s">
        <v>4303</v>
      </c>
      <c r="B1395" s="107">
        <v>2</v>
      </c>
      <c r="C1395" s="109">
        <v>0.0027530954542792038</v>
      </c>
      <c r="D1395" s="107" t="s">
        <v>3502</v>
      </c>
      <c r="E1395" s="107" t="b">
        <v>0</v>
      </c>
      <c r="F1395" s="107" t="b">
        <v>0</v>
      </c>
      <c r="G1395" s="107" t="b">
        <v>0</v>
      </c>
    </row>
    <row r="1396" spans="1:7" ht="15">
      <c r="A1396" s="87" t="s">
        <v>4163</v>
      </c>
      <c r="B1396" s="107">
        <v>2</v>
      </c>
      <c r="C1396" s="109">
        <v>0.002295950434288344</v>
      </c>
      <c r="D1396" s="107" t="s">
        <v>3502</v>
      </c>
      <c r="E1396" s="107" t="b">
        <v>0</v>
      </c>
      <c r="F1396" s="107" t="b">
        <v>0</v>
      </c>
      <c r="G1396" s="107" t="b">
        <v>0</v>
      </c>
    </row>
    <row r="1397" spans="1:7" ht="15">
      <c r="A1397" s="87" t="s">
        <v>4147</v>
      </c>
      <c r="B1397" s="107">
        <v>2</v>
      </c>
      <c r="C1397" s="109">
        <v>0.002295950434288344</v>
      </c>
      <c r="D1397" s="107" t="s">
        <v>3502</v>
      </c>
      <c r="E1397" s="107" t="b">
        <v>0</v>
      </c>
      <c r="F1397" s="107" t="b">
        <v>0</v>
      </c>
      <c r="G1397" s="107" t="b">
        <v>0</v>
      </c>
    </row>
    <row r="1398" spans="1:7" ht="15">
      <c r="A1398" s="87" t="s">
        <v>4224</v>
      </c>
      <c r="B1398" s="107">
        <v>2</v>
      </c>
      <c r="C1398" s="109">
        <v>0.002295950434288344</v>
      </c>
      <c r="D1398" s="107" t="s">
        <v>3502</v>
      </c>
      <c r="E1398" s="107" t="b">
        <v>0</v>
      </c>
      <c r="F1398" s="107" t="b">
        <v>0</v>
      </c>
      <c r="G1398" s="107" t="b">
        <v>0</v>
      </c>
    </row>
    <row r="1399" spans="1:7" ht="15">
      <c r="A1399" s="87" t="s">
        <v>4141</v>
      </c>
      <c r="B1399" s="107">
        <v>2</v>
      </c>
      <c r="C1399" s="109">
        <v>0.002295950434288344</v>
      </c>
      <c r="D1399" s="107" t="s">
        <v>3502</v>
      </c>
      <c r="E1399" s="107" t="b">
        <v>0</v>
      </c>
      <c r="F1399" s="107" t="b">
        <v>0</v>
      </c>
      <c r="G1399" s="107" t="b">
        <v>0</v>
      </c>
    </row>
    <row r="1400" spans="1:7" ht="15">
      <c r="A1400" s="87" t="s">
        <v>3823</v>
      </c>
      <c r="B1400" s="107">
        <v>2</v>
      </c>
      <c r="C1400" s="109">
        <v>0.0027530954542792038</v>
      </c>
      <c r="D1400" s="107" t="s">
        <v>3502</v>
      </c>
      <c r="E1400" s="107" t="b">
        <v>0</v>
      </c>
      <c r="F1400" s="107" t="b">
        <v>0</v>
      </c>
      <c r="G1400" s="107" t="b">
        <v>0</v>
      </c>
    </row>
    <row r="1401" spans="1:7" ht="15">
      <c r="A1401" s="87" t="s">
        <v>3717</v>
      </c>
      <c r="B1401" s="107">
        <v>2</v>
      </c>
      <c r="C1401" s="109">
        <v>0.0027530954542792038</v>
      </c>
      <c r="D1401" s="107" t="s">
        <v>3502</v>
      </c>
      <c r="E1401" s="107" t="b">
        <v>0</v>
      </c>
      <c r="F1401" s="107" t="b">
        <v>0</v>
      </c>
      <c r="G1401" s="107" t="b">
        <v>0</v>
      </c>
    </row>
    <row r="1402" spans="1:7" ht="15">
      <c r="A1402" s="87" t="s">
        <v>4186</v>
      </c>
      <c r="B1402" s="107">
        <v>2</v>
      </c>
      <c r="C1402" s="109">
        <v>0.002295950434288344</v>
      </c>
      <c r="D1402" s="107" t="s">
        <v>3502</v>
      </c>
      <c r="E1402" s="107" t="b">
        <v>0</v>
      </c>
      <c r="F1402" s="107" t="b">
        <v>0</v>
      </c>
      <c r="G1402" s="107" t="b">
        <v>0</v>
      </c>
    </row>
    <row r="1403" spans="1:7" ht="15">
      <c r="A1403" s="87" t="s">
        <v>3637</v>
      </c>
      <c r="B1403" s="107">
        <v>2</v>
      </c>
      <c r="C1403" s="109">
        <v>0.002295950434288344</v>
      </c>
      <c r="D1403" s="107" t="s">
        <v>3502</v>
      </c>
      <c r="E1403" s="107" t="b">
        <v>0</v>
      </c>
      <c r="F1403" s="107" t="b">
        <v>0</v>
      </c>
      <c r="G1403" s="107" t="b">
        <v>0</v>
      </c>
    </row>
    <row r="1404" spans="1:7" ht="15">
      <c r="A1404" s="87" t="s">
        <v>4293</v>
      </c>
      <c r="B1404" s="107">
        <v>2</v>
      </c>
      <c r="C1404" s="109">
        <v>0.002295950434288344</v>
      </c>
      <c r="D1404" s="107" t="s">
        <v>3502</v>
      </c>
      <c r="E1404" s="107" t="b">
        <v>0</v>
      </c>
      <c r="F1404" s="107" t="b">
        <v>0</v>
      </c>
      <c r="G1404" s="107" t="b">
        <v>0</v>
      </c>
    </row>
    <row r="1405" spans="1:7" ht="15">
      <c r="A1405" s="87" t="s">
        <v>3707</v>
      </c>
      <c r="B1405" s="107">
        <v>2</v>
      </c>
      <c r="C1405" s="109">
        <v>0.002295950434288344</v>
      </c>
      <c r="D1405" s="107" t="s">
        <v>3502</v>
      </c>
      <c r="E1405" s="107" t="b">
        <v>0</v>
      </c>
      <c r="F1405" s="107" t="b">
        <v>0</v>
      </c>
      <c r="G1405" s="107" t="b">
        <v>0</v>
      </c>
    </row>
    <row r="1406" spans="1:7" ht="15">
      <c r="A1406" s="87" t="s">
        <v>4171</v>
      </c>
      <c r="B1406" s="107">
        <v>2</v>
      </c>
      <c r="C1406" s="109">
        <v>0.0027530954542792038</v>
      </c>
      <c r="D1406" s="107" t="s">
        <v>3502</v>
      </c>
      <c r="E1406" s="107" t="b">
        <v>0</v>
      </c>
      <c r="F1406" s="107" t="b">
        <v>0</v>
      </c>
      <c r="G1406" s="107" t="b">
        <v>0</v>
      </c>
    </row>
    <row r="1407" spans="1:7" ht="15">
      <c r="A1407" s="87" t="s">
        <v>3680</v>
      </c>
      <c r="B1407" s="107">
        <v>2</v>
      </c>
      <c r="C1407" s="109">
        <v>0.002295950434288344</v>
      </c>
      <c r="D1407" s="107" t="s">
        <v>3502</v>
      </c>
      <c r="E1407" s="107" t="b">
        <v>0</v>
      </c>
      <c r="F1407" s="107" t="b">
        <v>0</v>
      </c>
      <c r="G1407" s="107" t="b">
        <v>0</v>
      </c>
    </row>
    <row r="1408" spans="1:7" ht="15">
      <c r="A1408" s="87" t="s">
        <v>3643</v>
      </c>
      <c r="B1408" s="107">
        <v>2</v>
      </c>
      <c r="C1408" s="109">
        <v>0.002295950434288344</v>
      </c>
      <c r="D1408" s="107" t="s">
        <v>3502</v>
      </c>
      <c r="E1408" s="107" t="b">
        <v>0</v>
      </c>
      <c r="F1408" s="107" t="b">
        <v>0</v>
      </c>
      <c r="G1408" s="107" t="b">
        <v>0</v>
      </c>
    </row>
    <row r="1409" spans="1:7" ht="15">
      <c r="A1409" s="87" t="s">
        <v>4214</v>
      </c>
      <c r="B1409" s="107">
        <v>2</v>
      </c>
      <c r="C1409" s="109">
        <v>0.002295950434288344</v>
      </c>
      <c r="D1409" s="107" t="s">
        <v>3502</v>
      </c>
      <c r="E1409" s="107" t="b">
        <v>0</v>
      </c>
      <c r="F1409" s="107" t="b">
        <v>0</v>
      </c>
      <c r="G1409" s="107" t="b">
        <v>0</v>
      </c>
    </row>
    <row r="1410" spans="1:7" ht="15">
      <c r="A1410" s="87" t="s">
        <v>4215</v>
      </c>
      <c r="B1410" s="107">
        <v>2</v>
      </c>
      <c r="C1410" s="109">
        <v>0.0027530954542792038</v>
      </c>
      <c r="D1410" s="107" t="s">
        <v>3502</v>
      </c>
      <c r="E1410" s="107" t="b">
        <v>0</v>
      </c>
      <c r="F1410" s="107" t="b">
        <v>0</v>
      </c>
      <c r="G1410" s="107" t="b">
        <v>0</v>
      </c>
    </row>
    <row r="1411" spans="1:7" ht="15">
      <c r="A1411" s="87" t="s">
        <v>3624</v>
      </c>
      <c r="B1411" s="107">
        <v>2</v>
      </c>
      <c r="C1411" s="109">
        <v>0.0027530954542792038</v>
      </c>
      <c r="D1411" s="107" t="s">
        <v>3502</v>
      </c>
      <c r="E1411" s="107" t="b">
        <v>0</v>
      </c>
      <c r="F1411" s="107" t="b">
        <v>0</v>
      </c>
      <c r="G1411" s="107" t="b">
        <v>0</v>
      </c>
    </row>
    <row r="1412" spans="1:7" ht="15">
      <c r="A1412" s="87" t="s">
        <v>4212</v>
      </c>
      <c r="B1412" s="107">
        <v>2</v>
      </c>
      <c r="C1412" s="109">
        <v>0.0027530954542792038</v>
      </c>
      <c r="D1412" s="107" t="s">
        <v>3502</v>
      </c>
      <c r="E1412" s="107" t="b">
        <v>0</v>
      </c>
      <c r="F1412" s="107" t="b">
        <v>1</v>
      </c>
      <c r="G1412" s="107" t="b">
        <v>0</v>
      </c>
    </row>
    <row r="1413" spans="1:7" ht="15">
      <c r="A1413" s="87" t="s">
        <v>3746</v>
      </c>
      <c r="B1413" s="107">
        <v>2</v>
      </c>
      <c r="C1413" s="109">
        <v>0.002295950434288344</v>
      </c>
      <c r="D1413" s="107" t="s">
        <v>3502</v>
      </c>
      <c r="E1413" s="107" t="b">
        <v>0</v>
      </c>
      <c r="F1413" s="107" t="b">
        <v>0</v>
      </c>
      <c r="G1413" s="107" t="b">
        <v>0</v>
      </c>
    </row>
    <row r="1414" spans="1:7" ht="15">
      <c r="A1414" s="87" t="s">
        <v>3661</v>
      </c>
      <c r="B1414" s="107">
        <v>2</v>
      </c>
      <c r="C1414" s="109">
        <v>0.002295950434288344</v>
      </c>
      <c r="D1414" s="107" t="s">
        <v>3502</v>
      </c>
      <c r="E1414" s="107" t="b">
        <v>0</v>
      </c>
      <c r="F1414" s="107" t="b">
        <v>0</v>
      </c>
      <c r="G1414" s="107" t="b">
        <v>0</v>
      </c>
    </row>
    <row r="1415" spans="1:7" ht="15">
      <c r="A1415" s="87" t="s">
        <v>3619</v>
      </c>
      <c r="B1415" s="107">
        <v>2</v>
      </c>
      <c r="C1415" s="109">
        <v>0.002295950434288344</v>
      </c>
      <c r="D1415" s="107" t="s">
        <v>3502</v>
      </c>
      <c r="E1415" s="107" t="b">
        <v>0</v>
      </c>
      <c r="F1415" s="107" t="b">
        <v>0</v>
      </c>
      <c r="G1415" s="107" t="b">
        <v>0</v>
      </c>
    </row>
    <row r="1416" spans="1:7" ht="15">
      <c r="A1416" s="87" t="s">
        <v>4146</v>
      </c>
      <c r="B1416" s="107">
        <v>2</v>
      </c>
      <c r="C1416" s="109">
        <v>0.0027530954542792038</v>
      </c>
      <c r="D1416" s="107" t="s">
        <v>3502</v>
      </c>
      <c r="E1416" s="107" t="b">
        <v>0</v>
      </c>
      <c r="F1416" s="107" t="b">
        <v>1</v>
      </c>
      <c r="G1416" s="107" t="b">
        <v>0</v>
      </c>
    </row>
    <row r="1417" spans="1:7" ht="15">
      <c r="A1417" s="87" t="s">
        <v>4102</v>
      </c>
      <c r="B1417" s="107">
        <v>2</v>
      </c>
      <c r="C1417" s="109">
        <v>0.0027530954542792038</v>
      </c>
      <c r="D1417" s="107" t="s">
        <v>3502</v>
      </c>
      <c r="E1417" s="107" t="b">
        <v>0</v>
      </c>
      <c r="F1417" s="107" t="b">
        <v>0</v>
      </c>
      <c r="G1417" s="107" t="b">
        <v>0</v>
      </c>
    </row>
    <row r="1418" spans="1:7" ht="15">
      <c r="A1418" s="87" t="s">
        <v>4044</v>
      </c>
      <c r="B1418" s="107">
        <v>2</v>
      </c>
      <c r="C1418" s="109">
        <v>0.0027530954542792038</v>
      </c>
      <c r="D1418" s="107" t="s">
        <v>3502</v>
      </c>
      <c r="E1418" s="107" t="b">
        <v>0</v>
      </c>
      <c r="F1418" s="107" t="b">
        <v>0</v>
      </c>
      <c r="G1418" s="107" t="b">
        <v>0</v>
      </c>
    </row>
    <row r="1419" spans="1:7" ht="15">
      <c r="A1419" s="87" t="s">
        <v>3665</v>
      </c>
      <c r="B1419" s="107">
        <v>2</v>
      </c>
      <c r="C1419" s="109">
        <v>0.002295950434288344</v>
      </c>
      <c r="D1419" s="107" t="s">
        <v>3502</v>
      </c>
      <c r="E1419" s="107" t="b">
        <v>0</v>
      </c>
      <c r="F1419" s="107" t="b">
        <v>0</v>
      </c>
      <c r="G1419" s="107" t="b">
        <v>0</v>
      </c>
    </row>
    <row r="1420" spans="1:7" ht="15">
      <c r="A1420" s="87" t="s">
        <v>4156</v>
      </c>
      <c r="B1420" s="107">
        <v>2</v>
      </c>
      <c r="C1420" s="109">
        <v>0.002295950434288344</v>
      </c>
      <c r="D1420" s="107" t="s">
        <v>3502</v>
      </c>
      <c r="E1420" s="107" t="b">
        <v>0</v>
      </c>
      <c r="F1420" s="107" t="b">
        <v>0</v>
      </c>
      <c r="G1420" s="107" t="b">
        <v>0</v>
      </c>
    </row>
    <row r="1421" spans="1:7" ht="15">
      <c r="A1421" s="87" t="s">
        <v>3641</v>
      </c>
      <c r="B1421" s="107">
        <v>2</v>
      </c>
      <c r="C1421" s="109">
        <v>0.002295950434288344</v>
      </c>
      <c r="D1421" s="107" t="s">
        <v>3502</v>
      </c>
      <c r="E1421" s="107" t="b">
        <v>0</v>
      </c>
      <c r="F1421" s="107" t="b">
        <v>0</v>
      </c>
      <c r="G1421" s="107" t="b">
        <v>0</v>
      </c>
    </row>
    <row r="1422" spans="1:7" ht="15">
      <c r="A1422" s="87" t="s">
        <v>4316</v>
      </c>
      <c r="B1422" s="107">
        <v>2</v>
      </c>
      <c r="C1422" s="109">
        <v>0.002295950434288344</v>
      </c>
      <c r="D1422" s="107" t="s">
        <v>3502</v>
      </c>
      <c r="E1422" s="107" t="b">
        <v>0</v>
      </c>
      <c r="F1422" s="107" t="b">
        <v>0</v>
      </c>
      <c r="G1422" s="107" t="b">
        <v>0</v>
      </c>
    </row>
    <row r="1423" spans="1:7" ht="15">
      <c r="A1423" s="87" t="s">
        <v>3928</v>
      </c>
      <c r="B1423" s="107">
        <v>2</v>
      </c>
      <c r="C1423" s="109">
        <v>0.002295950434288344</v>
      </c>
      <c r="D1423" s="107" t="s">
        <v>3502</v>
      </c>
      <c r="E1423" s="107" t="b">
        <v>0</v>
      </c>
      <c r="F1423" s="107" t="b">
        <v>0</v>
      </c>
      <c r="G1423" s="107" t="b">
        <v>0</v>
      </c>
    </row>
    <row r="1424" spans="1:7" ht="15">
      <c r="A1424" s="87" t="s">
        <v>4110</v>
      </c>
      <c r="B1424" s="107">
        <v>2</v>
      </c>
      <c r="C1424" s="109">
        <v>0.002295950434288344</v>
      </c>
      <c r="D1424" s="107" t="s">
        <v>3502</v>
      </c>
      <c r="E1424" s="107" t="b">
        <v>0</v>
      </c>
      <c r="F1424" s="107" t="b">
        <v>0</v>
      </c>
      <c r="G1424" s="107" t="b">
        <v>0</v>
      </c>
    </row>
    <row r="1425" spans="1:7" ht="15">
      <c r="A1425" s="87" t="s">
        <v>4020</v>
      </c>
      <c r="B1425" s="107">
        <v>2</v>
      </c>
      <c r="C1425" s="109">
        <v>0.0027530954542792038</v>
      </c>
      <c r="D1425" s="107" t="s">
        <v>3502</v>
      </c>
      <c r="E1425" s="107" t="b">
        <v>0</v>
      </c>
      <c r="F1425" s="107" t="b">
        <v>0</v>
      </c>
      <c r="G1425" s="107" t="b">
        <v>0</v>
      </c>
    </row>
    <row r="1426" spans="1:7" ht="15">
      <c r="A1426" s="87" t="s">
        <v>3790</v>
      </c>
      <c r="B1426" s="107">
        <v>2</v>
      </c>
      <c r="C1426" s="109">
        <v>0.002295950434288344</v>
      </c>
      <c r="D1426" s="107" t="s">
        <v>3502</v>
      </c>
      <c r="E1426" s="107" t="b">
        <v>0</v>
      </c>
      <c r="F1426" s="107" t="b">
        <v>0</v>
      </c>
      <c r="G1426" s="107" t="b">
        <v>0</v>
      </c>
    </row>
    <row r="1427" spans="1:7" ht="15">
      <c r="A1427" s="87" t="s">
        <v>3726</v>
      </c>
      <c r="B1427" s="107">
        <v>2</v>
      </c>
      <c r="C1427" s="109">
        <v>0.002295950434288344</v>
      </c>
      <c r="D1427" s="107" t="s">
        <v>3502</v>
      </c>
      <c r="E1427" s="107" t="b">
        <v>0</v>
      </c>
      <c r="F1427" s="107" t="b">
        <v>0</v>
      </c>
      <c r="G1427" s="107" t="b">
        <v>0</v>
      </c>
    </row>
    <row r="1428" spans="1:7" ht="15">
      <c r="A1428" s="87" t="s">
        <v>3748</v>
      </c>
      <c r="B1428" s="107">
        <v>2</v>
      </c>
      <c r="C1428" s="109">
        <v>0.0027530954542792038</v>
      </c>
      <c r="D1428" s="107" t="s">
        <v>3502</v>
      </c>
      <c r="E1428" s="107" t="b">
        <v>0</v>
      </c>
      <c r="F1428" s="107" t="b">
        <v>0</v>
      </c>
      <c r="G1428" s="107" t="b">
        <v>0</v>
      </c>
    </row>
    <row r="1429" spans="1:7" ht="15">
      <c r="A1429" s="87" t="s">
        <v>3565</v>
      </c>
      <c r="B1429" s="107">
        <v>2</v>
      </c>
      <c r="C1429" s="109">
        <v>0.002295950434288344</v>
      </c>
      <c r="D1429" s="107" t="s">
        <v>3502</v>
      </c>
      <c r="E1429" s="107" t="b">
        <v>0</v>
      </c>
      <c r="F1429" s="107" t="b">
        <v>0</v>
      </c>
      <c r="G1429" s="107" t="b">
        <v>0</v>
      </c>
    </row>
    <row r="1430" spans="1:7" ht="15">
      <c r="A1430" s="87" t="s">
        <v>4315</v>
      </c>
      <c r="B1430" s="107">
        <v>2</v>
      </c>
      <c r="C1430" s="109">
        <v>0.002295950434288344</v>
      </c>
      <c r="D1430" s="107" t="s">
        <v>3502</v>
      </c>
      <c r="E1430" s="107" t="b">
        <v>0</v>
      </c>
      <c r="F1430" s="107" t="b">
        <v>0</v>
      </c>
      <c r="G1430" s="107" t="b">
        <v>0</v>
      </c>
    </row>
    <row r="1431" spans="1:7" ht="15">
      <c r="A1431" s="87" t="s">
        <v>4309</v>
      </c>
      <c r="B1431" s="107">
        <v>2</v>
      </c>
      <c r="C1431" s="109">
        <v>0.0027530954542792038</v>
      </c>
      <c r="D1431" s="107" t="s">
        <v>3502</v>
      </c>
      <c r="E1431" s="107" t="b">
        <v>0</v>
      </c>
      <c r="F1431" s="107" t="b">
        <v>0</v>
      </c>
      <c r="G1431" s="107" t="b">
        <v>0</v>
      </c>
    </row>
    <row r="1432" spans="1:7" ht="15">
      <c r="A1432" s="87" t="s">
        <v>4139</v>
      </c>
      <c r="B1432" s="107">
        <v>2</v>
      </c>
      <c r="C1432" s="109">
        <v>0.002295950434288344</v>
      </c>
      <c r="D1432" s="107" t="s">
        <v>3502</v>
      </c>
      <c r="E1432" s="107" t="b">
        <v>0</v>
      </c>
      <c r="F1432" s="107" t="b">
        <v>0</v>
      </c>
      <c r="G1432" s="107" t="b">
        <v>0</v>
      </c>
    </row>
    <row r="1433" spans="1:7" ht="15">
      <c r="A1433" s="87" t="s">
        <v>4106</v>
      </c>
      <c r="B1433" s="107">
        <v>2</v>
      </c>
      <c r="C1433" s="109">
        <v>0.002295950434288344</v>
      </c>
      <c r="D1433" s="107" t="s">
        <v>3502</v>
      </c>
      <c r="E1433" s="107" t="b">
        <v>0</v>
      </c>
      <c r="F1433" s="107" t="b">
        <v>0</v>
      </c>
      <c r="G1433" s="107" t="b">
        <v>0</v>
      </c>
    </row>
    <row r="1434" spans="1:7" ht="15">
      <c r="A1434" s="87" t="s">
        <v>3797</v>
      </c>
      <c r="B1434" s="107">
        <v>2</v>
      </c>
      <c r="C1434" s="109">
        <v>0.002295950434288344</v>
      </c>
      <c r="D1434" s="107" t="s">
        <v>3502</v>
      </c>
      <c r="E1434" s="107" t="b">
        <v>0</v>
      </c>
      <c r="F1434" s="107" t="b">
        <v>0</v>
      </c>
      <c r="G1434" s="107" t="b">
        <v>0</v>
      </c>
    </row>
    <row r="1435" spans="1:7" ht="15">
      <c r="A1435" s="87" t="s">
        <v>4352</v>
      </c>
      <c r="B1435" s="107">
        <v>2</v>
      </c>
      <c r="C1435" s="109">
        <v>0.002295950434288344</v>
      </c>
      <c r="D1435" s="107" t="s">
        <v>3502</v>
      </c>
      <c r="E1435" s="107" t="b">
        <v>0</v>
      </c>
      <c r="F1435" s="107" t="b">
        <v>0</v>
      </c>
      <c r="G1435" s="107" t="b">
        <v>0</v>
      </c>
    </row>
    <row r="1436" spans="1:7" ht="15">
      <c r="A1436" s="87" t="s">
        <v>4339</v>
      </c>
      <c r="B1436" s="107">
        <v>2</v>
      </c>
      <c r="C1436" s="109">
        <v>0.002295950434288344</v>
      </c>
      <c r="D1436" s="107" t="s">
        <v>3502</v>
      </c>
      <c r="E1436" s="107" t="b">
        <v>0</v>
      </c>
      <c r="F1436" s="107" t="b">
        <v>0</v>
      </c>
      <c r="G1436" s="107" t="b">
        <v>0</v>
      </c>
    </row>
    <row r="1437" spans="1:7" ht="15">
      <c r="A1437" s="87" t="s">
        <v>4242</v>
      </c>
      <c r="B1437" s="107">
        <v>2</v>
      </c>
      <c r="C1437" s="109">
        <v>0.002295950434288344</v>
      </c>
      <c r="D1437" s="107" t="s">
        <v>3502</v>
      </c>
      <c r="E1437" s="107" t="b">
        <v>0</v>
      </c>
      <c r="F1437" s="107" t="b">
        <v>0</v>
      </c>
      <c r="G1437" s="107" t="b">
        <v>0</v>
      </c>
    </row>
    <row r="1438" spans="1:7" ht="15">
      <c r="A1438" s="87" t="s">
        <v>4223</v>
      </c>
      <c r="B1438" s="107">
        <v>2</v>
      </c>
      <c r="C1438" s="109">
        <v>0.002295950434288344</v>
      </c>
      <c r="D1438" s="107" t="s">
        <v>3502</v>
      </c>
      <c r="E1438" s="107" t="b">
        <v>0</v>
      </c>
      <c r="F1438" s="107" t="b">
        <v>0</v>
      </c>
      <c r="G1438" s="107" t="b">
        <v>0</v>
      </c>
    </row>
    <row r="1439" spans="1:7" ht="15">
      <c r="A1439" s="87" t="s">
        <v>3977</v>
      </c>
      <c r="B1439" s="107">
        <v>2</v>
      </c>
      <c r="C1439" s="109">
        <v>0.002295950434288344</v>
      </c>
      <c r="D1439" s="107" t="s">
        <v>3502</v>
      </c>
      <c r="E1439" s="107" t="b">
        <v>0</v>
      </c>
      <c r="F1439" s="107" t="b">
        <v>1</v>
      </c>
      <c r="G1439" s="107" t="b">
        <v>0</v>
      </c>
    </row>
    <row r="1440" spans="1:7" ht="15">
      <c r="A1440" s="87" t="s">
        <v>4225</v>
      </c>
      <c r="B1440" s="107">
        <v>2</v>
      </c>
      <c r="C1440" s="109">
        <v>0.002295950434288344</v>
      </c>
      <c r="D1440" s="107" t="s">
        <v>3502</v>
      </c>
      <c r="E1440" s="107" t="b">
        <v>0</v>
      </c>
      <c r="F1440" s="107" t="b">
        <v>1</v>
      </c>
      <c r="G1440" s="107" t="b">
        <v>0</v>
      </c>
    </row>
    <row r="1441" spans="1:7" ht="15">
      <c r="A1441" s="87" t="s">
        <v>3882</v>
      </c>
      <c r="B1441" s="107">
        <v>2</v>
      </c>
      <c r="C1441" s="109">
        <v>0.002295950434288344</v>
      </c>
      <c r="D1441" s="107" t="s">
        <v>3502</v>
      </c>
      <c r="E1441" s="107" t="b">
        <v>0</v>
      </c>
      <c r="F1441" s="107" t="b">
        <v>1</v>
      </c>
      <c r="G1441" s="107" t="b">
        <v>0</v>
      </c>
    </row>
    <row r="1442" spans="1:7" ht="15">
      <c r="A1442" s="87" t="s">
        <v>3826</v>
      </c>
      <c r="B1442" s="107">
        <v>2</v>
      </c>
      <c r="C1442" s="109">
        <v>0.002295950434288344</v>
      </c>
      <c r="D1442" s="107" t="s">
        <v>3502</v>
      </c>
      <c r="E1442" s="107" t="b">
        <v>1</v>
      </c>
      <c r="F1442" s="107" t="b">
        <v>0</v>
      </c>
      <c r="G1442" s="107" t="b">
        <v>0</v>
      </c>
    </row>
    <row r="1443" spans="1:7" ht="15">
      <c r="A1443" s="87" t="s">
        <v>4192</v>
      </c>
      <c r="B1443" s="107">
        <v>2</v>
      </c>
      <c r="C1443" s="109">
        <v>0.0027530954542792038</v>
      </c>
      <c r="D1443" s="107" t="s">
        <v>3502</v>
      </c>
      <c r="E1443" s="107" t="b">
        <v>0</v>
      </c>
      <c r="F1443" s="107" t="b">
        <v>0</v>
      </c>
      <c r="G1443" s="107" t="b">
        <v>0</v>
      </c>
    </row>
    <row r="1444" spans="1:7" ht="15">
      <c r="A1444" s="87" t="s">
        <v>3925</v>
      </c>
      <c r="B1444" s="107">
        <v>2</v>
      </c>
      <c r="C1444" s="109">
        <v>0.002295950434288344</v>
      </c>
      <c r="D1444" s="107" t="s">
        <v>3502</v>
      </c>
      <c r="E1444" s="107" t="b">
        <v>0</v>
      </c>
      <c r="F1444" s="107" t="b">
        <v>0</v>
      </c>
      <c r="G1444" s="107" t="b">
        <v>0</v>
      </c>
    </row>
    <row r="1445" spans="1:7" ht="15">
      <c r="A1445" s="87" t="s">
        <v>4152</v>
      </c>
      <c r="B1445" s="107">
        <v>2</v>
      </c>
      <c r="C1445" s="109">
        <v>0.0027530954542792038</v>
      </c>
      <c r="D1445" s="107" t="s">
        <v>3502</v>
      </c>
      <c r="E1445" s="107" t="b">
        <v>0</v>
      </c>
      <c r="F1445" s="107" t="b">
        <v>0</v>
      </c>
      <c r="G1445" s="107" t="b">
        <v>0</v>
      </c>
    </row>
    <row r="1446" spans="1:7" ht="15">
      <c r="A1446" s="87" t="s">
        <v>4149</v>
      </c>
      <c r="B1446" s="107">
        <v>2</v>
      </c>
      <c r="C1446" s="109">
        <v>0.0027530954542792038</v>
      </c>
      <c r="D1446" s="107" t="s">
        <v>3502</v>
      </c>
      <c r="E1446" s="107" t="b">
        <v>0</v>
      </c>
      <c r="F1446" s="107" t="b">
        <v>0</v>
      </c>
      <c r="G1446" s="107" t="b">
        <v>0</v>
      </c>
    </row>
    <row r="1447" spans="1:7" ht="15">
      <c r="A1447" s="87" t="s">
        <v>3795</v>
      </c>
      <c r="B1447" s="107">
        <v>2</v>
      </c>
      <c r="C1447" s="109">
        <v>0.002295950434288344</v>
      </c>
      <c r="D1447" s="107" t="s">
        <v>3502</v>
      </c>
      <c r="E1447" s="107" t="b">
        <v>0</v>
      </c>
      <c r="F1447" s="107" t="b">
        <v>0</v>
      </c>
      <c r="G1447" s="107" t="b">
        <v>0</v>
      </c>
    </row>
    <row r="1448" spans="1:7" ht="15">
      <c r="A1448" s="87" t="s">
        <v>3681</v>
      </c>
      <c r="B1448" s="107">
        <v>2</v>
      </c>
      <c r="C1448" s="109">
        <v>0.002295950434288344</v>
      </c>
      <c r="D1448" s="107" t="s">
        <v>3502</v>
      </c>
      <c r="E1448" s="107" t="b">
        <v>0</v>
      </c>
      <c r="F1448" s="107" t="b">
        <v>0</v>
      </c>
      <c r="G1448" s="107" t="b">
        <v>0</v>
      </c>
    </row>
    <row r="1449" spans="1:7" ht="15">
      <c r="A1449" s="87" t="s">
        <v>3756</v>
      </c>
      <c r="B1449" s="107">
        <v>2</v>
      </c>
      <c r="C1449" s="109">
        <v>0.002295950434288344</v>
      </c>
      <c r="D1449" s="107" t="s">
        <v>3502</v>
      </c>
      <c r="E1449" s="107" t="b">
        <v>0</v>
      </c>
      <c r="F1449" s="107" t="b">
        <v>1</v>
      </c>
      <c r="G1449" s="107" t="b">
        <v>0</v>
      </c>
    </row>
    <row r="1450" spans="1:7" ht="15">
      <c r="A1450" s="87" t="s">
        <v>3782</v>
      </c>
      <c r="B1450" s="107">
        <v>2</v>
      </c>
      <c r="C1450" s="109">
        <v>0.002295950434288344</v>
      </c>
      <c r="D1450" s="107" t="s">
        <v>3502</v>
      </c>
      <c r="E1450" s="107" t="b">
        <v>0</v>
      </c>
      <c r="F1450" s="107" t="b">
        <v>1</v>
      </c>
      <c r="G1450" s="107" t="b">
        <v>0</v>
      </c>
    </row>
    <row r="1451" spans="1:7" ht="15">
      <c r="A1451" s="87" t="s">
        <v>3916</v>
      </c>
      <c r="B1451" s="107">
        <v>2</v>
      </c>
      <c r="C1451" s="109">
        <v>0.002295950434288344</v>
      </c>
      <c r="D1451" s="107" t="s">
        <v>3502</v>
      </c>
      <c r="E1451" s="107" t="b">
        <v>0</v>
      </c>
      <c r="F1451" s="107" t="b">
        <v>0</v>
      </c>
      <c r="G1451" s="107" t="b">
        <v>0</v>
      </c>
    </row>
    <row r="1452" spans="1:7" ht="15">
      <c r="A1452" s="87" t="s">
        <v>3583</v>
      </c>
      <c r="B1452" s="107">
        <v>2</v>
      </c>
      <c r="C1452" s="109">
        <v>0.002295950434288344</v>
      </c>
      <c r="D1452" s="107" t="s">
        <v>3502</v>
      </c>
      <c r="E1452" s="107" t="b">
        <v>0</v>
      </c>
      <c r="F1452" s="107" t="b">
        <v>0</v>
      </c>
      <c r="G1452" s="107" t="b">
        <v>0</v>
      </c>
    </row>
    <row r="1453" spans="1:7" ht="15">
      <c r="A1453" s="87" t="s">
        <v>4208</v>
      </c>
      <c r="B1453" s="107">
        <v>2</v>
      </c>
      <c r="C1453" s="109">
        <v>0.0027530954542792038</v>
      </c>
      <c r="D1453" s="107" t="s">
        <v>3502</v>
      </c>
      <c r="E1453" s="107" t="b">
        <v>0</v>
      </c>
      <c r="F1453" s="107" t="b">
        <v>0</v>
      </c>
      <c r="G1453" s="107" t="b">
        <v>0</v>
      </c>
    </row>
    <row r="1454" spans="1:7" ht="15">
      <c r="A1454" s="87" t="s">
        <v>4159</v>
      </c>
      <c r="B1454" s="107">
        <v>2</v>
      </c>
      <c r="C1454" s="109">
        <v>0.0027530954542792038</v>
      </c>
      <c r="D1454" s="107" t="s">
        <v>3502</v>
      </c>
      <c r="E1454" s="107" t="b">
        <v>0</v>
      </c>
      <c r="F1454" s="107" t="b">
        <v>0</v>
      </c>
      <c r="G1454" s="107" t="b">
        <v>0</v>
      </c>
    </row>
    <row r="1455" spans="1:7" ht="15">
      <c r="A1455" s="87" t="s">
        <v>4056</v>
      </c>
      <c r="B1455" s="107">
        <v>2</v>
      </c>
      <c r="C1455" s="109">
        <v>0.002295950434288344</v>
      </c>
      <c r="D1455" s="107" t="s">
        <v>3502</v>
      </c>
      <c r="E1455" s="107" t="b">
        <v>0</v>
      </c>
      <c r="F1455" s="107" t="b">
        <v>1</v>
      </c>
      <c r="G1455" s="107" t="b">
        <v>0</v>
      </c>
    </row>
    <row r="1456" spans="1:7" ht="15">
      <c r="A1456" s="87" t="s">
        <v>3703</v>
      </c>
      <c r="B1456" s="107">
        <v>2</v>
      </c>
      <c r="C1456" s="109">
        <v>0.002295950434288344</v>
      </c>
      <c r="D1456" s="107" t="s">
        <v>3502</v>
      </c>
      <c r="E1456" s="107" t="b">
        <v>0</v>
      </c>
      <c r="F1456" s="107" t="b">
        <v>0</v>
      </c>
      <c r="G1456" s="107" t="b">
        <v>0</v>
      </c>
    </row>
    <row r="1457" spans="1:7" ht="15">
      <c r="A1457" s="87" t="s">
        <v>4010</v>
      </c>
      <c r="B1457" s="107">
        <v>2</v>
      </c>
      <c r="C1457" s="109">
        <v>0.0027530954542792038</v>
      </c>
      <c r="D1457" s="107" t="s">
        <v>3502</v>
      </c>
      <c r="E1457" s="107" t="b">
        <v>0</v>
      </c>
      <c r="F1457" s="107" t="b">
        <v>0</v>
      </c>
      <c r="G1457" s="107" t="b">
        <v>0</v>
      </c>
    </row>
    <row r="1458" spans="1:7" ht="15">
      <c r="A1458" s="87" t="s">
        <v>4290</v>
      </c>
      <c r="B1458" s="107">
        <v>2</v>
      </c>
      <c r="C1458" s="109">
        <v>0.002295950434288344</v>
      </c>
      <c r="D1458" s="107" t="s">
        <v>3502</v>
      </c>
      <c r="E1458" s="107" t="b">
        <v>0</v>
      </c>
      <c r="F1458" s="107" t="b">
        <v>1</v>
      </c>
      <c r="G1458" s="107" t="b">
        <v>0</v>
      </c>
    </row>
    <row r="1459" spans="1:7" ht="15">
      <c r="A1459" s="87" t="s">
        <v>3590</v>
      </c>
      <c r="B1459" s="107">
        <v>2</v>
      </c>
      <c r="C1459" s="109">
        <v>0.002295950434288344</v>
      </c>
      <c r="D1459" s="107" t="s">
        <v>3502</v>
      </c>
      <c r="E1459" s="107" t="b">
        <v>0</v>
      </c>
      <c r="F1459" s="107" t="b">
        <v>0</v>
      </c>
      <c r="G1459" s="107" t="b">
        <v>0</v>
      </c>
    </row>
    <row r="1460" spans="1:7" ht="15">
      <c r="A1460" s="87" t="s">
        <v>3667</v>
      </c>
      <c r="B1460" s="107">
        <v>2</v>
      </c>
      <c r="C1460" s="109">
        <v>0.002295950434288344</v>
      </c>
      <c r="D1460" s="107" t="s">
        <v>3502</v>
      </c>
      <c r="E1460" s="107" t="b">
        <v>0</v>
      </c>
      <c r="F1460" s="107" t="b">
        <v>0</v>
      </c>
      <c r="G1460" s="107" t="b">
        <v>0</v>
      </c>
    </row>
    <row r="1461" spans="1:7" ht="15">
      <c r="A1461" s="87" t="s">
        <v>4103</v>
      </c>
      <c r="B1461" s="107">
        <v>2</v>
      </c>
      <c r="C1461" s="109">
        <v>0.002295950434288344</v>
      </c>
      <c r="D1461" s="107" t="s">
        <v>3502</v>
      </c>
      <c r="E1461" s="107" t="b">
        <v>0</v>
      </c>
      <c r="F1461" s="107" t="b">
        <v>0</v>
      </c>
      <c r="G1461" s="107" t="b">
        <v>0</v>
      </c>
    </row>
    <row r="1462" spans="1:7" ht="15">
      <c r="A1462" s="87" t="s">
        <v>4332</v>
      </c>
      <c r="B1462" s="107">
        <v>2</v>
      </c>
      <c r="C1462" s="109">
        <v>0.002295950434288344</v>
      </c>
      <c r="D1462" s="107" t="s">
        <v>3502</v>
      </c>
      <c r="E1462" s="107" t="b">
        <v>0</v>
      </c>
      <c r="F1462" s="107" t="b">
        <v>0</v>
      </c>
      <c r="G1462" s="107" t="b">
        <v>0</v>
      </c>
    </row>
    <row r="1463" spans="1:7" ht="15">
      <c r="A1463" s="87" t="s">
        <v>3885</v>
      </c>
      <c r="B1463" s="107">
        <v>2</v>
      </c>
      <c r="C1463" s="109">
        <v>0.0027530954542792038</v>
      </c>
      <c r="D1463" s="107" t="s">
        <v>3502</v>
      </c>
      <c r="E1463" s="107" t="b">
        <v>0</v>
      </c>
      <c r="F1463" s="107" t="b">
        <v>0</v>
      </c>
      <c r="G1463" s="107" t="b">
        <v>0</v>
      </c>
    </row>
    <row r="1464" spans="1:7" ht="15">
      <c r="A1464" s="87" t="s">
        <v>3866</v>
      </c>
      <c r="B1464" s="107">
        <v>2</v>
      </c>
      <c r="C1464" s="109">
        <v>0.002295950434288344</v>
      </c>
      <c r="D1464" s="107" t="s">
        <v>3502</v>
      </c>
      <c r="E1464" s="107" t="b">
        <v>0</v>
      </c>
      <c r="F1464" s="107" t="b">
        <v>0</v>
      </c>
      <c r="G1464" s="107" t="b">
        <v>0</v>
      </c>
    </row>
    <row r="1465" spans="1:7" ht="15">
      <c r="A1465" s="87" t="s">
        <v>3816</v>
      </c>
      <c r="B1465" s="107">
        <v>2</v>
      </c>
      <c r="C1465" s="109">
        <v>0.002295950434288344</v>
      </c>
      <c r="D1465" s="107" t="s">
        <v>3502</v>
      </c>
      <c r="E1465" s="107" t="b">
        <v>1</v>
      </c>
      <c r="F1465" s="107" t="b">
        <v>0</v>
      </c>
      <c r="G1465" s="107" t="b">
        <v>0</v>
      </c>
    </row>
    <row r="1466" spans="1:7" ht="15">
      <c r="A1466" s="87" t="s">
        <v>4023</v>
      </c>
      <c r="B1466" s="107">
        <v>2</v>
      </c>
      <c r="C1466" s="109">
        <v>0.002295950434288344</v>
      </c>
      <c r="D1466" s="107" t="s">
        <v>3502</v>
      </c>
      <c r="E1466" s="107" t="b">
        <v>0</v>
      </c>
      <c r="F1466" s="107" t="b">
        <v>0</v>
      </c>
      <c r="G1466" s="107" t="b">
        <v>0</v>
      </c>
    </row>
    <row r="1467" spans="1:7" ht="15">
      <c r="A1467" s="87" t="s">
        <v>3684</v>
      </c>
      <c r="B1467" s="107">
        <v>2</v>
      </c>
      <c r="C1467" s="109">
        <v>0.002295950434288344</v>
      </c>
      <c r="D1467" s="107" t="s">
        <v>3502</v>
      </c>
      <c r="E1467" s="107" t="b">
        <v>0</v>
      </c>
      <c r="F1467" s="107" t="b">
        <v>0</v>
      </c>
      <c r="G1467" s="107" t="b">
        <v>0</v>
      </c>
    </row>
    <row r="1468" spans="1:7" ht="15">
      <c r="A1468" s="87" t="s">
        <v>4221</v>
      </c>
      <c r="B1468" s="107">
        <v>2</v>
      </c>
      <c r="C1468" s="109">
        <v>0.0027530954542792038</v>
      </c>
      <c r="D1468" s="107" t="s">
        <v>3502</v>
      </c>
      <c r="E1468" s="107" t="b">
        <v>0</v>
      </c>
      <c r="F1468" s="107" t="b">
        <v>0</v>
      </c>
      <c r="G1468" s="107" t="b">
        <v>0</v>
      </c>
    </row>
    <row r="1469" spans="1:7" ht="15">
      <c r="A1469" s="87" t="s">
        <v>3613</v>
      </c>
      <c r="B1469" s="107">
        <v>2</v>
      </c>
      <c r="C1469" s="109">
        <v>0.002295950434288344</v>
      </c>
      <c r="D1469" s="107" t="s">
        <v>3502</v>
      </c>
      <c r="E1469" s="107" t="b">
        <v>0</v>
      </c>
      <c r="F1469" s="107" t="b">
        <v>0</v>
      </c>
      <c r="G1469" s="107" t="b">
        <v>0</v>
      </c>
    </row>
    <row r="1470" spans="1:7" ht="15">
      <c r="A1470" s="87" t="s">
        <v>3886</v>
      </c>
      <c r="B1470" s="107">
        <v>2</v>
      </c>
      <c r="C1470" s="109">
        <v>0.002295950434288344</v>
      </c>
      <c r="D1470" s="107" t="s">
        <v>3502</v>
      </c>
      <c r="E1470" s="107" t="b">
        <v>0</v>
      </c>
      <c r="F1470" s="107" t="b">
        <v>0</v>
      </c>
      <c r="G1470" s="107" t="b">
        <v>0</v>
      </c>
    </row>
    <row r="1471" spans="1:7" ht="15">
      <c r="A1471" s="87" t="s">
        <v>3540</v>
      </c>
      <c r="B1471" s="107">
        <v>2</v>
      </c>
      <c r="C1471" s="109">
        <v>0.002295950434288344</v>
      </c>
      <c r="D1471" s="107" t="s">
        <v>3502</v>
      </c>
      <c r="E1471" s="107" t="b">
        <v>0</v>
      </c>
      <c r="F1471" s="107" t="b">
        <v>0</v>
      </c>
      <c r="G1471" s="107" t="b">
        <v>0</v>
      </c>
    </row>
    <row r="1472" spans="1:7" ht="15">
      <c r="A1472" s="87" t="s">
        <v>4047</v>
      </c>
      <c r="B1472" s="107">
        <v>2</v>
      </c>
      <c r="C1472" s="109">
        <v>0.0027530954542792038</v>
      </c>
      <c r="D1472" s="107" t="s">
        <v>3502</v>
      </c>
      <c r="E1472" s="107" t="b">
        <v>0</v>
      </c>
      <c r="F1472" s="107" t="b">
        <v>0</v>
      </c>
      <c r="G1472" s="107" t="b">
        <v>0</v>
      </c>
    </row>
    <row r="1473" spans="1:7" ht="15">
      <c r="A1473" s="87" t="s">
        <v>4099</v>
      </c>
      <c r="B1473" s="107">
        <v>2</v>
      </c>
      <c r="C1473" s="109">
        <v>0.002295950434288344</v>
      </c>
      <c r="D1473" s="107" t="s">
        <v>3502</v>
      </c>
      <c r="E1473" s="107" t="b">
        <v>0</v>
      </c>
      <c r="F1473" s="107" t="b">
        <v>0</v>
      </c>
      <c r="G1473" s="107" t="b">
        <v>0</v>
      </c>
    </row>
    <row r="1474" spans="1:7" ht="15">
      <c r="A1474" s="87" t="s">
        <v>4037</v>
      </c>
      <c r="B1474" s="107">
        <v>2</v>
      </c>
      <c r="C1474" s="109">
        <v>0.002295950434288344</v>
      </c>
      <c r="D1474" s="107" t="s">
        <v>3502</v>
      </c>
      <c r="E1474" s="107" t="b">
        <v>1</v>
      </c>
      <c r="F1474" s="107" t="b">
        <v>0</v>
      </c>
      <c r="G1474" s="107" t="b">
        <v>0</v>
      </c>
    </row>
    <row r="1475" spans="1:7" ht="15">
      <c r="A1475" s="87" t="s">
        <v>3628</v>
      </c>
      <c r="B1475" s="107">
        <v>2</v>
      </c>
      <c r="C1475" s="109">
        <v>0.002295950434288344</v>
      </c>
      <c r="D1475" s="107" t="s">
        <v>3502</v>
      </c>
      <c r="E1475" s="107" t="b">
        <v>0</v>
      </c>
      <c r="F1475" s="107" t="b">
        <v>0</v>
      </c>
      <c r="G1475" s="107" t="b">
        <v>0</v>
      </c>
    </row>
    <row r="1476" spans="1:7" ht="15">
      <c r="A1476" s="87" t="s">
        <v>4101</v>
      </c>
      <c r="B1476" s="107">
        <v>2</v>
      </c>
      <c r="C1476" s="109">
        <v>0.002295950434288344</v>
      </c>
      <c r="D1476" s="107" t="s">
        <v>3502</v>
      </c>
      <c r="E1476" s="107" t="b">
        <v>0</v>
      </c>
      <c r="F1476" s="107" t="b">
        <v>0</v>
      </c>
      <c r="G1476" s="107" t="b">
        <v>0</v>
      </c>
    </row>
    <row r="1477" spans="1:7" ht="15">
      <c r="A1477" s="87" t="s">
        <v>3779</v>
      </c>
      <c r="B1477" s="107">
        <v>2</v>
      </c>
      <c r="C1477" s="109">
        <v>0.002295950434288344</v>
      </c>
      <c r="D1477" s="107" t="s">
        <v>3502</v>
      </c>
      <c r="E1477" s="107" t="b">
        <v>0</v>
      </c>
      <c r="F1477" s="107" t="b">
        <v>0</v>
      </c>
      <c r="G1477" s="107" t="b">
        <v>0</v>
      </c>
    </row>
    <row r="1478" spans="1:7" ht="15">
      <c r="A1478" s="87" t="s">
        <v>3663</v>
      </c>
      <c r="B1478" s="107">
        <v>2</v>
      </c>
      <c r="C1478" s="109">
        <v>0.002295950434288344</v>
      </c>
      <c r="D1478" s="107" t="s">
        <v>3502</v>
      </c>
      <c r="E1478" s="107" t="b">
        <v>0</v>
      </c>
      <c r="F1478" s="107" t="b">
        <v>0</v>
      </c>
      <c r="G1478" s="107" t="b">
        <v>0</v>
      </c>
    </row>
    <row r="1479" spans="1:7" ht="15">
      <c r="A1479" s="87" t="s">
        <v>4202</v>
      </c>
      <c r="B1479" s="107">
        <v>2</v>
      </c>
      <c r="C1479" s="109">
        <v>0.0027530954542792038</v>
      </c>
      <c r="D1479" s="107" t="s">
        <v>3502</v>
      </c>
      <c r="E1479" s="107" t="b">
        <v>0</v>
      </c>
      <c r="F1479" s="107" t="b">
        <v>0</v>
      </c>
      <c r="G1479" s="107" t="b">
        <v>0</v>
      </c>
    </row>
    <row r="1480" spans="1:7" ht="15">
      <c r="A1480" s="87" t="s">
        <v>3996</v>
      </c>
      <c r="B1480" s="107">
        <v>2</v>
      </c>
      <c r="C1480" s="109">
        <v>0.0027530954542792038</v>
      </c>
      <c r="D1480" s="107" t="s">
        <v>3502</v>
      </c>
      <c r="E1480" s="107" t="b">
        <v>0</v>
      </c>
      <c r="F1480" s="107" t="b">
        <v>0</v>
      </c>
      <c r="G1480" s="107" t="b">
        <v>0</v>
      </c>
    </row>
    <row r="1481" spans="1:7" ht="15">
      <c r="A1481" s="87" t="s">
        <v>3944</v>
      </c>
      <c r="B1481" s="107">
        <v>2</v>
      </c>
      <c r="C1481" s="109">
        <v>0.0027530954542792038</v>
      </c>
      <c r="D1481" s="107" t="s">
        <v>3502</v>
      </c>
      <c r="E1481" s="107" t="b">
        <v>0</v>
      </c>
      <c r="F1481" s="107" t="b">
        <v>0</v>
      </c>
      <c r="G1481" s="107" t="b">
        <v>0</v>
      </c>
    </row>
    <row r="1482" spans="1:7" ht="15">
      <c r="A1482" s="87" t="s">
        <v>3836</v>
      </c>
      <c r="B1482" s="107">
        <v>2</v>
      </c>
      <c r="C1482" s="109">
        <v>0.002295950434288344</v>
      </c>
      <c r="D1482" s="107" t="s">
        <v>3502</v>
      </c>
      <c r="E1482" s="107" t="b">
        <v>0</v>
      </c>
      <c r="F1482" s="107" t="b">
        <v>0</v>
      </c>
      <c r="G1482" s="107" t="b">
        <v>0</v>
      </c>
    </row>
    <row r="1483" spans="1:7" ht="15">
      <c r="A1483" s="87" t="s">
        <v>3616</v>
      </c>
      <c r="B1483" s="107">
        <v>2</v>
      </c>
      <c r="C1483" s="109">
        <v>0.002295950434288344</v>
      </c>
      <c r="D1483" s="107" t="s">
        <v>3502</v>
      </c>
      <c r="E1483" s="107" t="b">
        <v>0</v>
      </c>
      <c r="F1483" s="107" t="b">
        <v>0</v>
      </c>
      <c r="G1483" s="107" t="b">
        <v>0</v>
      </c>
    </row>
    <row r="1484" spans="1:7" ht="15">
      <c r="A1484" s="87" t="s">
        <v>4252</v>
      </c>
      <c r="B1484" s="107">
        <v>2</v>
      </c>
      <c r="C1484" s="109">
        <v>0.002295950434288344</v>
      </c>
      <c r="D1484" s="107" t="s">
        <v>3502</v>
      </c>
      <c r="E1484" s="107" t="b">
        <v>0</v>
      </c>
      <c r="F1484" s="107" t="b">
        <v>0</v>
      </c>
      <c r="G1484" s="107" t="b">
        <v>0</v>
      </c>
    </row>
    <row r="1485" spans="1:7" ht="15">
      <c r="A1485" s="87" t="s">
        <v>4028</v>
      </c>
      <c r="B1485" s="107">
        <v>2</v>
      </c>
      <c r="C1485" s="109">
        <v>0.002295950434288344</v>
      </c>
      <c r="D1485" s="107" t="s">
        <v>3502</v>
      </c>
      <c r="E1485" s="107" t="b">
        <v>0</v>
      </c>
      <c r="F1485" s="107" t="b">
        <v>0</v>
      </c>
      <c r="G1485" s="107" t="b">
        <v>0</v>
      </c>
    </row>
    <row r="1486" spans="1:7" ht="15">
      <c r="A1486" s="87" t="s">
        <v>3664</v>
      </c>
      <c r="B1486" s="107">
        <v>2</v>
      </c>
      <c r="C1486" s="109">
        <v>0.002295950434288344</v>
      </c>
      <c r="D1486" s="107" t="s">
        <v>3502</v>
      </c>
      <c r="E1486" s="107" t="b">
        <v>0</v>
      </c>
      <c r="F1486" s="107" t="b">
        <v>0</v>
      </c>
      <c r="G1486" s="107" t="b">
        <v>0</v>
      </c>
    </row>
    <row r="1487" spans="1:7" ht="15">
      <c r="A1487" s="87" t="s">
        <v>3683</v>
      </c>
      <c r="B1487" s="107">
        <v>2</v>
      </c>
      <c r="C1487" s="109">
        <v>0.0027530954542792038</v>
      </c>
      <c r="D1487" s="107" t="s">
        <v>3502</v>
      </c>
      <c r="E1487" s="107" t="b">
        <v>0</v>
      </c>
      <c r="F1487" s="107" t="b">
        <v>0</v>
      </c>
      <c r="G1487" s="107" t="b">
        <v>0</v>
      </c>
    </row>
    <row r="1488" spans="1:7" ht="15">
      <c r="A1488" s="87" t="s">
        <v>4097</v>
      </c>
      <c r="B1488" s="107">
        <v>2</v>
      </c>
      <c r="C1488" s="109">
        <v>0.002295950434288344</v>
      </c>
      <c r="D1488" s="107" t="s">
        <v>3502</v>
      </c>
      <c r="E1488" s="107" t="b">
        <v>0</v>
      </c>
      <c r="F1488" s="107" t="b">
        <v>0</v>
      </c>
      <c r="G1488" s="107" t="b">
        <v>0</v>
      </c>
    </row>
    <row r="1489" spans="1:7" ht="15">
      <c r="A1489" s="87" t="s">
        <v>3677</v>
      </c>
      <c r="B1489" s="107">
        <v>2</v>
      </c>
      <c r="C1489" s="109">
        <v>0.002295950434288344</v>
      </c>
      <c r="D1489" s="107" t="s">
        <v>3502</v>
      </c>
      <c r="E1489" s="107" t="b">
        <v>0</v>
      </c>
      <c r="F1489" s="107" t="b">
        <v>0</v>
      </c>
      <c r="G1489" s="107" t="b">
        <v>0</v>
      </c>
    </row>
    <row r="1490" spans="1:7" ht="15">
      <c r="A1490" s="87" t="s">
        <v>4082</v>
      </c>
      <c r="B1490" s="107">
        <v>2</v>
      </c>
      <c r="C1490" s="109">
        <v>0.002295950434288344</v>
      </c>
      <c r="D1490" s="107" t="s">
        <v>3502</v>
      </c>
      <c r="E1490" s="107" t="b">
        <v>0</v>
      </c>
      <c r="F1490" s="107" t="b">
        <v>0</v>
      </c>
      <c r="G1490" s="107" t="b">
        <v>0</v>
      </c>
    </row>
    <row r="1491" spans="1:7" ht="15">
      <c r="A1491" s="87" t="s">
        <v>3617</v>
      </c>
      <c r="B1491" s="107">
        <v>2</v>
      </c>
      <c r="C1491" s="109">
        <v>0.002295950434288344</v>
      </c>
      <c r="D1491" s="107" t="s">
        <v>3502</v>
      </c>
      <c r="E1491" s="107" t="b">
        <v>0</v>
      </c>
      <c r="F1491" s="107" t="b">
        <v>0</v>
      </c>
      <c r="G1491" s="107" t="b">
        <v>0</v>
      </c>
    </row>
    <row r="1492" spans="1:7" ht="15">
      <c r="A1492" s="87" t="s">
        <v>3742</v>
      </c>
      <c r="B1492" s="107">
        <v>2</v>
      </c>
      <c r="C1492" s="109">
        <v>0.002295950434288344</v>
      </c>
      <c r="D1492" s="107" t="s">
        <v>3502</v>
      </c>
      <c r="E1492" s="107" t="b">
        <v>0</v>
      </c>
      <c r="F1492" s="107" t="b">
        <v>1</v>
      </c>
      <c r="G1492" s="107" t="b">
        <v>0</v>
      </c>
    </row>
    <row r="1493" spans="1:7" ht="15">
      <c r="A1493" s="87" t="s">
        <v>4077</v>
      </c>
      <c r="B1493" s="107">
        <v>2</v>
      </c>
      <c r="C1493" s="109">
        <v>0.0027530954542792038</v>
      </c>
      <c r="D1493" s="107" t="s">
        <v>3502</v>
      </c>
      <c r="E1493" s="107" t="b">
        <v>0</v>
      </c>
      <c r="F1493" s="107" t="b">
        <v>0</v>
      </c>
      <c r="G1493" s="107" t="b">
        <v>0</v>
      </c>
    </row>
    <row r="1494" spans="1:7" ht="15">
      <c r="A1494" s="87" t="s">
        <v>4207</v>
      </c>
      <c r="B1494" s="107">
        <v>2</v>
      </c>
      <c r="C1494" s="109">
        <v>0.0027530954542792038</v>
      </c>
      <c r="D1494" s="107" t="s">
        <v>3502</v>
      </c>
      <c r="E1494" s="107" t="b">
        <v>0</v>
      </c>
      <c r="F1494" s="107" t="b">
        <v>0</v>
      </c>
      <c r="G1494" s="107" t="b">
        <v>0</v>
      </c>
    </row>
    <row r="1495" spans="1:7" ht="15">
      <c r="A1495" s="87" t="s">
        <v>3558</v>
      </c>
      <c r="B1495" s="107">
        <v>2</v>
      </c>
      <c r="C1495" s="109">
        <v>0.002295950434288344</v>
      </c>
      <c r="D1495" s="107" t="s">
        <v>3502</v>
      </c>
      <c r="E1495" s="107" t="b">
        <v>0</v>
      </c>
      <c r="F1495" s="107" t="b">
        <v>0</v>
      </c>
      <c r="G1495" s="107" t="b">
        <v>0</v>
      </c>
    </row>
    <row r="1496" spans="1:7" ht="15">
      <c r="A1496" s="87" t="s">
        <v>4320</v>
      </c>
      <c r="B1496" s="107">
        <v>2</v>
      </c>
      <c r="C1496" s="109">
        <v>0.0027530954542792038</v>
      </c>
      <c r="D1496" s="107" t="s">
        <v>3502</v>
      </c>
      <c r="E1496" s="107" t="b">
        <v>0</v>
      </c>
      <c r="F1496" s="107" t="b">
        <v>1</v>
      </c>
      <c r="G1496" s="107" t="b">
        <v>0</v>
      </c>
    </row>
    <row r="1497" spans="1:7" ht="15">
      <c r="A1497" s="87" t="s">
        <v>4063</v>
      </c>
      <c r="B1497" s="107">
        <v>2</v>
      </c>
      <c r="C1497" s="109">
        <v>0.0027530954542792038</v>
      </c>
      <c r="D1497" s="107" t="s">
        <v>3502</v>
      </c>
      <c r="E1497" s="107" t="b">
        <v>0</v>
      </c>
      <c r="F1497" s="107" t="b">
        <v>0</v>
      </c>
      <c r="G1497" s="107" t="b">
        <v>0</v>
      </c>
    </row>
    <row r="1498" spans="1:7" ht="15">
      <c r="A1498" s="87" t="s">
        <v>4233</v>
      </c>
      <c r="B1498" s="107">
        <v>2</v>
      </c>
      <c r="C1498" s="109">
        <v>0.002295950434288344</v>
      </c>
      <c r="D1498" s="107" t="s">
        <v>3502</v>
      </c>
      <c r="E1498" s="107" t="b">
        <v>0</v>
      </c>
      <c r="F1498" s="107" t="b">
        <v>1</v>
      </c>
      <c r="G1498" s="107" t="b">
        <v>0</v>
      </c>
    </row>
    <row r="1499" spans="1:7" ht="15">
      <c r="A1499" s="87" t="s">
        <v>4019</v>
      </c>
      <c r="B1499" s="107">
        <v>2</v>
      </c>
      <c r="C1499" s="109">
        <v>0.0027530954542792038</v>
      </c>
      <c r="D1499" s="107" t="s">
        <v>3502</v>
      </c>
      <c r="E1499" s="107" t="b">
        <v>0</v>
      </c>
      <c r="F1499" s="107" t="b">
        <v>0</v>
      </c>
      <c r="G1499" s="107" t="b">
        <v>0</v>
      </c>
    </row>
    <row r="1500" spans="1:7" ht="15">
      <c r="A1500" s="87" t="s">
        <v>2942</v>
      </c>
      <c r="B1500" s="107">
        <v>2</v>
      </c>
      <c r="C1500" s="109">
        <v>0.0027530954542792038</v>
      </c>
      <c r="D1500" s="107" t="s">
        <v>3502</v>
      </c>
      <c r="E1500" s="107" t="b">
        <v>0</v>
      </c>
      <c r="F1500" s="107" t="b">
        <v>1</v>
      </c>
      <c r="G1500" s="107" t="b">
        <v>0</v>
      </c>
    </row>
    <row r="1501" spans="1:7" ht="15">
      <c r="A1501" s="87" t="s">
        <v>4040</v>
      </c>
      <c r="B1501" s="107">
        <v>2</v>
      </c>
      <c r="C1501" s="109">
        <v>0.002295950434288344</v>
      </c>
      <c r="D1501" s="107" t="s">
        <v>3502</v>
      </c>
      <c r="E1501" s="107" t="b">
        <v>0</v>
      </c>
      <c r="F1501" s="107" t="b">
        <v>0</v>
      </c>
      <c r="G1501" s="107" t="b">
        <v>0</v>
      </c>
    </row>
    <row r="1502" spans="1:7" ht="15">
      <c r="A1502" s="87" t="s">
        <v>3966</v>
      </c>
      <c r="B1502" s="107">
        <v>2</v>
      </c>
      <c r="C1502" s="109">
        <v>0.0027530954542792038</v>
      </c>
      <c r="D1502" s="107" t="s">
        <v>3502</v>
      </c>
      <c r="E1502" s="107" t="b">
        <v>0</v>
      </c>
      <c r="F1502" s="107" t="b">
        <v>1</v>
      </c>
      <c r="G1502" s="107" t="b">
        <v>0</v>
      </c>
    </row>
    <row r="1503" spans="1:7" ht="15">
      <c r="A1503" s="87" t="s">
        <v>4343</v>
      </c>
      <c r="B1503" s="107">
        <v>2</v>
      </c>
      <c r="C1503" s="109">
        <v>0.002295950434288344</v>
      </c>
      <c r="D1503" s="107" t="s">
        <v>3502</v>
      </c>
      <c r="E1503" s="107" t="b">
        <v>0</v>
      </c>
      <c r="F1503" s="107" t="b">
        <v>0</v>
      </c>
      <c r="G1503" s="107" t="b">
        <v>0</v>
      </c>
    </row>
    <row r="1504" spans="1:7" ht="15">
      <c r="A1504" s="87" t="s">
        <v>4338</v>
      </c>
      <c r="B1504" s="107">
        <v>2</v>
      </c>
      <c r="C1504" s="109">
        <v>0.0027530954542792038</v>
      </c>
      <c r="D1504" s="107" t="s">
        <v>3502</v>
      </c>
      <c r="E1504" s="107" t="b">
        <v>0</v>
      </c>
      <c r="F1504" s="107" t="b">
        <v>0</v>
      </c>
      <c r="G1504" s="107" t="b">
        <v>0</v>
      </c>
    </row>
    <row r="1505" spans="1:7" ht="15">
      <c r="A1505" s="87" t="s">
        <v>4317</v>
      </c>
      <c r="B1505" s="107">
        <v>2</v>
      </c>
      <c r="C1505" s="109">
        <v>0.0027530954542792038</v>
      </c>
      <c r="D1505" s="107" t="s">
        <v>3502</v>
      </c>
      <c r="E1505" s="107" t="b">
        <v>0</v>
      </c>
      <c r="F1505" s="107" t="b">
        <v>0</v>
      </c>
      <c r="G1505" s="107" t="b">
        <v>0</v>
      </c>
    </row>
    <row r="1506" spans="1:7" ht="15">
      <c r="A1506" s="87" t="s">
        <v>3701</v>
      </c>
      <c r="B1506" s="107">
        <v>2</v>
      </c>
      <c r="C1506" s="109">
        <v>0.002295950434288344</v>
      </c>
      <c r="D1506" s="107" t="s">
        <v>3502</v>
      </c>
      <c r="E1506" s="107" t="b">
        <v>0</v>
      </c>
      <c r="F1506" s="107" t="b">
        <v>0</v>
      </c>
      <c r="G1506" s="107" t="b">
        <v>0</v>
      </c>
    </row>
    <row r="1507" spans="1:7" ht="15">
      <c r="A1507" s="87" t="s">
        <v>4327</v>
      </c>
      <c r="B1507" s="107">
        <v>2</v>
      </c>
      <c r="C1507" s="109">
        <v>0.002295950434288344</v>
      </c>
      <c r="D1507" s="107" t="s">
        <v>3502</v>
      </c>
      <c r="E1507" s="107" t="b">
        <v>0</v>
      </c>
      <c r="F1507" s="107" t="b">
        <v>0</v>
      </c>
      <c r="G1507" s="107" t="b">
        <v>0</v>
      </c>
    </row>
    <row r="1508" spans="1:7" ht="15">
      <c r="A1508" s="87" t="s">
        <v>3698</v>
      </c>
      <c r="B1508" s="107">
        <v>2</v>
      </c>
      <c r="C1508" s="109">
        <v>0.002295950434288344</v>
      </c>
      <c r="D1508" s="107" t="s">
        <v>3502</v>
      </c>
      <c r="E1508" s="107" t="b">
        <v>0</v>
      </c>
      <c r="F1508" s="107" t="b">
        <v>0</v>
      </c>
      <c r="G1508" s="107" t="b">
        <v>0</v>
      </c>
    </row>
    <row r="1509" spans="1:7" ht="15">
      <c r="A1509" s="87" t="s">
        <v>4256</v>
      </c>
      <c r="B1509" s="107">
        <v>2</v>
      </c>
      <c r="C1509" s="109">
        <v>0.002295950434288344</v>
      </c>
      <c r="D1509" s="107" t="s">
        <v>3502</v>
      </c>
      <c r="E1509" s="107" t="b">
        <v>0</v>
      </c>
      <c r="F1509" s="107" t="b">
        <v>0</v>
      </c>
      <c r="G1509" s="107" t="b">
        <v>0</v>
      </c>
    </row>
    <row r="1510" spans="1:7" ht="15">
      <c r="A1510" s="87" t="s">
        <v>3799</v>
      </c>
      <c r="B1510" s="107">
        <v>2</v>
      </c>
      <c r="C1510" s="109">
        <v>0.002295950434288344</v>
      </c>
      <c r="D1510" s="107" t="s">
        <v>3502</v>
      </c>
      <c r="E1510" s="107" t="b">
        <v>0</v>
      </c>
      <c r="F1510" s="107" t="b">
        <v>0</v>
      </c>
      <c r="G1510" s="107" t="b">
        <v>0</v>
      </c>
    </row>
    <row r="1511" spans="1:7" ht="15">
      <c r="A1511" s="87" t="s">
        <v>3540</v>
      </c>
      <c r="B1511" s="107">
        <v>36</v>
      </c>
      <c r="C1511" s="109">
        <v>0.023935553061166844</v>
      </c>
      <c r="D1511" s="107" t="s">
        <v>3503</v>
      </c>
      <c r="E1511" s="107" t="b">
        <v>0</v>
      </c>
      <c r="F1511" s="107" t="b">
        <v>0</v>
      </c>
      <c r="G1511" s="107" t="b">
        <v>0</v>
      </c>
    </row>
    <row r="1512" spans="1:7" ht="15">
      <c r="A1512" s="87" t="s">
        <v>3538</v>
      </c>
      <c r="B1512" s="107">
        <v>25</v>
      </c>
      <c r="C1512" s="109">
        <v>0.021646979501120378</v>
      </c>
      <c r="D1512" s="107" t="s">
        <v>3503</v>
      </c>
      <c r="E1512" s="107" t="b">
        <v>0</v>
      </c>
      <c r="F1512" s="107" t="b">
        <v>0</v>
      </c>
      <c r="G1512" s="107" t="b">
        <v>0</v>
      </c>
    </row>
    <row r="1513" spans="1:7" ht="15">
      <c r="A1513" s="87" t="s">
        <v>3539</v>
      </c>
      <c r="B1513" s="107">
        <v>18</v>
      </c>
      <c r="C1513" s="109">
        <v>0.02489499461900648</v>
      </c>
      <c r="D1513" s="107" t="s">
        <v>3503</v>
      </c>
      <c r="E1513" s="107" t="b">
        <v>0</v>
      </c>
      <c r="F1513" s="107" t="b">
        <v>0</v>
      </c>
      <c r="G1513" s="107" t="b">
        <v>0</v>
      </c>
    </row>
    <row r="1514" spans="1:7" ht="15">
      <c r="A1514" s="87" t="s">
        <v>3559</v>
      </c>
      <c r="B1514" s="107">
        <v>15</v>
      </c>
      <c r="C1514" s="109">
        <v>0.018741666773243564</v>
      </c>
      <c r="D1514" s="107" t="s">
        <v>3503</v>
      </c>
      <c r="E1514" s="107" t="b">
        <v>0</v>
      </c>
      <c r="F1514" s="107" t="b">
        <v>0</v>
      </c>
      <c r="G1514" s="107" t="b">
        <v>0</v>
      </c>
    </row>
    <row r="1515" spans="1:7" ht="15">
      <c r="A1515" s="87" t="s">
        <v>3564</v>
      </c>
      <c r="B1515" s="107">
        <v>14</v>
      </c>
      <c r="C1515" s="109">
        <v>0.02160973944903316</v>
      </c>
      <c r="D1515" s="107" t="s">
        <v>3503</v>
      </c>
      <c r="E1515" s="107" t="b">
        <v>0</v>
      </c>
      <c r="F1515" s="107" t="b">
        <v>0</v>
      </c>
      <c r="G1515" s="107" t="b">
        <v>0</v>
      </c>
    </row>
    <row r="1516" spans="1:7" ht="15">
      <c r="A1516" s="87" t="s">
        <v>3551</v>
      </c>
      <c r="B1516" s="107">
        <v>12</v>
      </c>
      <c r="C1516" s="109">
        <v>0.0175114185524476</v>
      </c>
      <c r="D1516" s="107" t="s">
        <v>3503</v>
      </c>
      <c r="E1516" s="107" t="b">
        <v>1</v>
      </c>
      <c r="F1516" s="107" t="b">
        <v>0</v>
      </c>
      <c r="G1516" s="107" t="b">
        <v>0</v>
      </c>
    </row>
    <row r="1517" spans="1:7" ht="15">
      <c r="A1517" s="87" t="s">
        <v>3554</v>
      </c>
      <c r="B1517" s="107">
        <v>12</v>
      </c>
      <c r="C1517" s="109">
        <v>0.016596663079337652</v>
      </c>
      <c r="D1517" s="107" t="s">
        <v>3503</v>
      </c>
      <c r="E1517" s="107" t="b">
        <v>0</v>
      </c>
      <c r="F1517" s="107" t="b">
        <v>0</v>
      </c>
      <c r="G1517" s="107" t="b">
        <v>0</v>
      </c>
    </row>
    <row r="1518" spans="1:7" ht="15">
      <c r="A1518" s="87" t="s">
        <v>3552</v>
      </c>
      <c r="B1518" s="107">
        <v>10</v>
      </c>
      <c r="C1518" s="109">
        <v>0.014592848793706334</v>
      </c>
      <c r="D1518" s="107" t="s">
        <v>3503</v>
      </c>
      <c r="E1518" s="107" t="b">
        <v>0</v>
      </c>
      <c r="F1518" s="107" t="b">
        <v>0</v>
      </c>
      <c r="G1518" s="107" t="b">
        <v>0</v>
      </c>
    </row>
    <row r="1519" spans="1:7" ht="15">
      <c r="A1519" s="87" t="s">
        <v>3609</v>
      </c>
      <c r="B1519" s="107">
        <v>9</v>
      </c>
      <c r="C1519" s="109">
        <v>0.013891975360092746</v>
      </c>
      <c r="D1519" s="107" t="s">
        <v>3503</v>
      </c>
      <c r="E1519" s="107" t="b">
        <v>0</v>
      </c>
      <c r="F1519" s="107" t="b">
        <v>0</v>
      </c>
      <c r="G1519" s="107" t="b">
        <v>0</v>
      </c>
    </row>
    <row r="1520" spans="1:7" ht="15">
      <c r="A1520" s="87" t="s">
        <v>2658</v>
      </c>
      <c r="B1520" s="107">
        <v>9</v>
      </c>
      <c r="C1520" s="109">
        <v>0.013891975360092746</v>
      </c>
      <c r="D1520" s="107" t="s">
        <v>3503</v>
      </c>
      <c r="E1520" s="107" t="b">
        <v>0</v>
      </c>
      <c r="F1520" s="107" t="b">
        <v>0</v>
      </c>
      <c r="G1520" s="107" t="b">
        <v>0</v>
      </c>
    </row>
    <row r="1521" spans="1:7" ht="15">
      <c r="A1521" s="87" t="s">
        <v>3586</v>
      </c>
      <c r="B1521" s="107">
        <v>8</v>
      </c>
      <c r="C1521" s="109">
        <v>0.013102050865654663</v>
      </c>
      <c r="D1521" s="107" t="s">
        <v>3503</v>
      </c>
      <c r="E1521" s="107" t="b">
        <v>0</v>
      </c>
      <c r="F1521" s="107" t="b">
        <v>0</v>
      </c>
      <c r="G1521" s="107" t="b">
        <v>0</v>
      </c>
    </row>
    <row r="1522" spans="1:7" ht="15">
      <c r="A1522" s="87" t="s">
        <v>3602</v>
      </c>
      <c r="B1522" s="107">
        <v>7</v>
      </c>
      <c r="C1522" s="109">
        <v>0.013074922787849488</v>
      </c>
      <c r="D1522" s="107" t="s">
        <v>3503</v>
      </c>
      <c r="E1522" s="107" t="b">
        <v>0</v>
      </c>
      <c r="F1522" s="107" t="b">
        <v>0</v>
      </c>
      <c r="G1522" s="107" t="b">
        <v>0</v>
      </c>
    </row>
    <row r="1523" spans="1:7" ht="15">
      <c r="A1523" s="87" t="s">
        <v>3569</v>
      </c>
      <c r="B1523" s="107">
        <v>7</v>
      </c>
      <c r="C1523" s="109">
        <v>0.013074922787849488</v>
      </c>
      <c r="D1523" s="107" t="s">
        <v>3503</v>
      </c>
      <c r="E1523" s="107" t="b">
        <v>0</v>
      </c>
      <c r="F1523" s="107" t="b">
        <v>0</v>
      </c>
      <c r="G1523" s="107" t="b">
        <v>0</v>
      </c>
    </row>
    <row r="1524" spans="1:7" ht="15">
      <c r="A1524" s="87" t="s">
        <v>3676</v>
      </c>
      <c r="B1524" s="107">
        <v>6</v>
      </c>
      <c r="C1524" s="109">
        <v>0.013152836443870622</v>
      </c>
      <c r="D1524" s="107" t="s">
        <v>3503</v>
      </c>
      <c r="E1524" s="107" t="b">
        <v>0</v>
      </c>
      <c r="F1524" s="107" t="b">
        <v>0</v>
      </c>
      <c r="G1524" s="107" t="b">
        <v>0</v>
      </c>
    </row>
    <row r="1525" spans="1:7" ht="15">
      <c r="A1525" s="87" t="s">
        <v>2681</v>
      </c>
      <c r="B1525" s="107">
        <v>6</v>
      </c>
      <c r="C1525" s="109">
        <v>0.014533374969929187</v>
      </c>
      <c r="D1525" s="107" t="s">
        <v>3503</v>
      </c>
      <c r="E1525" s="107" t="b">
        <v>0</v>
      </c>
      <c r="F1525" s="107" t="b">
        <v>1</v>
      </c>
      <c r="G1525" s="107" t="b">
        <v>0</v>
      </c>
    </row>
    <row r="1526" spans="1:7" ht="15">
      <c r="A1526" s="87" t="s">
        <v>3699</v>
      </c>
      <c r="B1526" s="107">
        <v>5</v>
      </c>
      <c r="C1526" s="109">
        <v>0.010068339642377857</v>
      </c>
      <c r="D1526" s="107" t="s">
        <v>3503</v>
      </c>
      <c r="E1526" s="107" t="b">
        <v>0</v>
      </c>
      <c r="F1526" s="107" t="b">
        <v>0</v>
      </c>
      <c r="G1526" s="107" t="b">
        <v>0</v>
      </c>
    </row>
    <row r="1527" spans="1:7" ht="15">
      <c r="A1527" s="87" t="s">
        <v>3616</v>
      </c>
      <c r="B1527" s="107">
        <v>5</v>
      </c>
      <c r="C1527" s="109">
        <v>0.010068339642377857</v>
      </c>
      <c r="D1527" s="107" t="s">
        <v>3503</v>
      </c>
      <c r="E1527" s="107" t="b">
        <v>0</v>
      </c>
      <c r="F1527" s="107" t="b">
        <v>0</v>
      </c>
      <c r="G1527" s="107" t="b">
        <v>0</v>
      </c>
    </row>
    <row r="1528" spans="1:7" ht="15">
      <c r="A1528" s="87" t="s">
        <v>3689</v>
      </c>
      <c r="B1528" s="107">
        <v>5</v>
      </c>
      <c r="C1528" s="109">
        <v>0.010960697036558853</v>
      </c>
      <c r="D1528" s="107" t="s">
        <v>3503</v>
      </c>
      <c r="E1528" s="107" t="b">
        <v>0</v>
      </c>
      <c r="F1528" s="107" t="b">
        <v>0</v>
      </c>
      <c r="G1528" s="107" t="b">
        <v>0</v>
      </c>
    </row>
    <row r="1529" spans="1:7" ht="15">
      <c r="A1529" s="87" t="s">
        <v>3561</v>
      </c>
      <c r="B1529" s="107">
        <v>5</v>
      </c>
      <c r="C1529" s="109">
        <v>0.010068339642377857</v>
      </c>
      <c r="D1529" s="107" t="s">
        <v>3503</v>
      </c>
      <c r="E1529" s="107" t="b">
        <v>0</v>
      </c>
      <c r="F1529" s="107" t="b">
        <v>0</v>
      </c>
      <c r="G1529" s="107" t="b">
        <v>0</v>
      </c>
    </row>
    <row r="1530" spans="1:7" ht="15">
      <c r="A1530" s="87" t="s">
        <v>3669</v>
      </c>
      <c r="B1530" s="107">
        <v>4</v>
      </c>
      <c r="C1530" s="109">
        <v>0.013203622022086586</v>
      </c>
      <c r="D1530" s="107" t="s">
        <v>3503</v>
      </c>
      <c r="E1530" s="107" t="b">
        <v>0</v>
      </c>
      <c r="F1530" s="107" t="b">
        <v>0</v>
      </c>
      <c r="G1530" s="107" t="b">
        <v>0</v>
      </c>
    </row>
    <row r="1531" spans="1:7" ht="15">
      <c r="A1531" s="87" t="s">
        <v>2785</v>
      </c>
      <c r="B1531" s="107">
        <v>4</v>
      </c>
      <c r="C1531" s="109">
        <v>0.008768557629247083</v>
      </c>
      <c r="D1531" s="107" t="s">
        <v>3503</v>
      </c>
      <c r="E1531" s="107" t="b">
        <v>1</v>
      </c>
      <c r="F1531" s="107" t="b">
        <v>0</v>
      </c>
      <c r="G1531" s="107" t="b">
        <v>0</v>
      </c>
    </row>
    <row r="1532" spans="1:7" ht="15">
      <c r="A1532" s="87" t="s">
        <v>3665</v>
      </c>
      <c r="B1532" s="107">
        <v>4</v>
      </c>
      <c r="C1532" s="109">
        <v>0.008768557629247083</v>
      </c>
      <c r="D1532" s="107" t="s">
        <v>3503</v>
      </c>
      <c r="E1532" s="107" t="b">
        <v>0</v>
      </c>
      <c r="F1532" s="107" t="b">
        <v>0</v>
      </c>
      <c r="G1532" s="107" t="b">
        <v>0</v>
      </c>
    </row>
    <row r="1533" spans="1:7" ht="15">
      <c r="A1533" s="87" t="s">
        <v>3820</v>
      </c>
      <c r="B1533" s="107">
        <v>3</v>
      </c>
      <c r="C1533" s="109">
        <v>0.009902716516564939</v>
      </c>
      <c r="D1533" s="107" t="s">
        <v>3503</v>
      </c>
      <c r="E1533" s="107" t="b">
        <v>0</v>
      </c>
      <c r="F1533" s="107" t="b">
        <v>0</v>
      </c>
      <c r="G1533" s="107" t="b">
        <v>0</v>
      </c>
    </row>
    <row r="1534" spans="1:7" ht="15">
      <c r="A1534" s="87" t="s">
        <v>3854</v>
      </c>
      <c r="B1534" s="107">
        <v>3</v>
      </c>
      <c r="C1534" s="109">
        <v>0.007266687484964594</v>
      </c>
      <c r="D1534" s="107" t="s">
        <v>3503</v>
      </c>
      <c r="E1534" s="107" t="b">
        <v>0</v>
      </c>
      <c r="F1534" s="107" t="b">
        <v>0</v>
      </c>
      <c r="G1534" s="107" t="b">
        <v>0</v>
      </c>
    </row>
    <row r="1535" spans="1:7" ht="15">
      <c r="A1535" s="87" t="s">
        <v>3813</v>
      </c>
      <c r="B1535" s="107">
        <v>3</v>
      </c>
      <c r="C1535" s="109">
        <v>0.007266687484964594</v>
      </c>
      <c r="D1535" s="107" t="s">
        <v>3503</v>
      </c>
      <c r="E1535" s="107" t="b">
        <v>0</v>
      </c>
      <c r="F1535" s="107" t="b">
        <v>0</v>
      </c>
      <c r="G1535" s="107" t="b">
        <v>0</v>
      </c>
    </row>
    <row r="1536" spans="1:7" ht="15">
      <c r="A1536" s="87" t="s">
        <v>3947</v>
      </c>
      <c r="B1536" s="107">
        <v>3</v>
      </c>
      <c r="C1536" s="109">
        <v>0.007266687484964594</v>
      </c>
      <c r="D1536" s="107" t="s">
        <v>3503</v>
      </c>
      <c r="E1536" s="107" t="b">
        <v>0</v>
      </c>
      <c r="F1536" s="107" t="b">
        <v>0</v>
      </c>
      <c r="G1536" s="107" t="b">
        <v>0</v>
      </c>
    </row>
    <row r="1537" spans="1:7" ht="15">
      <c r="A1537" s="87" t="s">
        <v>3546</v>
      </c>
      <c r="B1537" s="107">
        <v>3</v>
      </c>
      <c r="C1537" s="109">
        <v>0.007266687484964594</v>
      </c>
      <c r="D1537" s="107" t="s">
        <v>3503</v>
      </c>
      <c r="E1537" s="107" t="b">
        <v>0</v>
      </c>
      <c r="F1537" s="107" t="b">
        <v>0</v>
      </c>
      <c r="G1537" s="107" t="b">
        <v>0</v>
      </c>
    </row>
    <row r="1538" spans="1:7" ht="15">
      <c r="A1538" s="87" t="s">
        <v>3919</v>
      </c>
      <c r="B1538" s="107">
        <v>3</v>
      </c>
      <c r="C1538" s="109">
        <v>0.007266687484964594</v>
      </c>
      <c r="D1538" s="107" t="s">
        <v>3503</v>
      </c>
      <c r="E1538" s="107" t="b">
        <v>0</v>
      </c>
      <c r="F1538" s="107" t="b">
        <v>0</v>
      </c>
      <c r="G1538" s="107" t="b">
        <v>0</v>
      </c>
    </row>
    <row r="1539" spans="1:7" ht="15">
      <c r="A1539" s="87" t="s">
        <v>3710</v>
      </c>
      <c r="B1539" s="107">
        <v>3</v>
      </c>
      <c r="C1539" s="109">
        <v>0.007266687484964594</v>
      </c>
      <c r="D1539" s="107" t="s">
        <v>3503</v>
      </c>
      <c r="E1539" s="107" t="b">
        <v>0</v>
      </c>
      <c r="F1539" s="107" t="b">
        <v>0</v>
      </c>
      <c r="G1539" s="107" t="b">
        <v>0</v>
      </c>
    </row>
    <row r="1540" spans="1:7" ht="15">
      <c r="A1540" s="87" t="s">
        <v>3883</v>
      </c>
      <c r="B1540" s="107">
        <v>3</v>
      </c>
      <c r="C1540" s="109">
        <v>0.007266687484964594</v>
      </c>
      <c r="D1540" s="107" t="s">
        <v>3503</v>
      </c>
      <c r="E1540" s="107" t="b">
        <v>0</v>
      </c>
      <c r="F1540" s="107" t="b">
        <v>0</v>
      </c>
      <c r="G1540" s="107" t="b">
        <v>0</v>
      </c>
    </row>
    <row r="1541" spans="1:7" ht="15">
      <c r="A1541" s="87" t="s">
        <v>3536</v>
      </c>
      <c r="B1541" s="107">
        <v>3</v>
      </c>
      <c r="C1541" s="109">
        <v>0.008239567369250125</v>
      </c>
      <c r="D1541" s="107" t="s">
        <v>3503</v>
      </c>
      <c r="E1541" s="107" t="b">
        <v>0</v>
      </c>
      <c r="F1541" s="107" t="b">
        <v>0</v>
      </c>
      <c r="G1541" s="107" t="b">
        <v>0</v>
      </c>
    </row>
    <row r="1542" spans="1:7" ht="15">
      <c r="A1542" s="87" t="s">
        <v>3558</v>
      </c>
      <c r="B1542" s="107">
        <v>3</v>
      </c>
      <c r="C1542" s="109">
        <v>0.008239567369250125</v>
      </c>
      <c r="D1542" s="107" t="s">
        <v>3503</v>
      </c>
      <c r="E1542" s="107" t="b">
        <v>0</v>
      </c>
      <c r="F1542" s="107" t="b">
        <v>0</v>
      </c>
      <c r="G1542" s="107" t="b">
        <v>0</v>
      </c>
    </row>
    <row r="1543" spans="1:7" ht="15">
      <c r="A1543" s="87" t="s">
        <v>3902</v>
      </c>
      <c r="B1543" s="107">
        <v>3</v>
      </c>
      <c r="C1543" s="109">
        <v>0.007266687484964594</v>
      </c>
      <c r="D1543" s="107" t="s">
        <v>3503</v>
      </c>
      <c r="E1543" s="107" t="b">
        <v>0</v>
      </c>
      <c r="F1543" s="107" t="b">
        <v>0</v>
      </c>
      <c r="G1543" s="107" t="b">
        <v>0</v>
      </c>
    </row>
    <row r="1544" spans="1:7" ht="15">
      <c r="A1544" s="87" t="s">
        <v>3755</v>
      </c>
      <c r="B1544" s="107">
        <v>3</v>
      </c>
      <c r="C1544" s="109">
        <v>0.007266687484964594</v>
      </c>
      <c r="D1544" s="107" t="s">
        <v>3503</v>
      </c>
      <c r="E1544" s="107" t="b">
        <v>0</v>
      </c>
      <c r="F1544" s="107" t="b">
        <v>0</v>
      </c>
      <c r="G1544" s="107" t="b">
        <v>0</v>
      </c>
    </row>
    <row r="1545" spans="1:7" ht="15">
      <c r="A1545" s="87" t="s">
        <v>3698</v>
      </c>
      <c r="B1545" s="107">
        <v>3</v>
      </c>
      <c r="C1545" s="109">
        <v>0.008239567369250125</v>
      </c>
      <c r="D1545" s="107" t="s">
        <v>3503</v>
      </c>
      <c r="E1545" s="107" t="b">
        <v>0</v>
      </c>
      <c r="F1545" s="107" t="b">
        <v>0</v>
      </c>
      <c r="G1545" s="107" t="b">
        <v>0</v>
      </c>
    </row>
    <row r="1546" spans="1:7" ht="15">
      <c r="A1546" s="87" t="s">
        <v>3583</v>
      </c>
      <c r="B1546" s="107">
        <v>3</v>
      </c>
      <c r="C1546" s="109">
        <v>0.007266687484964594</v>
      </c>
      <c r="D1546" s="107" t="s">
        <v>3503</v>
      </c>
      <c r="E1546" s="107" t="b">
        <v>0</v>
      </c>
      <c r="F1546" s="107" t="b">
        <v>0</v>
      </c>
      <c r="G1546" s="107" t="b">
        <v>0</v>
      </c>
    </row>
    <row r="1547" spans="1:7" ht="15">
      <c r="A1547" s="87" t="s">
        <v>3953</v>
      </c>
      <c r="B1547" s="107">
        <v>3</v>
      </c>
      <c r="C1547" s="109">
        <v>0.007266687484964594</v>
      </c>
      <c r="D1547" s="107" t="s">
        <v>3503</v>
      </c>
      <c r="E1547" s="107" t="b">
        <v>0</v>
      </c>
      <c r="F1547" s="107" t="b">
        <v>0</v>
      </c>
      <c r="G1547" s="107" t="b">
        <v>0</v>
      </c>
    </row>
    <row r="1548" spans="1:7" ht="15">
      <c r="A1548" s="87" t="s">
        <v>3542</v>
      </c>
      <c r="B1548" s="107">
        <v>3</v>
      </c>
      <c r="C1548" s="109">
        <v>0.007266687484964594</v>
      </c>
      <c r="D1548" s="107" t="s">
        <v>3503</v>
      </c>
      <c r="E1548" s="107" t="b">
        <v>0</v>
      </c>
      <c r="F1548" s="107" t="b">
        <v>0</v>
      </c>
      <c r="G1548" s="107" t="b">
        <v>0</v>
      </c>
    </row>
    <row r="1549" spans="1:7" ht="15">
      <c r="A1549" s="87" t="s">
        <v>3560</v>
      </c>
      <c r="B1549" s="107">
        <v>3</v>
      </c>
      <c r="C1549" s="109">
        <v>0.009902716516564939</v>
      </c>
      <c r="D1549" s="107" t="s">
        <v>3503</v>
      </c>
      <c r="E1549" s="107" t="b">
        <v>0</v>
      </c>
      <c r="F1549" s="107" t="b">
        <v>0</v>
      </c>
      <c r="G1549" s="107" t="b">
        <v>0</v>
      </c>
    </row>
    <row r="1550" spans="1:7" ht="15">
      <c r="A1550" s="87" t="s">
        <v>3877</v>
      </c>
      <c r="B1550" s="107">
        <v>3</v>
      </c>
      <c r="C1550" s="109">
        <v>0.007266687484964594</v>
      </c>
      <c r="D1550" s="107" t="s">
        <v>3503</v>
      </c>
      <c r="E1550" s="107" t="b">
        <v>0</v>
      </c>
      <c r="F1550" s="107" t="b">
        <v>0</v>
      </c>
      <c r="G1550" s="107" t="b">
        <v>0</v>
      </c>
    </row>
    <row r="1551" spans="1:7" ht="15">
      <c r="A1551" s="87" t="s">
        <v>3895</v>
      </c>
      <c r="B1551" s="107">
        <v>3</v>
      </c>
      <c r="C1551" s="109">
        <v>0.007266687484964594</v>
      </c>
      <c r="D1551" s="107" t="s">
        <v>3503</v>
      </c>
      <c r="E1551" s="107" t="b">
        <v>0</v>
      </c>
      <c r="F1551" s="107" t="b">
        <v>0</v>
      </c>
      <c r="G1551" s="107" t="b">
        <v>0</v>
      </c>
    </row>
    <row r="1552" spans="1:7" ht="15">
      <c r="A1552" s="87" t="s">
        <v>3970</v>
      </c>
      <c r="B1552" s="107">
        <v>2</v>
      </c>
      <c r="C1552" s="109">
        <v>0.005493044912833417</v>
      </c>
      <c r="D1552" s="107" t="s">
        <v>3503</v>
      </c>
      <c r="E1552" s="107" t="b">
        <v>0</v>
      </c>
      <c r="F1552" s="107" t="b">
        <v>0</v>
      </c>
      <c r="G1552" s="107" t="b">
        <v>0</v>
      </c>
    </row>
    <row r="1553" spans="1:7" ht="15">
      <c r="A1553" s="87" t="s">
        <v>2644</v>
      </c>
      <c r="B1553" s="107">
        <v>2</v>
      </c>
      <c r="C1553" s="109">
        <v>0.005493044912833417</v>
      </c>
      <c r="D1553" s="107" t="s">
        <v>3503</v>
      </c>
      <c r="E1553" s="107" t="b">
        <v>0</v>
      </c>
      <c r="F1553" s="107" t="b">
        <v>0</v>
      </c>
      <c r="G1553" s="107" t="b">
        <v>0</v>
      </c>
    </row>
    <row r="1554" spans="1:7" ht="15">
      <c r="A1554" s="87" t="s">
        <v>3667</v>
      </c>
      <c r="B1554" s="107">
        <v>2</v>
      </c>
      <c r="C1554" s="109">
        <v>0.006601811011043293</v>
      </c>
      <c r="D1554" s="107" t="s">
        <v>3503</v>
      </c>
      <c r="E1554" s="107" t="b">
        <v>0</v>
      </c>
      <c r="F1554" s="107" t="b">
        <v>0</v>
      </c>
      <c r="G1554" s="107" t="b">
        <v>0</v>
      </c>
    </row>
    <row r="1555" spans="1:7" ht="15">
      <c r="A1555" s="87" t="s">
        <v>3579</v>
      </c>
      <c r="B1555" s="107">
        <v>2</v>
      </c>
      <c r="C1555" s="109">
        <v>0.006601811011043293</v>
      </c>
      <c r="D1555" s="107" t="s">
        <v>3503</v>
      </c>
      <c r="E1555" s="107" t="b">
        <v>0</v>
      </c>
      <c r="F1555" s="107" t="b">
        <v>0</v>
      </c>
      <c r="G1555" s="107" t="b">
        <v>0</v>
      </c>
    </row>
    <row r="1556" spans="1:7" ht="15">
      <c r="A1556" s="87" t="s">
        <v>4255</v>
      </c>
      <c r="B1556" s="107">
        <v>2</v>
      </c>
      <c r="C1556" s="109">
        <v>0.005493044912833417</v>
      </c>
      <c r="D1556" s="107" t="s">
        <v>3503</v>
      </c>
      <c r="E1556" s="107" t="b">
        <v>0</v>
      </c>
      <c r="F1556" s="107" t="b">
        <v>0</v>
      </c>
      <c r="G1556" s="107" t="b">
        <v>0</v>
      </c>
    </row>
    <row r="1557" spans="1:7" ht="15">
      <c r="A1557" s="87" t="s">
        <v>3582</v>
      </c>
      <c r="B1557" s="107">
        <v>2</v>
      </c>
      <c r="C1557" s="109">
        <v>0.005493044912833417</v>
      </c>
      <c r="D1557" s="107" t="s">
        <v>3503</v>
      </c>
      <c r="E1557" s="107" t="b">
        <v>0</v>
      </c>
      <c r="F1557" s="107" t="b">
        <v>0</v>
      </c>
      <c r="G1557" s="107" t="b">
        <v>0</v>
      </c>
    </row>
    <row r="1558" spans="1:7" ht="15">
      <c r="A1558" s="87" t="s">
        <v>3614</v>
      </c>
      <c r="B1558" s="107">
        <v>2</v>
      </c>
      <c r="C1558" s="109">
        <v>0.005493044912833417</v>
      </c>
      <c r="D1558" s="107" t="s">
        <v>3503</v>
      </c>
      <c r="E1558" s="107" t="b">
        <v>0</v>
      </c>
      <c r="F1558" s="107" t="b">
        <v>1</v>
      </c>
      <c r="G1558" s="107" t="b">
        <v>0</v>
      </c>
    </row>
    <row r="1559" spans="1:7" ht="15">
      <c r="A1559" s="87" t="s">
        <v>4323</v>
      </c>
      <c r="B1559" s="107">
        <v>2</v>
      </c>
      <c r="C1559" s="109">
        <v>0.006601811011043293</v>
      </c>
      <c r="D1559" s="107" t="s">
        <v>3503</v>
      </c>
      <c r="E1559" s="107" t="b">
        <v>0</v>
      </c>
      <c r="F1559" s="107" t="b">
        <v>0</v>
      </c>
      <c r="G1559" s="107" t="b">
        <v>0</v>
      </c>
    </row>
    <row r="1560" spans="1:7" ht="15">
      <c r="A1560" s="87" t="s">
        <v>3991</v>
      </c>
      <c r="B1560" s="107">
        <v>2</v>
      </c>
      <c r="C1560" s="109">
        <v>0.006601811011043293</v>
      </c>
      <c r="D1560" s="107" t="s">
        <v>3503</v>
      </c>
      <c r="E1560" s="107" t="b">
        <v>0</v>
      </c>
      <c r="F1560" s="107" t="b">
        <v>0</v>
      </c>
      <c r="G1560" s="107" t="b">
        <v>0</v>
      </c>
    </row>
    <row r="1561" spans="1:7" ht="15">
      <c r="A1561" s="87" t="s">
        <v>4064</v>
      </c>
      <c r="B1561" s="107">
        <v>2</v>
      </c>
      <c r="C1561" s="109">
        <v>0.005493044912833417</v>
      </c>
      <c r="D1561" s="107" t="s">
        <v>3503</v>
      </c>
      <c r="E1561" s="107" t="b">
        <v>0</v>
      </c>
      <c r="F1561" s="107" t="b">
        <v>0</v>
      </c>
      <c r="G1561" s="107" t="b">
        <v>0</v>
      </c>
    </row>
    <row r="1562" spans="1:7" ht="15">
      <c r="A1562" s="87" t="s">
        <v>3700</v>
      </c>
      <c r="B1562" s="107">
        <v>2</v>
      </c>
      <c r="C1562" s="109">
        <v>0.005493044912833417</v>
      </c>
      <c r="D1562" s="107" t="s">
        <v>3503</v>
      </c>
      <c r="E1562" s="107" t="b">
        <v>0</v>
      </c>
      <c r="F1562" s="107" t="b">
        <v>0</v>
      </c>
      <c r="G1562" s="107" t="b">
        <v>0</v>
      </c>
    </row>
    <row r="1563" spans="1:7" ht="15">
      <c r="A1563" s="87" t="s">
        <v>2893</v>
      </c>
      <c r="B1563" s="107">
        <v>2</v>
      </c>
      <c r="C1563" s="109">
        <v>0.005493044912833417</v>
      </c>
      <c r="D1563" s="107" t="s">
        <v>3503</v>
      </c>
      <c r="E1563" s="107" t="b">
        <v>0</v>
      </c>
      <c r="F1563" s="107" t="b">
        <v>0</v>
      </c>
      <c r="G1563" s="107" t="b">
        <v>0</v>
      </c>
    </row>
    <row r="1564" spans="1:7" ht="15">
      <c r="A1564" s="87" t="s">
        <v>3597</v>
      </c>
      <c r="B1564" s="107">
        <v>2</v>
      </c>
      <c r="C1564" s="109">
        <v>0.005493044912833417</v>
      </c>
      <c r="D1564" s="107" t="s">
        <v>3503</v>
      </c>
      <c r="E1564" s="107" t="b">
        <v>0</v>
      </c>
      <c r="F1564" s="107" t="b">
        <v>0</v>
      </c>
      <c r="G1564" s="107" t="b">
        <v>0</v>
      </c>
    </row>
    <row r="1565" spans="1:7" ht="15">
      <c r="A1565" s="87" t="s">
        <v>3830</v>
      </c>
      <c r="B1565" s="107">
        <v>2</v>
      </c>
      <c r="C1565" s="109">
        <v>0.006601811011043293</v>
      </c>
      <c r="D1565" s="107" t="s">
        <v>3503</v>
      </c>
      <c r="E1565" s="107" t="b">
        <v>0</v>
      </c>
      <c r="F1565" s="107" t="b">
        <v>0</v>
      </c>
      <c r="G1565" s="107" t="b">
        <v>0</v>
      </c>
    </row>
    <row r="1566" spans="1:7" ht="15">
      <c r="A1566" s="87" t="s">
        <v>2632</v>
      </c>
      <c r="B1566" s="107">
        <v>2</v>
      </c>
      <c r="C1566" s="109">
        <v>0.005493044912833417</v>
      </c>
      <c r="D1566" s="107" t="s">
        <v>3503</v>
      </c>
      <c r="E1566" s="107" t="b">
        <v>1</v>
      </c>
      <c r="F1566" s="107" t="b">
        <v>0</v>
      </c>
      <c r="G1566" s="107" t="b">
        <v>0</v>
      </c>
    </row>
    <row r="1567" spans="1:7" ht="15">
      <c r="A1567" s="87" t="s">
        <v>4090</v>
      </c>
      <c r="B1567" s="107">
        <v>2</v>
      </c>
      <c r="C1567" s="109">
        <v>0.006601811011043293</v>
      </c>
      <c r="D1567" s="107" t="s">
        <v>3503</v>
      </c>
      <c r="E1567" s="107" t="b">
        <v>0</v>
      </c>
      <c r="F1567" s="107" t="b">
        <v>0</v>
      </c>
      <c r="G1567" s="107" t="b">
        <v>0</v>
      </c>
    </row>
    <row r="1568" spans="1:7" ht="15">
      <c r="A1568" s="87" t="s">
        <v>4043</v>
      </c>
      <c r="B1568" s="107">
        <v>2</v>
      </c>
      <c r="C1568" s="109">
        <v>0.006601811011043293</v>
      </c>
      <c r="D1568" s="107" t="s">
        <v>3503</v>
      </c>
      <c r="E1568" s="107" t="b">
        <v>1</v>
      </c>
      <c r="F1568" s="107" t="b">
        <v>0</v>
      </c>
      <c r="G1568" s="107" t="b">
        <v>0</v>
      </c>
    </row>
    <row r="1569" spans="1:7" ht="15">
      <c r="A1569" s="87" t="s">
        <v>4084</v>
      </c>
      <c r="B1569" s="107">
        <v>2</v>
      </c>
      <c r="C1569" s="109">
        <v>0.005493044912833417</v>
      </c>
      <c r="D1569" s="107" t="s">
        <v>3503</v>
      </c>
      <c r="E1569" s="107" t="b">
        <v>0</v>
      </c>
      <c r="F1569" s="107" t="b">
        <v>1</v>
      </c>
      <c r="G1569" s="107" t="b">
        <v>0</v>
      </c>
    </row>
    <row r="1570" spans="1:7" ht="15">
      <c r="A1570" s="87" t="s">
        <v>4194</v>
      </c>
      <c r="B1570" s="107">
        <v>2</v>
      </c>
      <c r="C1570" s="109">
        <v>0.006601811011043293</v>
      </c>
      <c r="D1570" s="107" t="s">
        <v>3503</v>
      </c>
      <c r="E1570" s="107" t="b">
        <v>0</v>
      </c>
      <c r="F1570" s="107" t="b">
        <v>0</v>
      </c>
      <c r="G1570" s="107" t="b">
        <v>0</v>
      </c>
    </row>
    <row r="1571" spans="1:7" ht="15">
      <c r="A1571" s="87" t="s">
        <v>3615</v>
      </c>
      <c r="B1571" s="107">
        <v>2</v>
      </c>
      <c r="C1571" s="109">
        <v>0.005493044912833417</v>
      </c>
      <c r="D1571" s="107" t="s">
        <v>3503</v>
      </c>
      <c r="E1571" s="107" t="b">
        <v>0</v>
      </c>
      <c r="F1571" s="107" t="b">
        <v>0</v>
      </c>
      <c r="G1571" s="107" t="b">
        <v>0</v>
      </c>
    </row>
    <row r="1572" spans="1:7" ht="15">
      <c r="A1572" s="87" t="s">
        <v>3687</v>
      </c>
      <c r="B1572" s="107">
        <v>2</v>
      </c>
      <c r="C1572" s="109">
        <v>0.005493044912833417</v>
      </c>
      <c r="D1572" s="107" t="s">
        <v>3503</v>
      </c>
      <c r="E1572" s="107" t="b">
        <v>0</v>
      </c>
      <c r="F1572" s="107" t="b">
        <v>0</v>
      </c>
      <c r="G1572" s="107" t="b">
        <v>0</v>
      </c>
    </row>
    <row r="1573" spans="1:7" ht="15">
      <c r="A1573" s="87" t="s">
        <v>3656</v>
      </c>
      <c r="B1573" s="107">
        <v>2</v>
      </c>
      <c r="C1573" s="109">
        <v>0.006601811011043293</v>
      </c>
      <c r="D1573" s="107" t="s">
        <v>3503</v>
      </c>
      <c r="E1573" s="107" t="b">
        <v>0</v>
      </c>
      <c r="F1573" s="107" t="b">
        <v>0</v>
      </c>
      <c r="G1573" s="107" t="b">
        <v>0</v>
      </c>
    </row>
    <row r="1574" spans="1:7" ht="15">
      <c r="A1574" s="87" t="s">
        <v>3653</v>
      </c>
      <c r="B1574" s="107">
        <v>2</v>
      </c>
      <c r="C1574" s="109">
        <v>0.006601811011043293</v>
      </c>
      <c r="D1574" s="107" t="s">
        <v>3503</v>
      </c>
      <c r="E1574" s="107" t="b">
        <v>0</v>
      </c>
      <c r="F1574" s="107" t="b">
        <v>0</v>
      </c>
      <c r="G1574" s="107" t="b">
        <v>0</v>
      </c>
    </row>
    <row r="1575" spans="1:7" ht="15">
      <c r="A1575" s="87" t="s">
        <v>4281</v>
      </c>
      <c r="B1575" s="107">
        <v>2</v>
      </c>
      <c r="C1575" s="109">
        <v>0.006601811011043293</v>
      </c>
      <c r="D1575" s="107" t="s">
        <v>3503</v>
      </c>
      <c r="E1575" s="107" t="b">
        <v>0</v>
      </c>
      <c r="F1575" s="107" t="b">
        <v>0</v>
      </c>
      <c r="G1575" s="107" t="b">
        <v>0</v>
      </c>
    </row>
    <row r="1576" spans="1:7" ht="15">
      <c r="A1576" s="87" t="s">
        <v>4341</v>
      </c>
      <c r="B1576" s="107">
        <v>2</v>
      </c>
      <c r="C1576" s="109">
        <v>0.006601811011043293</v>
      </c>
      <c r="D1576" s="107" t="s">
        <v>3503</v>
      </c>
      <c r="E1576" s="107" t="b">
        <v>0</v>
      </c>
      <c r="F1576" s="107" t="b">
        <v>1</v>
      </c>
      <c r="G1576" s="107" t="b">
        <v>0</v>
      </c>
    </row>
    <row r="1577" spans="1:7" ht="15">
      <c r="A1577" s="87" t="s">
        <v>4236</v>
      </c>
      <c r="B1577" s="107">
        <v>2</v>
      </c>
      <c r="C1577" s="109">
        <v>0.005493044912833417</v>
      </c>
      <c r="D1577" s="107" t="s">
        <v>3503</v>
      </c>
      <c r="E1577" s="107" t="b">
        <v>0</v>
      </c>
      <c r="F1577" s="107" t="b">
        <v>0</v>
      </c>
      <c r="G1577" s="107" t="b">
        <v>0</v>
      </c>
    </row>
    <row r="1578" spans="1:7" ht="15">
      <c r="A1578" s="87" t="s">
        <v>3716</v>
      </c>
      <c r="B1578" s="107">
        <v>2</v>
      </c>
      <c r="C1578" s="109">
        <v>0.005493044912833417</v>
      </c>
      <c r="D1578" s="107" t="s">
        <v>3503</v>
      </c>
      <c r="E1578" s="107" t="b">
        <v>0</v>
      </c>
      <c r="F1578" s="107" t="b">
        <v>0</v>
      </c>
      <c r="G1578" s="107" t="b">
        <v>0</v>
      </c>
    </row>
    <row r="1579" spans="1:7" ht="15">
      <c r="A1579" s="87" t="s">
        <v>2711</v>
      </c>
      <c r="B1579" s="107">
        <v>2</v>
      </c>
      <c r="C1579" s="109">
        <v>0.005493044912833417</v>
      </c>
      <c r="D1579" s="107" t="s">
        <v>3503</v>
      </c>
      <c r="E1579" s="107" t="b">
        <v>0</v>
      </c>
      <c r="F1579" s="107" t="b">
        <v>1</v>
      </c>
      <c r="G1579" s="107" t="b">
        <v>0</v>
      </c>
    </row>
    <row r="1580" spans="1:7" ht="15">
      <c r="A1580" s="87" t="s">
        <v>884</v>
      </c>
      <c r="B1580" s="107">
        <v>2</v>
      </c>
      <c r="C1580" s="109">
        <v>0.005493044912833417</v>
      </c>
      <c r="D1580" s="107" t="s">
        <v>3503</v>
      </c>
      <c r="E1580" s="107" t="b">
        <v>0</v>
      </c>
      <c r="F1580" s="107" t="b">
        <v>1</v>
      </c>
      <c r="G1580" s="107" t="b">
        <v>0</v>
      </c>
    </row>
    <row r="1581" spans="1:7" ht="15">
      <c r="A1581" s="87" t="s">
        <v>3787</v>
      </c>
      <c r="B1581" s="107">
        <v>2</v>
      </c>
      <c r="C1581" s="109">
        <v>0.006601811011043293</v>
      </c>
      <c r="D1581" s="107" t="s">
        <v>3503</v>
      </c>
      <c r="E1581" s="107" t="b">
        <v>0</v>
      </c>
      <c r="F1581" s="107" t="b">
        <v>0</v>
      </c>
      <c r="G1581" s="107" t="b">
        <v>0</v>
      </c>
    </row>
    <row r="1582" spans="1:7" ht="15">
      <c r="A1582" s="87" t="s">
        <v>3918</v>
      </c>
      <c r="B1582" s="107">
        <v>2</v>
      </c>
      <c r="C1582" s="109">
        <v>0.006601811011043293</v>
      </c>
      <c r="D1582" s="107" t="s">
        <v>3503</v>
      </c>
      <c r="E1582" s="107" t="b">
        <v>0</v>
      </c>
      <c r="F1582" s="107" t="b">
        <v>0</v>
      </c>
      <c r="G1582" s="107" t="b">
        <v>0</v>
      </c>
    </row>
    <row r="1583" spans="1:7" ht="15">
      <c r="A1583" s="87" t="s">
        <v>3577</v>
      </c>
      <c r="B1583" s="107">
        <v>12</v>
      </c>
      <c r="C1583" s="109">
        <v>0.018284565409660437</v>
      </c>
      <c r="D1583" s="107" t="s">
        <v>3504</v>
      </c>
      <c r="E1583" s="107" t="b">
        <v>0</v>
      </c>
      <c r="F1583" s="107" t="b">
        <v>0</v>
      </c>
      <c r="G1583" s="107" t="b">
        <v>0</v>
      </c>
    </row>
    <row r="1584" spans="1:7" ht="15">
      <c r="A1584" s="87" t="s">
        <v>3542</v>
      </c>
      <c r="B1584" s="107">
        <v>10</v>
      </c>
      <c r="C1584" s="109">
        <v>0.017163780598117476</v>
      </c>
      <c r="D1584" s="107" t="s">
        <v>3504</v>
      </c>
      <c r="E1584" s="107" t="b">
        <v>0</v>
      </c>
      <c r="F1584" s="107" t="b">
        <v>0</v>
      </c>
      <c r="G1584" s="107" t="b">
        <v>0</v>
      </c>
    </row>
    <row r="1585" spans="1:7" ht="15">
      <c r="A1585" s="87" t="s">
        <v>3536</v>
      </c>
      <c r="B1585" s="107">
        <v>10</v>
      </c>
      <c r="C1585" s="109">
        <v>0.013537718490972359</v>
      </c>
      <c r="D1585" s="107" t="s">
        <v>3504</v>
      </c>
      <c r="E1585" s="107" t="b">
        <v>0</v>
      </c>
      <c r="F1585" s="107" t="b">
        <v>0</v>
      </c>
      <c r="G1585" s="107" t="b">
        <v>0</v>
      </c>
    </row>
    <row r="1586" spans="1:7" ht="15">
      <c r="A1586" s="87" t="s">
        <v>3548</v>
      </c>
      <c r="B1586" s="107">
        <v>8</v>
      </c>
      <c r="C1586" s="109">
        <v>0.02351113837336692</v>
      </c>
      <c r="D1586" s="107" t="s">
        <v>3504</v>
      </c>
      <c r="E1586" s="107" t="b">
        <v>0</v>
      </c>
      <c r="F1586" s="107" t="b">
        <v>0</v>
      </c>
      <c r="G1586" s="107" t="b">
        <v>0</v>
      </c>
    </row>
    <row r="1587" spans="1:7" ht="15">
      <c r="A1587" s="87" t="s">
        <v>3593</v>
      </c>
      <c r="B1587" s="107">
        <v>6</v>
      </c>
      <c r="C1587" s="109">
        <v>0.021143478545254713</v>
      </c>
      <c r="D1587" s="107" t="s">
        <v>3504</v>
      </c>
      <c r="E1587" s="107" t="b">
        <v>0</v>
      </c>
      <c r="F1587" s="107" t="b">
        <v>0</v>
      </c>
      <c r="G1587" s="107" t="b">
        <v>0</v>
      </c>
    </row>
    <row r="1588" spans="1:7" ht="15">
      <c r="A1588" s="87" t="s">
        <v>3644</v>
      </c>
      <c r="B1588" s="107">
        <v>6</v>
      </c>
      <c r="C1588" s="109">
        <v>0.027144076465466967</v>
      </c>
      <c r="D1588" s="107" t="s">
        <v>3504</v>
      </c>
      <c r="E1588" s="107" t="b">
        <v>0</v>
      </c>
      <c r="F1588" s="107" t="b">
        <v>0</v>
      </c>
      <c r="G1588" s="107" t="b">
        <v>0</v>
      </c>
    </row>
    <row r="1589" spans="1:7" ht="15">
      <c r="A1589" s="87" t="s">
        <v>3558</v>
      </c>
      <c r="B1589" s="107">
        <v>5</v>
      </c>
      <c r="C1589" s="109">
        <v>0.012619067187535391</v>
      </c>
      <c r="D1589" s="107" t="s">
        <v>3504</v>
      </c>
      <c r="E1589" s="107" t="b">
        <v>0</v>
      </c>
      <c r="F1589" s="107" t="b">
        <v>0</v>
      </c>
      <c r="G1589" s="107" t="b">
        <v>0</v>
      </c>
    </row>
    <row r="1590" spans="1:7" ht="15">
      <c r="A1590" s="87" t="s">
        <v>3621</v>
      </c>
      <c r="B1590" s="107">
        <v>4</v>
      </c>
      <c r="C1590" s="109">
        <v>0.014095652363503144</v>
      </c>
      <c r="D1590" s="107" t="s">
        <v>3504</v>
      </c>
      <c r="E1590" s="107" t="b">
        <v>0</v>
      </c>
      <c r="F1590" s="107" t="b">
        <v>0</v>
      </c>
      <c r="G1590" s="107" t="b">
        <v>0</v>
      </c>
    </row>
    <row r="1591" spans="1:7" ht="15">
      <c r="A1591" s="87" t="s">
        <v>3543</v>
      </c>
      <c r="B1591" s="107">
        <v>4</v>
      </c>
      <c r="C1591" s="109">
        <v>0.010095253750028312</v>
      </c>
      <c r="D1591" s="107" t="s">
        <v>3504</v>
      </c>
      <c r="E1591" s="107" t="b">
        <v>1</v>
      </c>
      <c r="F1591" s="107" t="b">
        <v>0</v>
      </c>
      <c r="G1591" s="107" t="b">
        <v>0</v>
      </c>
    </row>
    <row r="1592" spans="1:7" ht="15">
      <c r="A1592" s="87" t="s">
        <v>3860</v>
      </c>
      <c r="B1592" s="107">
        <v>3</v>
      </c>
      <c r="C1592" s="109">
        <v>0.013572038232733483</v>
      </c>
      <c r="D1592" s="107" t="s">
        <v>3504</v>
      </c>
      <c r="E1592" s="107" t="b">
        <v>0</v>
      </c>
      <c r="F1592" s="107" t="b">
        <v>0</v>
      </c>
      <c r="G1592" s="107" t="b">
        <v>0</v>
      </c>
    </row>
    <row r="1593" spans="1:7" ht="15">
      <c r="A1593" s="87" t="s">
        <v>3732</v>
      </c>
      <c r="B1593" s="107">
        <v>3</v>
      </c>
      <c r="C1593" s="109">
        <v>0.010571739272627357</v>
      </c>
      <c r="D1593" s="107" t="s">
        <v>3504</v>
      </c>
      <c r="E1593" s="107" t="b">
        <v>0</v>
      </c>
      <c r="F1593" s="107" t="b">
        <v>0</v>
      </c>
      <c r="G1593" s="107" t="b">
        <v>0</v>
      </c>
    </row>
    <row r="1594" spans="1:7" ht="15">
      <c r="A1594" s="87" t="s">
        <v>3537</v>
      </c>
      <c r="B1594" s="107">
        <v>3</v>
      </c>
      <c r="C1594" s="109">
        <v>0.010571739272627357</v>
      </c>
      <c r="D1594" s="107" t="s">
        <v>3504</v>
      </c>
      <c r="E1594" s="107" t="b">
        <v>0</v>
      </c>
      <c r="F1594" s="107" t="b">
        <v>0</v>
      </c>
      <c r="G1594" s="107" t="b">
        <v>0</v>
      </c>
    </row>
    <row r="1595" spans="1:7" ht="15">
      <c r="A1595" s="87" t="s">
        <v>3633</v>
      </c>
      <c r="B1595" s="107">
        <v>3</v>
      </c>
      <c r="C1595" s="109">
        <v>0.008816676890012596</v>
      </c>
      <c r="D1595" s="107" t="s">
        <v>3504</v>
      </c>
      <c r="E1595" s="107" t="b">
        <v>0</v>
      </c>
      <c r="F1595" s="107" t="b">
        <v>0</v>
      </c>
      <c r="G1595" s="107" t="b">
        <v>0</v>
      </c>
    </row>
    <row r="1596" spans="1:7" ht="15">
      <c r="A1596" s="87" t="s">
        <v>3711</v>
      </c>
      <c r="B1596" s="107">
        <v>3</v>
      </c>
      <c r="C1596" s="109">
        <v>0.010571739272627357</v>
      </c>
      <c r="D1596" s="107" t="s">
        <v>3504</v>
      </c>
      <c r="E1596" s="107" t="b">
        <v>1</v>
      </c>
      <c r="F1596" s="107" t="b">
        <v>0</v>
      </c>
      <c r="G1596" s="107" t="b">
        <v>0</v>
      </c>
    </row>
    <row r="1597" spans="1:7" ht="15">
      <c r="A1597" s="87" t="s">
        <v>3571</v>
      </c>
      <c r="B1597" s="107">
        <v>3</v>
      </c>
      <c r="C1597" s="109">
        <v>0.010571739272627357</v>
      </c>
      <c r="D1597" s="107" t="s">
        <v>3504</v>
      </c>
      <c r="E1597" s="107" t="b">
        <v>0</v>
      </c>
      <c r="F1597" s="107" t="b">
        <v>0</v>
      </c>
      <c r="G1597" s="107" t="b">
        <v>0</v>
      </c>
    </row>
    <row r="1598" spans="1:7" ht="15">
      <c r="A1598" s="87" t="s">
        <v>3590</v>
      </c>
      <c r="B1598" s="107">
        <v>3</v>
      </c>
      <c r="C1598" s="109">
        <v>0.008816676890012596</v>
      </c>
      <c r="D1598" s="107" t="s">
        <v>3504</v>
      </c>
      <c r="E1598" s="107" t="b">
        <v>0</v>
      </c>
      <c r="F1598" s="107" t="b">
        <v>0</v>
      </c>
      <c r="G1598" s="107" t="b">
        <v>0</v>
      </c>
    </row>
    <row r="1599" spans="1:7" ht="15">
      <c r="A1599" s="87" t="s">
        <v>3586</v>
      </c>
      <c r="B1599" s="107">
        <v>3</v>
      </c>
      <c r="C1599" s="109">
        <v>0.008816676890012596</v>
      </c>
      <c r="D1599" s="107" t="s">
        <v>3504</v>
      </c>
      <c r="E1599" s="107" t="b">
        <v>0</v>
      </c>
      <c r="F1599" s="107" t="b">
        <v>0</v>
      </c>
      <c r="G1599" s="107" t="b">
        <v>0</v>
      </c>
    </row>
    <row r="1600" spans="1:7" ht="15">
      <c r="A1600" s="87" t="s">
        <v>3539</v>
      </c>
      <c r="B1600" s="107">
        <v>3</v>
      </c>
      <c r="C1600" s="109">
        <v>0.008816676890012596</v>
      </c>
      <c r="D1600" s="107" t="s">
        <v>3504</v>
      </c>
      <c r="E1600" s="107" t="b">
        <v>0</v>
      </c>
      <c r="F1600" s="107" t="b">
        <v>0</v>
      </c>
      <c r="G1600" s="107" t="b">
        <v>0</v>
      </c>
    </row>
    <row r="1601" spans="1:7" ht="15">
      <c r="A1601" s="87" t="s">
        <v>3592</v>
      </c>
      <c r="B1601" s="107">
        <v>2</v>
      </c>
      <c r="C1601" s="109">
        <v>0.00904802548848899</v>
      </c>
      <c r="D1601" s="107" t="s">
        <v>3504</v>
      </c>
      <c r="E1601" s="107" t="b">
        <v>0</v>
      </c>
      <c r="F1601" s="107" t="b">
        <v>0</v>
      </c>
      <c r="G1601" s="107" t="b">
        <v>0</v>
      </c>
    </row>
    <row r="1602" spans="1:7" ht="15">
      <c r="A1602" s="87" t="s">
        <v>4157</v>
      </c>
      <c r="B1602" s="107">
        <v>2</v>
      </c>
      <c r="C1602" s="109">
        <v>0.007047826181751572</v>
      </c>
      <c r="D1602" s="107" t="s">
        <v>3504</v>
      </c>
      <c r="E1602" s="107" t="b">
        <v>0</v>
      </c>
      <c r="F1602" s="107" t="b">
        <v>1</v>
      </c>
      <c r="G1602" s="107" t="b">
        <v>0</v>
      </c>
    </row>
    <row r="1603" spans="1:7" ht="15">
      <c r="A1603" s="87" t="s">
        <v>3555</v>
      </c>
      <c r="B1603" s="107">
        <v>2</v>
      </c>
      <c r="C1603" s="109">
        <v>0.007047826181751572</v>
      </c>
      <c r="D1603" s="107" t="s">
        <v>3504</v>
      </c>
      <c r="E1603" s="107" t="b">
        <v>1</v>
      </c>
      <c r="F1603" s="107" t="b">
        <v>0</v>
      </c>
      <c r="G1603" s="107" t="b">
        <v>0</v>
      </c>
    </row>
    <row r="1604" spans="1:7" ht="15">
      <c r="A1604" s="87" t="s">
        <v>3908</v>
      </c>
      <c r="B1604" s="107">
        <v>2</v>
      </c>
      <c r="C1604" s="109">
        <v>0.00904802548848899</v>
      </c>
      <c r="D1604" s="107" t="s">
        <v>3504</v>
      </c>
      <c r="E1604" s="107" t="b">
        <v>0</v>
      </c>
      <c r="F1604" s="107" t="b">
        <v>1</v>
      </c>
      <c r="G1604" s="107" t="b">
        <v>0</v>
      </c>
    </row>
    <row r="1605" spans="1:7" ht="15">
      <c r="A1605" s="87" t="s">
        <v>4245</v>
      </c>
      <c r="B1605" s="107">
        <v>2</v>
      </c>
      <c r="C1605" s="109">
        <v>0.00904802548848899</v>
      </c>
      <c r="D1605" s="107" t="s">
        <v>3504</v>
      </c>
      <c r="E1605" s="107" t="b">
        <v>0</v>
      </c>
      <c r="F1605" s="107" t="b">
        <v>0</v>
      </c>
      <c r="G1605" s="107" t="b">
        <v>0</v>
      </c>
    </row>
    <row r="1606" spans="1:7" ht="15">
      <c r="A1606" s="87" t="s">
        <v>3707</v>
      </c>
      <c r="B1606" s="107">
        <v>2</v>
      </c>
      <c r="C1606" s="109">
        <v>0.00904802548848899</v>
      </c>
      <c r="D1606" s="107" t="s">
        <v>3504</v>
      </c>
      <c r="E1606" s="107" t="b">
        <v>0</v>
      </c>
      <c r="F1606" s="107" t="b">
        <v>0</v>
      </c>
      <c r="G1606" s="107" t="b">
        <v>0</v>
      </c>
    </row>
    <row r="1607" spans="1:7" ht="15">
      <c r="A1607" s="87" t="s">
        <v>4345</v>
      </c>
      <c r="B1607" s="107">
        <v>2</v>
      </c>
      <c r="C1607" s="109">
        <v>0.007047826181751572</v>
      </c>
      <c r="D1607" s="107" t="s">
        <v>3504</v>
      </c>
      <c r="E1607" s="107" t="b">
        <v>0</v>
      </c>
      <c r="F1607" s="107" t="b">
        <v>0</v>
      </c>
      <c r="G1607" s="107" t="b">
        <v>0</v>
      </c>
    </row>
    <row r="1608" spans="1:7" ht="15">
      <c r="A1608" s="87" t="s">
        <v>3588</v>
      </c>
      <c r="B1608" s="107">
        <v>2</v>
      </c>
      <c r="C1608" s="109">
        <v>0.007047826181751572</v>
      </c>
      <c r="D1608" s="107" t="s">
        <v>3504</v>
      </c>
      <c r="E1608" s="107" t="b">
        <v>0</v>
      </c>
      <c r="F1608" s="107" t="b">
        <v>0</v>
      </c>
      <c r="G1608" s="107" t="b">
        <v>0</v>
      </c>
    </row>
    <row r="1609" spans="1:7" ht="15">
      <c r="A1609" s="87" t="s">
        <v>3613</v>
      </c>
      <c r="B1609" s="107">
        <v>2</v>
      </c>
      <c r="C1609" s="109">
        <v>0.007047826181751572</v>
      </c>
      <c r="D1609" s="107" t="s">
        <v>3504</v>
      </c>
      <c r="E1609" s="107" t="b">
        <v>0</v>
      </c>
      <c r="F1609" s="107" t="b">
        <v>0</v>
      </c>
      <c r="G1609" s="107" t="b">
        <v>0</v>
      </c>
    </row>
    <row r="1610" spans="1:7" ht="15">
      <c r="A1610" s="87" t="s">
        <v>4151</v>
      </c>
      <c r="B1610" s="107">
        <v>2</v>
      </c>
      <c r="C1610" s="109">
        <v>0.00904802548848899</v>
      </c>
      <c r="D1610" s="107" t="s">
        <v>3504</v>
      </c>
      <c r="E1610" s="107" t="b">
        <v>0</v>
      </c>
      <c r="F1610" s="107" t="b">
        <v>0</v>
      </c>
      <c r="G1610" s="107" t="b">
        <v>0</v>
      </c>
    </row>
    <row r="1611" spans="1:7" ht="15">
      <c r="A1611" s="87" t="s">
        <v>3759</v>
      </c>
      <c r="B1611" s="107">
        <v>2</v>
      </c>
      <c r="C1611" s="109">
        <v>0.007047826181751572</v>
      </c>
      <c r="D1611" s="107" t="s">
        <v>3504</v>
      </c>
      <c r="E1611" s="107" t="b">
        <v>0</v>
      </c>
      <c r="F1611" s="107" t="b">
        <v>1</v>
      </c>
      <c r="G1611" s="107" t="b">
        <v>0</v>
      </c>
    </row>
    <row r="1612" spans="1:7" ht="15">
      <c r="A1612" s="87" t="s">
        <v>3674</v>
      </c>
      <c r="B1612" s="107">
        <v>2</v>
      </c>
      <c r="C1612" s="109">
        <v>0.007047826181751572</v>
      </c>
      <c r="D1612" s="107" t="s">
        <v>3504</v>
      </c>
      <c r="E1612" s="107" t="b">
        <v>0</v>
      </c>
      <c r="F1612" s="107" t="b">
        <v>0</v>
      </c>
      <c r="G1612" s="107" t="b">
        <v>0</v>
      </c>
    </row>
    <row r="1613" spans="1:7" ht="15">
      <c r="A1613" s="87" t="s">
        <v>4032</v>
      </c>
      <c r="B1613" s="107">
        <v>2</v>
      </c>
      <c r="C1613" s="109">
        <v>0.00904802548848899</v>
      </c>
      <c r="D1613" s="107" t="s">
        <v>3504</v>
      </c>
      <c r="E1613" s="107" t="b">
        <v>0</v>
      </c>
      <c r="F1613" s="107" t="b">
        <v>0</v>
      </c>
      <c r="G1613" s="107" t="b">
        <v>0</v>
      </c>
    </row>
    <row r="1614" spans="1:7" ht="15">
      <c r="A1614" s="87" t="s">
        <v>4088</v>
      </c>
      <c r="B1614" s="107">
        <v>2</v>
      </c>
      <c r="C1614" s="109">
        <v>0.007047826181751572</v>
      </c>
      <c r="D1614" s="107" t="s">
        <v>3504</v>
      </c>
      <c r="E1614" s="107" t="b">
        <v>0</v>
      </c>
      <c r="F1614" s="107" t="b">
        <v>0</v>
      </c>
      <c r="G1614" s="107" t="b">
        <v>0</v>
      </c>
    </row>
    <row r="1615" spans="1:7" ht="15">
      <c r="A1615" s="87" t="s">
        <v>3930</v>
      </c>
      <c r="B1615" s="107">
        <v>2</v>
      </c>
      <c r="C1615" s="109">
        <v>0.007047826181751572</v>
      </c>
      <c r="D1615" s="107" t="s">
        <v>3504</v>
      </c>
      <c r="E1615" s="107" t="b">
        <v>0</v>
      </c>
      <c r="F1615" s="107" t="b">
        <v>0</v>
      </c>
      <c r="G1615" s="107" t="b">
        <v>0</v>
      </c>
    </row>
    <row r="1616" spans="1:7" ht="15">
      <c r="A1616" s="87" t="s">
        <v>3546</v>
      </c>
      <c r="B1616" s="107">
        <v>2</v>
      </c>
      <c r="C1616" s="109">
        <v>0.007047826181751572</v>
      </c>
      <c r="D1616" s="107" t="s">
        <v>3504</v>
      </c>
      <c r="E1616" s="107" t="b">
        <v>0</v>
      </c>
      <c r="F1616" s="107" t="b">
        <v>0</v>
      </c>
      <c r="G1616" s="107" t="b">
        <v>0</v>
      </c>
    </row>
    <row r="1617" spans="1:7" ht="15">
      <c r="A1617" s="87" t="s">
        <v>3566</v>
      </c>
      <c r="B1617" s="107">
        <v>2</v>
      </c>
      <c r="C1617" s="109">
        <v>0.00904802548848899</v>
      </c>
      <c r="D1617" s="107" t="s">
        <v>3504</v>
      </c>
      <c r="E1617" s="107" t="b">
        <v>0</v>
      </c>
      <c r="F1617" s="107" t="b">
        <v>0</v>
      </c>
      <c r="G1617" s="107" t="b">
        <v>0</v>
      </c>
    </row>
    <row r="1618" spans="1:7" ht="15">
      <c r="A1618" s="87" t="s">
        <v>4061</v>
      </c>
      <c r="B1618" s="107">
        <v>2</v>
      </c>
      <c r="C1618" s="109">
        <v>0.007047826181751572</v>
      </c>
      <c r="D1618" s="107" t="s">
        <v>3504</v>
      </c>
      <c r="E1618" s="107" t="b">
        <v>0</v>
      </c>
      <c r="F1618" s="107" t="b">
        <v>0</v>
      </c>
      <c r="G1618" s="107" t="b">
        <v>0</v>
      </c>
    </row>
    <row r="1619" spans="1:7" ht="15">
      <c r="A1619" s="87" t="s">
        <v>3660</v>
      </c>
      <c r="B1619" s="107">
        <v>2</v>
      </c>
      <c r="C1619" s="109">
        <v>0.00904802548848899</v>
      </c>
      <c r="D1619" s="107" t="s">
        <v>3504</v>
      </c>
      <c r="E1619" s="107" t="b">
        <v>0</v>
      </c>
      <c r="F1619" s="107" t="b">
        <v>0</v>
      </c>
      <c r="G1619" s="107" t="b">
        <v>0</v>
      </c>
    </row>
    <row r="1620" spans="1:7" ht="15">
      <c r="A1620" s="87" t="s">
        <v>3641</v>
      </c>
      <c r="B1620" s="107">
        <v>2</v>
      </c>
      <c r="C1620" s="109">
        <v>0.007047826181751572</v>
      </c>
      <c r="D1620" s="107" t="s">
        <v>3504</v>
      </c>
      <c r="E1620" s="107" t="b">
        <v>0</v>
      </c>
      <c r="F1620" s="107" t="b">
        <v>0</v>
      </c>
      <c r="G1620" s="107" t="b">
        <v>0</v>
      </c>
    </row>
    <row r="1621" spans="1:7" ht="15">
      <c r="A1621" s="87" t="s">
        <v>3547</v>
      </c>
      <c r="B1621" s="107">
        <v>2</v>
      </c>
      <c r="C1621" s="109">
        <v>0.007047826181751572</v>
      </c>
      <c r="D1621" s="107" t="s">
        <v>3504</v>
      </c>
      <c r="E1621" s="107" t="b">
        <v>0</v>
      </c>
      <c r="F1621" s="107" t="b">
        <v>0</v>
      </c>
      <c r="G1621" s="107" t="b">
        <v>0</v>
      </c>
    </row>
    <row r="1622" spans="1:7" ht="15">
      <c r="A1622" s="87" t="s">
        <v>4087</v>
      </c>
      <c r="B1622" s="107">
        <v>2</v>
      </c>
      <c r="C1622" s="109">
        <v>0.007047826181751572</v>
      </c>
      <c r="D1622" s="107" t="s">
        <v>3504</v>
      </c>
      <c r="E1622" s="107" t="b">
        <v>0</v>
      </c>
      <c r="F1622" s="107" t="b">
        <v>0</v>
      </c>
      <c r="G1622" s="107" t="b">
        <v>0</v>
      </c>
    </row>
    <row r="1623" spans="1:7" ht="15">
      <c r="A1623" s="87" t="s">
        <v>3538</v>
      </c>
      <c r="B1623" s="107">
        <v>2</v>
      </c>
      <c r="C1623" s="109">
        <v>0.007047826181751572</v>
      </c>
      <c r="D1623" s="107" t="s">
        <v>3504</v>
      </c>
      <c r="E1623" s="107" t="b">
        <v>0</v>
      </c>
      <c r="F1623" s="107" t="b">
        <v>0</v>
      </c>
      <c r="G1623" s="107" t="b">
        <v>0</v>
      </c>
    </row>
    <row r="1624" spans="1:7" ht="15">
      <c r="A1624" s="87" t="s">
        <v>4175</v>
      </c>
      <c r="B1624" s="107">
        <v>2</v>
      </c>
      <c r="C1624" s="109">
        <v>0.00904802548848899</v>
      </c>
      <c r="D1624" s="107" t="s">
        <v>3504</v>
      </c>
      <c r="E1624" s="107" t="b">
        <v>0</v>
      </c>
      <c r="F1624" s="107" t="b">
        <v>0</v>
      </c>
      <c r="G1624" s="107" t="b">
        <v>0</v>
      </c>
    </row>
    <row r="1625" spans="1:7" ht="15">
      <c r="A1625" s="87" t="s">
        <v>3772</v>
      </c>
      <c r="B1625" s="107">
        <v>2</v>
      </c>
      <c r="C1625" s="109">
        <v>0.007047826181751572</v>
      </c>
      <c r="D1625" s="107" t="s">
        <v>3504</v>
      </c>
      <c r="E1625" s="107" t="b">
        <v>0</v>
      </c>
      <c r="F1625" s="107" t="b">
        <v>0</v>
      </c>
      <c r="G1625" s="107" t="b">
        <v>0</v>
      </c>
    </row>
    <row r="1626" spans="1:7" ht="15">
      <c r="A1626" s="87" t="s">
        <v>3556</v>
      </c>
      <c r="B1626" s="107">
        <v>2</v>
      </c>
      <c r="C1626" s="109">
        <v>0.00904802548848899</v>
      </c>
      <c r="D1626" s="107" t="s">
        <v>3504</v>
      </c>
      <c r="E1626" s="107" t="b">
        <v>0</v>
      </c>
      <c r="F1626" s="107" t="b">
        <v>0</v>
      </c>
      <c r="G1626" s="107" t="b">
        <v>0</v>
      </c>
    </row>
    <row r="1627" spans="1:7" ht="15">
      <c r="A1627" s="87" t="s">
        <v>3917</v>
      </c>
      <c r="B1627" s="107">
        <v>2</v>
      </c>
      <c r="C1627" s="109">
        <v>0.00904802548848899</v>
      </c>
      <c r="D1627" s="107" t="s">
        <v>3504</v>
      </c>
      <c r="E1627" s="107" t="b">
        <v>0</v>
      </c>
      <c r="F1627" s="107" t="b">
        <v>0</v>
      </c>
      <c r="G1627" s="107" t="b">
        <v>0</v>
      </c>
    </row>
    <row r="1628" spans="1:7" ht="15">
      <c r="A1628" s="87" t="s">
        <v>3881</v>
      </c>
      <c r="B1628" s="107">
        <v>2</v>
      </c>
      <c r="C1628" s="109">
        <v>0.007047826181751572</v>
      </c>
      <c r="D1628" s="107" t="s">
        <v>3504</v>
      </c>
      <c r="E1628" s="107" t="b">
        <v>0</v>
      </c>
      <c r="F1628" s="107" t="b">
        <v>0</v>
      </c>
      <c r="G1628" s="107" t="b">
        <v>0</v>
      </c>
    </row>
    <row r="1629" spans="1:7" ht="15">
      <c r="A1629" s="87" t="s">
        <v>3617</v>
      </c>
      <c r="B1629" s="107">
        <v>2</v>
      </c>
      <c r="C1629" s="109">
        <v>0.007047826181751572</v>
      </c>
      <c r="D1629" s="107" t="s">
        <v>3504</v>
      </c>
      <c r="E1629" s="107" t="b">
        <v>0</v>
      </c>
      <c r="F1629" s="107" t="b">
        <v>0</v>
      </c>
      <c r="G1629" s="107" t="b">
        <v>0</v>
      </c>
    </row>
    <row r="1630" spans="1:7" ht="15">
      <c r="A1630" s="87" t="s">
        <v>2644</v>
      </c>
      <c r="B1630" s="107">
        <v>2</v>
      </c>
      <c r="C1630" s="109">
        <v>0.007047826181751572</v>
      </c>
      <c r="D1630" s="107" t="s">
        <v>3504</v>
      </c>
      <c r="E1630" s="107" t="b">
        <v>0</v>
      </c>
      <c r="F1630" s="107" t="b">
        <v>0</v>
      </c>
      <c r="G1630" s="107" t="b">
        <v>0</v>
      </c>
    </row>
    <row r="1631" spans="1:7" ht="15">
      <c r="A1631" s="87" t="s">
        <v>4014</v>
      </c>
      <c r="B1631" s="107">
        <v>2</v>
      </c>
      <c r="C1631" s="109">
        <v>0.00904802548848899</v>
      </c>
      <c r="D1631" s="107" t="s">
        <v>3504</v>
      </c>
      <c r="E1631" s="107" t="b">
        <v>0</v>
      </c>
      <c r="F1631" s="107" t="b">
        <v>1</v>
      </c>
      <c r="G1631" s="107" t="b">
        <v>0</v>
      </c>
    </row>
    <row r="1632" spans="1:7" ht="15">
      <c r="A1632" s="87" t="s">
        <v>3538</v>
      </c>
      <c r="B1632" s="107">
        <v>6</v>
      </c>
      <c r="C1632" s="109">
        <v>0.021258033572432063</v>
      </c>
      <c r="D1632" s="107" t="s">
        <v>3506</v>
      </c>
      <c r="E1632" s="107" t="b">
        <v>0</v>
      </c>
      <c r="F1632" s="107" t="b">
        <v>0</v>
      </c>
      <c r="G1632" s="107" t="b">
        <v>0</v>
      </c>
    </row>
    <row r="1633" spans="1:7" ht="15">
      <c r="A1633" s="87" t="s">
        <v>3601</v>
      </c>
      <c r="B1633" s="107">
        <v>6</v>
      </c>
      <c r="C1633" s="109">
        <v>0.021258033572432063</v>
      </c>
      <c r="D1633" s="107" t="s">
        <v>3506</v>
      </c>
      <c r="E1633" s="107" t="b">
        <v>0</v>
      </c>
      <c r="F1633" s="107" t="b">
        <v>0</v>
      </c>
      <c r="G1633" s="107" t="b">
        <v>0</v>
      </c>
    </row>
    <row r="1634" spans="1:7" ht="15">
      <c r="A1634" s="87" t="s">
        <v>3660</v>
      </c>
      <c r="B1634" s="107">
        <v>4</v>
      </c>
      <c r="C1634" s="109">
        <v>0.023882667403040125</v>
      </c>
      <c r="D1634" s="107" t="s">
        <v>3506</v>
      </c>
      <c r="E1634" s="107" t="b">
        <v>0</v>
      </c>
      <c r="F1634" s="107" t="b">
        <v>0</v>
      </c>
      <c r="G1634" s="107" t="b">
        <v>0</v>
      </c>
    </row>
    <row r="1635" spans="1:7" ht="15">
      <c r="A1635" s="87" t="s">
        <v>3758</v>
      </c>
      <c r="B1635" s="107">
        <v>4</v>
      </c>
      <c r="C1635" s="109">
        <v>0.023882667403040125</v>
      </c>
      <c r="D1635" s="107" t="s">
        <v>3506</v>
      </c>
      <c r="E1635" s="107" t="b">
        <v>0</v>
      </c>
      <c r="F1635" s="107" t="b">
        <v>0</v>
      </c>
      <c r="G1635" s="107" t="b">
        <v>0</v>
      </c>
    </row>
    <row r="1636" spans="1:7" ht="15">
      <c r="A1636" s="87" t="s">
        <v>3788</v>
      </c>
      <c r="B1636" s="107">
        <v>4</v>
      </c>
      <c r="C1636" s="109">
        <v>0.023882667403040125</v>
      </c>
      <c r="D1636" s="107" t="s">
        <v>3506</v>
      </c>
      <c r="E1636" s="107" t="b">
        <v>0</v>
      </c>
      <c r="F1636" s="107" t="b">
        <v>0</v>
      </c>
      <c r="G1636" s="107" t="b">
        <v>0</v>
      </c>
    </row>
    <row r="1637" spans="1:7" ht="15">
      <c r="A1637" s="87" t="s">
        <v>3542</v>
      </c>
      <c r="B1637" s="107">
        <v>3</v>
      </c>
      <c r="C1637" s="109">
        <v>0.013651728155771673</v>
      </c>
      <c r="D1637" s="107" t="s">
        <v>3506</v>
      </c>
      <c r="E1637" s="107" t="b">
        <v>0</v>
      </c>
      <c r="F1637" s="107" t="b">
        <v>0</v>
      </c>
      <c r="G1637" s="107" t="b">
        <v>0</v>
      </c>
    </row>
    <row r="1638" spans="1:7" ht="15">
      <c r="A1638" s="87" t="s">
        <v>3679</v>
      </c>
      <c r="B1638" s="107">
        <v>3</v>
      </c>
      <c r="C1638" s="109">
        <v>0.025194984318344157</v>
      </c>
      <c r="D1638" s="107" t="s">
        <v>3506</v>
      </c>
      <c r="E1638" s="107" t="b">
        <v>0</v>
      </c>
      <c r="F1638" s="107" t="b">
        <v>0</v>
      </c>
      <c r="G1638" s="107" t="b">
        <v>0</v>
      </c>
    </row>
    <row r="1639" spans="1:7" ht="15">
      <c r="A1639" s="87" t="s">
        <v>4124</v>
      </c>
      <c r="B1639" s="107">
        <v>2</v>
      </c>
      <c r="C1639" s="109">
        <v>0.011941333701520063</v>
      </c>
      <c r="D1639" s="107" t="s">
        <v>3506</v>
      </c>
      <c r="E1639" s="107" t="b">
        <v>0</v>
      </c>
      <c r="F1639" s="107" t="b">
        <v>0</v>
      </c>
      <c r="G1639" s="107" t="b">
        <v>0</v>
      </c>
    </row>
    <row r="1640" spans="1:7" ht="15">
      <c r="A1640" s="87" t="s">
        <v>4180</v>
      </c>
      <c r="B1640" s="107">
        <v>2</v>
      </c>
      <c r="C1640" s="109">
        <v>0.01679665621222944</v>
      </c>
      <c r="D1640" s="107" t="s">
        <v>3506</v>
      </c>
      <c r="E1640" s="107" t="b">
        <v>0</v>
      </c>
      <c r="F1640" s="107" t="b">
        <v>0</v>
      </c>
      <c r="G1640" s="107" t="b">
        <v>0</v>
      </c>
    </row>
    <row r="1641" spans="1:7" ht="15">
      <c r="A1641" s="87" t="s">
        <v>3578</v>
      </c>
      <c r="B1641" s="107">
        <v>2</v>
      </c>
      <c r="C1641" s="109">
        <v>0.011941333701520063</v>
      </c>
      <c r="D1641" s="107" t="s">
        <v>3506</v>
      </c>
      <c r="E1641" s="107" t="b">
        <v>0</v>
      </c>
      <c r="F1641" s="107" t="b">
        <v>0</v>
      </c>
      <c r="G1641" s="107" t="b">
        <v>0</v>
      </c>
    </row>
    <row r="1642" spans="1:7" ht="15">
      <c r="A1642" s="87" t="s">
        <v>3954</v>
      </c>
      <c r="B1642" s="107">
        <v>2</v>
      </c>
      <c r="C1642" s="109">
        <v>0.011941333701520063</v>
      </c>
      <c r="D1642" s="107" t="s">
        <v>3506</v>
      </c>
      <c r="E1642" s="107" t="b">
        <v>0</v>
      </c>
      <c r="F1642" s="107" t="b">
        <v>0</v>
      </c>
      <c r="G1642" s="107" t="b">
        <v>0</v>
      </c>
    </row>
    <row r="1643" spans="1:7" ht="15">
      <c r="A1643" s="87" t="s">
        <v>3544</v>
      </c>
      <c r="B1643" s="107">
        <v>2</v>
      </c>
      <c r="C1643" s="109">
        <v>0.011941333701520063</v>
      </c>
      <c r="D1643" s="107" t="s">
        <v>3506</v>
      </c>
      <c r="E1643" s="107" t="b">
        <v>1</v>
      </c>
      <c r="F1643" s="107" t="b">
        <v>0</v>
      </c>
      <c r="G1643" s="107" t="b">
        <v>0</v>
      </c>
    </row>
    <row r="1644" spans="1:7" ht="15">
      <c r="A1644" s="87" t="s">
        <v>3802</v>
      </c>
      <c r="B1644" s="107">
        <v>2</v>
      </c>
      <c r="C1644" s="109">
        <v>0.01679665621222944</v>
      </c>
      <c r="D1644" s="107" t="s">
        <v>3506</v>
      </c>
      <c r="E1644" s="107" t="b">
        <v>0</v>
      </c>
      <c r="F1644" s="107" t="b">
        <v>0</v>
      </c>
      <c r="G1644" s="107" t="b">
        <v>0</v>
      </c>
    </row>
    <row r="1645" spans="1:7" ht="15">
      <c r="A1645" s="87" t="s">
        <v>3572</v>
      </c>
      <c r="B1645" s="107">
        <v>2</v>
      </c>
      <c r="C1645" s="109">
        <v>0.011941333701520063</v>
      </c>
      <c r="D1645" s="107" t="s">
        <v>3506</v>
      </c>
      <c r="E1645" s="107" t="b">
        <v>0</v>
      </c>
      <c r="F1645" s="107" t="b">
        <v>0</v>
      </c>
      <c r="G1645" s="107" t="b">
        <v>0</v>
      </c>
    </row>
    <row r="1646" spans="1:7" ht="15">
      <c r="A1646" s="87" t="s">
        <v>4134</v>
      </c>
      <c r="B1646" s="107">
        <v>2</v>
      </c>
      <c r="C1646" s="109">
        <v>0.011941333701520063</v>
      </c>
      <c r="D1646" s="107" t="s">
        <v>3506</v>
      </c>
      <c r="E1646" s="107" t="b">
        <v>0</v>
      </c>
      <c r="F1646" s="107" t="b">
        <v>0</v>
      </c>
      <c r="G1646" s="107" t="b">
        <v>0</v>
      </c>
    </row>
    <row r="1647" spans="1:7" ht="15">
      <c r="A1647" s="87" t="s">
        <v>3626</v>
      </c>
      <c r="B1647" s="107">
        <v>2</v>
      </c>
      <c r="C1647" s="109">
        <v>0.011941333701520063</v>
      </c>
      <c r="D1647" s="107" t="s">
        <v>3506</v>
      </c>
      <c r="E1647" s="107" t="b">
        <v>0</v>
      </c>
      <c r="F1647" s="107" t="b">
        <v>0</v>
      </c>
      <c r="G1647" s="107" t="b">
        <v>0</v>
      </c>
    </row>
    <row r="1648" spans="1:7" ht="15">
      <c r="A1648" s="87" t="s">
        <v>3821</v>
      </c>
      <c r="B1648" s="107">
        <v>2</v>
      </c>
      <c r="C1648" s="109">
        <v>0.01679665621222944</v>
      </c>
      <c r="D1648" s="107" t="s">
        <v>3506</v>
      </c>
      <c r="E1648" s="107" t="b">
        <v>0</v>
      </c>
      <c r="F1648" s="107" t="b">
        <v>0</v>
      </c>
      <c r="G1648" s="107" t="b">
        <v>0</v>
      </c>
    </row>
    <row r="1649" spans="1:7" ht="15">
      <c r="A1649" s="87" t="s">
        <v>3663</v>
      </c>
      <c r="B1649" s="107">
        <v>2</v>
      </c>
      <c r="C1649" s="109">
        <v>0.011941333701520063</v>
      </c>
      <c r="D1649" s="107" t="s">
        <v>3506</v>
      </c>
      <c r="E1649" s="107" t="b">
        <v>0</v>
      </c>
      <c r="F1649" s="107" t="b">
        <v>0</v>
      </c>
      <c r="G1649" s="107" t="b">
        <v>0</v>
      </c>
    </row>
    <row r="1650" spans="1:7" ht="15">
      <c r="A1650" s="87" t="s">
        <v>3565</v>
      </c>
      <c r="B1650" s="107">
        <v>2</v>
      </c>
      <c r="C1650" s="109">
        <v>0.011941333701520063</v>
      </c>
      <c r="D1650" s="107" t="s">
        <v>3506</v>
      </c>
      <c r="E1650" s="107" t="b">
        <v>0</v>
      </c>
      <c r="F1650" s="107" t="b">
        <v>0</v>
      </c>
      <c r="G1650" s="107" t="b">
        <v>0</v>
      </c>
    </row>
    <row r="1651" spans="1:7" ht="15">
      <c r="A1651" s="87" t="s">
        <v>4093</v>
      </c>
      <c r="B1651" s="107">
        <v>2</v>
      </c>
      <c r="C1651" s="109">
        <v>0.03612359947967774</v>
      </c>
      <c r="D1651" s="107" t="s">
        <v>3507</v>
      </c>
      <c r="E1651" s="107" t="b">
        <v>0</v>
      </c>
      <c r="F1651" s="107" t="b">
        <v>0</v>
      </c>
      <c r="G1651" s="107" t="b">
        <v>0</v>
      </c>
    </row>
    <row r="1652" spans="1:7" ht="15">
      <c r="A1652" s="87" t="s">
        <v>2783</v>
      </c>
      <c r="B1652" s="107">
        <v>2</v>
      </c>
      <c r="C1652" s="109">
        <v>0.024082399653118498</v>
      </c>
      <c r="D1652" s="107" t="s">
        <v>3507</v>
      </c>
      <c r="E1652" s="107" t="b">
        <v>0</v>
      </c>
      <c r="F1652" s="107" t="b">
        <v>0</v>
      </c>
      <c r="G1652" s="107" t="b">
        <v>0</v>
      </c>
    </row>
    <row r="1653" spans="1:7" ht="15">
      <c r="A1653" s="87" t="s">
        <v>3678</v>
      </c>
      <c r="B1653" s="107">
        <v>2</v>
      </c>
      <c r="C1653" s="109">
        <v>0.024082399653118498</v>
      </c>
      <c r="D1653" s="107" t="s">
        <v>3507</v>
      </c>
      <c r="E1653" s="107" t="b">
        <v>0</v>
      </c>
      <c r="F1653" s="107" t="b">
        <v>0</v>
      </c>
      <c r="G1653" s="107" t="b">
        <v>0</v>
      </c>
    </row>
    <row r="1654" spans="1:7" ht="15">
      <c r="A1654" s="87" t="s">
        <v>4210</v>
      </c>
      <c r="B1654" s="107">
        <v>2</v>
      </c>
      <c r="C1654" s="109">
        <v>0.03612359947967774</v>
      </c>
      <c r="D1654" s="107" t="s">
        <v>3507</v>
      </c>
      <c r="E1654" s="107" t="b">
        <v>0</v>
      </c>
      <c r="F1654" s="107" t="b">
        <v>0</v>
      </c>
      <c r="G1654" s="107" t="b">
        <v>0</v>
      </c>
    </row>
    <row r="1655" spans="1:7" ht="15">
      <c r="A1655" s="87" t="s">
        <v>3848</v>
      </c>
      <c r="B1655" s="107">
        <v>2</v>
      </c>
      <c r="C1655" s="109">
        <v>0.038169700377572995</v>
      </c>
      <c r="D1655" s="107" t="s">
        <v>3508</v>
      </c>
      <c r="E1655" s="107" t="b">
        <v>0</v>
      </c>
      <c r="F1655" s="107" t="b">
        <v>0</v>
      </c>
      <c r="G1655" s="107" t="b">
        <v>0</v>
      </c>
    </row>
    <row r="1656" spans="1:7" ht="15">
      <c r="A1656" s="87" t="s">
        <v>3556</v>
      </c>
      <c r="B1656" s="107">
        <v>2</v>
      </c>
      <c r="C1656" s="109">
        <v>0.025155894150811604</v>
      </c>
      <c r="D1656" s="107" t="s">
        <v>3509</v>
      </c>
      <c r="E1656" s="107" t="b">
        <v>0</v>
      </c>
      <c r="F1656" s="107" t="b">
        <v>0</v>
      </c>
      <c r="G1656" s="107" t="b">
        <v>0</v>
      </c>
    </row>
    <row r="1657" spans="1:7" ht="15">
      <c r="A1657" s="87" t="s">
        <v>4349</v>
      </c>
      <c r="B1657" s="107">
        <v>2</v>
      </c>
      <c r="C1657" s="109">
        <v>0.025155894150811604</v>
      </c>
      <c r="D1657" s="107" t="s">
        <v>3509</v>
      </c>
      <c r="E1657" s="107" t="b">
        <v>0</v>
      </c>
      <c r="F1657" s="107" t="b">
        <v>0</v>
      </c>
      <c r="G1657" s="107" t="b">
        <v>0</v>
      </c>
    </row>
    <row r="1658" spans="1:7" ht="15">
      <c r="A1658" s="87" t="s">
        <v>2951</v>
      </c>
      <c r="B1658" s="107">
        <v>2</v>
      </c>
      <c r="C1658" s="109">
        <v>0.0391313909012625</v>
      </c>
      <c r="D1658" s="107" t="s">
        <v>3510</v>
      </c>
      <c r="E1658" s="107" t="b">
        <v>1</v>
      </c>
      <c r="F1658" s="107" t="b">
        <v>0</v>
      </c>
      <c r="G1658" s="10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31DC2-2C47-4B70-817F-7C06E3BA909C}">
  <dimension ref="A1:L3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4363</v>
      </c>
      <c r="B1" s="13" t="s">
        <v>4364</v>
      </c>
      <c r="C1" s="13" t="s">
        <v>4354</v>
      </c>
      <c r="D1" s="13" t="s">
        <v>4358</v>
      </c>
      <c r="E1" s="13" t="s">
        <v>4365</v>
      </c>
      <c r="F1" s="13" t="s">
        <v>144</v>
      </c>
      <c r="G1" s="13" t="s">
        <v>4366</v>
      </c>
      <c r="H1" s="13" t="s">
        <v>4367</v>
      </c>
      <c r="I1" s="13" t="s">
        <v>4368</v>
      </c>
      <c r="J1" s="13" t="s">
        <v>4369</v>
      </c>
      <c r="K1" s="13" t="s">
        <v>4370</v>
      </c>
      <c r="L1" s="13" t="s">
        <v>4371</v>
      </c>
    </row>
    <row r="2" spans="1:12" ht="15">
      <c r="A2" s="107" t="s">
        <v>3538</v>
      </c>
      <c r="B2" s="107" t="s">
        <v>3554</v>
      </c>
      <c r="C2" s="107">
        <v>12</v>
      </c>
      <c r="D2" s="109">
        <v>0.003786691620107666</v>
      </c>
      <c r="E2" s="109">
        <v>1.7983933419201896</v>
      </c>
      <c r="F2" s="107" t="s">
        <v>4359</v>
      </c>
      <c r="G2" s="107" t="b">
        <v>0</v>
      </c>
      <c r="H2" s="107" t="b">
        <v>0</v>
      </c>
      <c r="I2" s="107" t="b">
        <v>0</v>
      </c>
      <c r="J2" s="107" t="b">
        <v>0</v>
      </c>
      <c r="K2" s="107" t="b">
        <v>0</v>
      </c>
      <c r="L2" s="107" t="b">
        <v>0</v>
      </c>
    </row>
    <row r="3" spans="1:12" ht="15">
      <c r="A3" s="87" t="s">
        <v>3545</v>
      </c>
      <c r="B3" s="107" t="s">
        <v>3584</v>
      </c>
      <c r="C3" s="107">
        <v>11</v>
      </c>
      <c r="D3" s="109">
        <v>0.0035567203641852486</v>
      </c>
      <c r="E3" s="109">
        <v>2.2670814291029893</v>
      </c>
      <c r="F3" s="107" t="s">
        <v>4359</v>
      </c>
      <c r="G3" s="107" t="b">
        <v>0</v>
      </c>
      <c r="H3" s="107" t="b">
        <v>0</v>
      </c>
      <c r="I3" s="107" t="b">
        <v>0</v>
      </c>
      <c r="J3" s="107" t="b">
        <v>0</v>
      </c>
      <c r="K3" s="107" t="b">
        <v>0</v>
      </c>
      <c r="L3" s="107" t="b">
        <v>0</v>
      </c>
    </row>
    <row r="4" spans="1:12" ht="15">
      <c r="A4" s="87" t="s">
        <v>3542</v>
      </c>
      <c r="B4" s="107" t="s">
        <v>3548</v>
      </c>
      <c r="C4" s="107">
        <v>11</v>
      </c>
      <c r="D4" s="109">
        <v>0.0037570982106304783</v>
      </c>
      <c r="E4" s="109">
        <v>1.896078189178207</v>
      </c>
      <c r="F4" s="107" t="s">
        <v>4359</v>
      </c>
      <c r="G4" s="107" t="b">
        <v>0</v>
      </c>
      <c r="H4" s="107" t="b">
        <v>0</v>
      </c>
      <c r="I4" s="107" t="b">
        <v>0</v>
      </c>
      <c r="J4" s="107" t="b">
        <v>0</v>
      </c>
      <c r="K4" s="107" t="b">
        <v>0</v>
      </c>
      <c r="L4" s="107" t="b">
        <v>0</v>
      </c>
    </row>
    <row r="5" spans="1:12" ht="15">
      <c r="A5" s="87" t="s">
        <v>3552</v>
      </c>
      <c r="B5" s="107" t="s">
        <v>3540</v>
      </c>
      <c r="C5" s="107">
        <v>9</v>
      </c>
      <c r="D5" s="109">
        <v>0.002987453222875881</v>
      </c>
      <c r="E5" s="109">
        <v>1.8134756412100277</v>
      </c>
      <c r="F5" s="107" t="s">
        <v>4359</v>
      </c>
      <c r="G5" s="107" t="b">
        <v>0</v>
      </c>
      <c r="H5" s="107" t="b">
        <v>0</v>
      </c>
      <c r="I5" s="107" t="b">
        <v>0</v>
      </c>
      <c r="J5" s="107" t="b">
        <v>0</v>
      </c>
      <c r="K5" s="107" t="b">
        <v>0</v>
      </c>
      <c r="L5" s="107" t="b">
        <v>0</v>
      </c>
    </row>
    <row r="6" spans="1:12" ht="15">
      <c r="A6" s="87" t="s">
        <v>3609</v>
      </c>
      <c r="B6" s="107" t="s">
        <v>3552</v>
      </c>
      <c r="C6" s="107">
        <v>9</v>
      </c>
      <c r="D6" s="109">
        <v>0.002987453222875881</v>
      </c>
      <c r="E6" s="109">
        <v>2.4779347944178824</v>
      </c>
      <c r="F6" s="107" t="s">
        <v>4359</v>
      </c>
      <c r="G6" s="107" t="b">
        <v>0</v>
      </c>
      <c r="H6" s="107" t="b">
        <v>0</v>
      </c>
      <c r="I6" s="107" t="b">
        <v>0</v>
      </c>
      <c r="J6" s="107" t="b">
        <v>0</v>
      </c>
      <c r="K6" s="107" t="b">
        <v>0</v>
      </c>
      <c r="L6" s="107" t="b">
        <v>0</v>
      </c>
    </row>
    <row r="7" spans="1:12" ht="15">
      <c r="A7" s="87" t="s">
        <v>3580</v>
      </c>
      <c r="B7" s="107" t="s">
        <v>3541</v>
      </c>
      <c r="C7" s="107">
        <v>8</v>
      </c>
      <c r="D7" s="109">
        <v>0.0027324350622767116</v>
      </c>
      <c r="E7" s="109">
        <v>2.0008135396982203</v>
      </c>
      <c r="F7" s="107" t="s">
        <v>4359</v>
      </c>
      <c r="G7" s="107" t="b">
        <v>0</v>
      </c>
      <c r="H7" s="107" t="b">
        <v>0</v>
      </c>
      <c r="I7" s="107" t="b">
        <v>0</v>
      </c>
      <c r="J7" s="107" t="b">
        <v>0</v>
      </c>
      <c r="K7" s="107" t="b">
        <v>0</v>
      </c>
      <c r="L7" s="107" t="b">
        <v>0</v>
      </c>
    </row>
    <row r="8" spans="1:12" ht="15">
      <c r="A8" s="87" t="s">
        <v>3538</v>
      </c>
      <c r="B8" s="107" t="s">
        <v>3602</v>
      </c>
      <c r="C8" s="107">
        <v>8</v>
      </c>
      <c r="D8" s="109">
        <v>0.002819640997581504</v>
      </c>
      <c r="E8" s="109">
        <v>1.9233320785284895</v>
      </c>
      <c r="F8" s="107" t="s">
        <v>4359</v>
      </c>
      <c r="G8" s="107" t="b">
        <v>0</v>
      </c>
      <c r="H8" s="107" t="b">
        <v>0</v>
      </c>
      <c r="I8" s="107" t="b">
        <v>0</v>
      </c>
      <c r="J8" s="107" t="b">
        <v>0</v>
      </c>
      <c r="K8" s="107" t="b">
        <v>0</v>
      </c>
      <c r="L8" s="107" t="b">
        <v>0</v>
      </c>
    </row>
    <row r="9" spans="1:12" ht="15">
      <c r="A9" s="87" t="s">
        <v>3551</v>
      </c>
      <c r="B9" s="107" t="s">
        <v>3538</v>
      </c>
      <c r="C9" s="107">
        <v>7</v>
      </c>
      <c r="D9" s="109">
        <v>0.0025552737539767277</v>
      </c>
      <c r="E9" s="109">
        <v>1.5816842319562445</v>
      </c>
      <c r="F9" s="107" t="s">
        <v>4359</v>
      </c>
      <c r="G9" s="107" t="b">
        <v>1</v>
      </c>
      <c r="H9" s="107" t="b">
        <v>0</v>
      </c>
      <c r="I9" s="107" t="b">
        <v>0</v>
      </c>
      <c r="J9" s="107" t="b">
        <v>0</v>
      </c>
      <c r="K9" s="107" t="b">
        <v>0</v>
      </c>
      <c r="L9" s="107" t="b">
        <v>0</v>
      </c>
    </row>
    <row r="10" spans="1:12" ht="15">
      <c r="A10" s="87" t="s">
        <v>3638</v>
      </c>
      <c r="B10" s="107" t="s">
        <v>3636</v>
      </c>
      <c r="C10" s="107">
        <v>7</v>
      </c>
      <c r="D10" s="109">
        <v>0.002467185872883816</v>
      </c>
      <c r="E10" s="109">
        <v>2.8369567370595505</v>
      </c>
      <c r="F10" s="107" t="s">
        <v>4359</v>
      </c>
      <c r="G10" s="107" t="b">
        <v>0</v>
      </c>
      <c r="H10" s="107" t="b">
        <v>0</v>
      </c>
      <c r="I10" s="107" t="b">
        <v>0</v>
      </c>
      <c r="J10" s="107" t="b">
        <v>0</v>
      </c>
      <c r="K10" s="107" t="b">
        <v>0</v>
      </c>
      <c r="L10" s="107" t="b">
        <v>0</v>
      </c>
    </row>
    <row r="11" spans="1:12" ht="15">
      <c r="A11" s="87" t="s">
        <v>3586</v>
      </c>
      <c r="B11" s="107" t="s">
        <v>3539</v>
      </c>
      <c r="C11" s="107">
        <v>7</v>
      </c>
      <c r="D11" s="109">
        <v>0.002467185872883816</v>
      </c>
      <c r="E11" s="109">
        <v>1.8522916763502526</v>
      </c>
      <c r="F11" s="107" t="s">
        <v>4359</v>
      </c>
      <c r="G11" s="107" t="b">
        <v>0</v>
      </c>
      <c r="H11" s="107" t="b">
        <v>0</v>
      </c>
      <c r="I11" s="107" t="b">
        <v>0</v>
      </c>
      <c r="J11" s="107" t="b">
        <v>0</v>
      </c>
      <c r="K11" s="107" t="b">
        <v>0</v>
      </c>
      <c r="L11" s="107" t="b">
        <v>0</v>
      </c>
    </row>
    <row r="12" spans="1:12" ht="15">
      <c r="A12" s="87" t="s">
        <v>3540</v>
      </c>
      <c r="B12" s="107" t="s">
        <v>3538</v>
      </c>
      <c r="C12" s="107">
        <v>6</v>
      </c>
      <c r="D12" s="109">
        <v>0.0021902346462657667</v>
      </c>
      <c r="E12" s="109">
        <v>1.2259419030786616</v>
      </c>
      <c r="F12" s="107" t="s">
        <v>4359</v>
      </c>
      <c r="G12" s="107" t="b">
        <v>0</v>
      </c>
      <c r="H12" s="107" t="b">
        <v>0</v>
      </c>
      <c r="I12" s="107" t="b">
        <v>0</v>
      </c>
      <c r="J12" s="107" t="b">
        <v>0</v>
      </c>
      <c r="K12" s="107" t="b">
        <v>0</v>
      </c>
      <c r="L12" s="107" t="b">
        <v>0</v>
      </c>
    </row>
    <row r="13" spans="1:12" ht="15">
      <c r="A13" s="87" t="s">
        <v>3538</v>
      </c>
      <c r="B13" s="107" t="s">
        <v>3601</v>
      </c>
      <c r="C13" s="107">
        <v>6</v>
      </c>
      <c r="D13" s="109">
        <v>0.0023888338106142796</v>
      </c>
      <c r="E13" s="109">
        <v>1.7983933419201896</v>
      </c>
      <c r="F13" s="107" t="s">
        <v>4359</v>
      </c>
      <c r="G13" s="107" t="b">
        <v>0</v>
      </c>
      <c r="H13" s="107" t="b">
        <v>0</v>
      </c>
      <c r="I13" s="107" t="b">
        <v>0</v>
      </c>
      <c r="J13" s="107" t="b">
        <v>0</v>
      </c>
      <c r="K13" s="107" t="b">
        <v>0</v>
      </c>
      <c r="L13" s="107" t="b">
        <v>0</v>
      </c>
    </row>
    <row r="14" spans="1:12" ht="15">
      <c r="A14" s="87" t="s">
        <v>2785</v>
      </c>
      <c r="B14" s="107" t="s">
        <v>3568</v>
      </c>
      <c r="C14" s="107">
        <v>5</v>
      </c>
      <c r="D14" s="109">
        <v>0.0018996140028852803</v>
      </c>
      <c r="E14" s="109">
        <v>1.6542975723832538</v>
      </c>
      <c r="F14" s="107" t="s">
        <v>4359</v>
      </c>
      <c r="G14" s="107" t="b">
        <v>1</v>
      </c>
      <c r="H14" s="107" t="b">
        <v>0</v>
      </c>
      <c r="I14" s="107" t="b">
        <v>0</v>
      </c>
      <c r="J14" s="107" t="b">
        <v>0</v>
      </c>
      <c r="K14" s="107" t="b">
        <v>0</v>
      </c>
      <c r="L14" s="107" t="b">
        <v>0</v>
      </c>
    </row>
    <row r="15" spans="1:12" ht="15">
      <c r="A15" s="87" t="s">
        <v>3553</v>
      </c>
      <c r="B15" s="107" t="s">
        <v>3686</v>
      </c>
      <c r="C15" s="107">
        <v>5</v>
      </c>
      <c r="D15" s="109">
        <v>0.0019906948421785664</v>
      </c>
      <c r="E15" s="109">
        <v>2.426782271970501</v>
      </c>
      <c r="F15" s="107" t="s">
        <v>4359</v>
      </c>
      <c r="G15" s="107" t="b">
        <v>0</v>
      </c>
      <c r="H15" s="107" t="b">
        <v>0</v>
      </c>
      <c r="I15" s="107" t="b">
        <v>0</v>
      </c>
      <c r="J15" s="107" t="b">
        <v>0</v>
      </c>
      <c r="K15" s="107" t="b">
        <v>0</v>
      </c>
      <c r="L15" s="107" t="b">
        <v>0</v>
      </c>
    </row>
    <row r="16" spans="1:12" ht="15">
      <c r="A16" s="87" t="s">
        <v>3695</v>
      </c>
      <c r="B16" s="107" t="s">
        <v>3688</v>
      </c>
      <c r="C16" s="107">
        <v>5</v>
      </c>
      <c r="D16" s="109">
        <v>0.0019906948421785664</v>
      </c>
      <c r="E16" s="109">
        <v>2.9830847727377883</v>
      </c>
      <c r="F16" s="107" t="s">
        <v>4359</v>
      </c>
      <c r="G16" s="107" t="b">
        <v>0</v>
      </c>
      <c r="H16" s="107" t="b">
        <v>1</v>
      </c>
      <c r="I16" s="107" t="b">
        <v>0</v>
      </c>
      <c r="J16" s="107" t="b">
        <v>0</v>
      </c>
      <c r="K16" s="107" t="b">
        <v>0</v>
      </c>
      <c r="L16" s="107" t="b">
        <v>0</v>
      </c>
    </row>
    <row r="17" spans="1:12" ht="15">
      <c r="A17" s="87" t="s">
        <v>3603</v>
      </c>
      <c r="B17" s="107" t="s">
        <v>3719</v>
      </c>
      <c r="C17" s="107">
        <v>4</v>
      </c>
      <c r="D17" s="109">
        <v>0.001592555873742853</v>
      </c>
      <c r="E17" s="109">
        <v>2.7789647900818637</v>
      </c>
      <c r="F17" s="107" t="s">
        <v>4359</v>
      </c>
      <c r="G17" s="107" t="b">
        <v>0</v>
      </c>
      <c r="H17" s="107" t="b">
        <v>0</v>
      </c>
      <c r="I17" s="107" t="b">
        <v>0</v>
      </c>
      <c r="J17" s="107" t="b">
        <v>1</v>
      </c>
      <c r="K17" s="107" t="b">
        <v>0</v>
      </c>
      <c r="L17" s="107" t="b">
        <v>0</v>
      </c>
    </row>
    <row r="18" spans="1:12" ht="15">
      <c r="A18" s="87" t="s">
        <v>3537</v>
      </c>
      <c r="B18" s="107" t="s">
        <v>3536</v>
      </c>
      <c r="C18" s="107">
        <v>4</v>
      </c>
      <c r="D18" s="109">
        <v>0.0016864947734483418</v>
      </c>
      <c r="E18" s="109">
        <v>0.9492590787844781</v>
      </c>
      <c r="F18" s="107" t="s">
        <v>4359</v>
      </c>
      <c r="G18" s="107" t="b">
        <v>0</v>
      </c>
      <c r="H18" s="107" t="b">
        <v>0</v>
      </c>
      <c r="I18" s="107" t="b">
        <v>0</v>
      </c>
      <c r="J18" s="107" t="b">
        <v>0</v>
      </c>
      <c r="K18" s="107" t="b">
        <v>0</v>
      </c>
      <c r="L18" s="107" t="b">
        <v>0</v>
      </c>
    </row>
    <row r="19" spans="1:12" ht="15">
      <c r="A19" s="87" t="s">
        <v>3556</v>
      </c>
      <c r="B19" s="107" t="s">
        <v>3786</v>
      </c>
      <c r="C19" s="107">
        <v>4</v>
      </c>
      <c r="D19" s="109">
        <v>0.0016864947734483418</v>
      </c>
      <c r="E19" s="109">
        <v>2.505963518018126</v>
      </c>
      <c r="F19" s="107" t="s">
        <v>4359</v>
      </c>
      <c r="G19" s="107" t="b">
        <v>0</v>
      </c>
      <c r="H19" s="107" t="b">
        <v>0</v>
      </c>
      <c r="I19" s="107" t="b">
        <v>0</v>
      </c>
      <c r="J19" s="107" t="b">
        <v>0</v>
      </c>
      <c r="K19" s="107" t="b">
        <v>0</v>
      </c>
      <c r="L19" s="107" t="b">
        <v>0</v>
      </c>
    </row>
    <row r="20" spans="1:12" ht="15">
      <c r="A20" s="87" t="s">
        <v>3540</v>
      </c>
      <c r="B20" s="107" t="s">
        <v>3616</v>
      </c>
      <c r="C20" s="107">
        <v>3</v>
      </c>
      <c r="D20" s="109">
        <v>0.0012648710800862563</v>
      </c>
      <c r="E20" s="109">
        <v>1.7120180004512506</v>
      </c>
      <c r="F20" s="107" t="s">
        <v>4359</v>
      </c>
      <c r="G20" s="107" t="b">
        <v>0</v>
      </c>
      <c r="H20" s="107" t="b">
        <v>0</v>
      </c>
      <c r="I20" s="107" t="b">
        <v>0</v>
      </c>
      <c r="J20" s="107" t="b">
        <v>0</v>
      </c>
      <c r="K20" s="107" t="b">
        <v>0</v>
      </c>
      <c r="L20" s="107" t="b">
        <v>0</v>
      </c>
    </row>
    <row r="21" spans="1:12" ht="15">
      <c r="A21" s="87" t="s">
        <v>3953</v>
      </c>
      <c r="B21" s="107" t="s">
        <v>3813</v>
      </c>
      <c r="C21" s="107">
        <v>3</v>
      </c>
      <c r="D21" s="109">
        <v>0.0012648710800862563</v>
      </c>
      <c r="E21" s="109">
        <v>3.204933522354145</v>
      </c>
      <c r="F21" s="107" t="s">
        <v>4359</v>
      </c>
      <c r="G21" s="107" t="b">
        <v>0</v>
      </c>
      <c r="H21" s="107" t="b">
        <v>0</v>
      </c>
      <c r="I21" s="107" t="b">
        <v>0</v>
      </c>
      <c r="J21" s="107" t="b">
        <v>0</v>
      </c>
      <c r="K21" s="107" t="b">
        <v>0</v>
      </c>
      <c r="L21" s="107" t="b">
        <v>0</v>
      </c>
    </row>
    <row r="22" spans="1:12" ht="15">
      <c r="A22" s="87" t="s">
        <v>3902</v>
      </c>
      <c r="B22" s="107" t="s">
        <v>3540</v>
      </c>
      <c r="C22" s="107">
        <v>3</v>
      </c>
      <c r="D22" s="109">
        <v>0.0012648710800862563</v>
      </c>
      <c r="E22" s="109">
        <v>2.137986732723532</v>
      </c>
      <c r="F22" s="107" t="s">
        <v>4359</v>
      </c>
      <c r="G22" s="107" t="b">
        <v>0</v>
      </c>
      <c r="H22" s="107" t="b">
        <v>0</v>
      </c>
      <c r="I22" s="107" t="b">
        <v>0</v>
      </c>
      <c r="J22" s="107" t="b">
        <v>0</v>
      </c>
      <c r="K22" s="107" t="b">
        <v>0</v>
      </c>
      <c r="L22" s="107" t="b">
        <v>0</v>
      </c>
    </row>
    <row r="23" spans="1:12" ht="15">
      <c r="A23" s="87" t="s">
        <v>3633</v>
      </c>
      <c r="B23" s="107" t="s">
        <v>3536</v>
      </c>
      <c r="C23" s="107">
        <v>3</v>
      </c>
      <c r="D23" s="109">
        <v>0.0012648710800862563</v>
      </c>
      <c r="E23" s="109">
        <v>1.6513201600976388</v>
      </c>
      <c r="F23" s="107" t="s">
        <v>4359</v>
      </c>
      <c r="G23" s="107" t="b">
        <v>0</v>
      </c>
      <c r="H23" s="107" t="b">
        <v>0</v>
      </c>
      <c r="I23" s="107" t="b">
        <v>0</v>
      </c>
      <c r="J23" s="107" t="b">
        <v>0</v>
      </c>
      <c r="K23" s="107" t="b">
        <v>0</v>
      </c>
      <c r="L23" s="107" t="b">
        <v>0</v>
      </c>
    </row>
    <row r="24" spans="1:12" ht="15">
      <c r="A24" s="87" t="s">
        <v>3590</v>
      </c>
      <c r="B24" s="107" t="s">
        <v>3542</v>
      </c>
      <c r="C24" s="107">
        <v>3</v>
      </c>
      <c r="D24" s="109">
        <v>0.0012648710800862563</v>
      </c>
      <c r="E24" s="109">
        <v>1.626421652800972</v>
      </c>
      <c r="F24" s="107" t="s">
        <v>4359</v>
      </c>
      <c r="G24" s="107" t="b">
        <v>0</v>
      </c>
      <c r="H24" s="107" t="b">
        <v>0</v>
      </c>
      <c r="I24" s="107" t="b">
        <v>0</v>
      </c>
      <c r="J24" s="107" t="b">
        <v>0</v>
      </c>
      <c r="K24" s="107" t="b">
        <v>0</v>
      </c>
      <c r="L24" s="107" t="b">
        <v>0</v>
      </c>
    </row>
    <row r="25" spans="1:12" ht="15">
      <c r="A25" s="87" t="s">
        <v>3854</v>
      </c>
      <c r="B25" s="107" t="s">
        <v>3902</v>
      </c>
      <c r="C25" s="107">
        <v>3</v>
      </c>
      <c r="D25" s="109">
        <v>0.0012648710800862563</v>
      </c>
      <c r="E25" s="109">
        <v>3.204933522354145</v>
      </c>
      <c r="F25" s="107" t="s">
        <v>4359</v>
      </c>
      <c r="G25" s="107" t="b">
        <v>0</v>
      </c>
      <c r="H25" s="107" t="b">
        <v>0</v>
      </c>
      <c r="I25" s="107" t="b">
        <v>0</v>
      </c>
      <c r="J25" s="107" t="b">
        <v>0</v>
      </c>
      <c r="K25" s="107" t="b">
        <v>0</v>
      </c>
      <c r="L25" s="107" t="b">
        <v>0</v>
      </c>
    </row>
    <row r="26" spans="1:12" ht="15">
      <c r="A26" s="87" t="s">
        <v>3740</v>
      </c>
      <c r="B26" s="107" t="s">
        <v>3541</v>
      </c>
      <c r="C26" s="107">
        <v>3</v>
      </c>
      <c r="D26" s="109">
        <v>0.0012648710800862563</v>
      </c>
      <c r="E26" s="109">
        <v>2.0519660621456013</v>
      </c>
      <c r="F26" s="107" t="s">
        <v>4359</v>
      </c>
      <c r="G26" s="107" t="b">
        <v>0</v>
      </c>
      <c r="H26" s="107" t="b">
        <v>0</v>
      </c>
      <c r="I26" s="107" t="b">
        <v>0</v>
      </c>
      <c r="J26" s="107" t="b">
        <v>0</v>
      </c>
      <c r="K26" s="107" t="b">
        <v>0</v>
      </c>
      <c r="L26" s="107" t="b">
        <v>0</v>
      </c>
    </row>
    <row r="27" spans="1:12" ht="15">
      <c r="A27" s="87" t="s">
        <v>3577</v>
      </c>
      <c r="B27" s="107" t="s">
        <v>3644</v>
      </c>
      <c r="C27" s="107">
        <v>3</v>
      </c>
      <c r="D27" s="109">
        <v>0.0015339244192138857</v>
      </c>
      <c r="E27" s="109">
        <v>2.381024781409826</v>
      </c>
      <c r="F27" s="107" t="s">
        <v>4359</v>
      </c>
      <c r="G27" s="107" t="b">
        <v>0</v>
      </c>
      <c r="H27" s="107" t="b">
        <v>0</v>
      </c>
      <c r="I27" s="107" t="b">
        <v>0</v>
      </c>
      <c r="J27" s="107" t="b">
        <v>0</v>
      </c>
      <c r="K27" s="107" t="b">
        <v>0</v>
      </c>
      <c r="L27" s="107" t="b">
        <v>0</v>
      </c>
    </row>
    <row r="28" spans="1:12" ht="15">
      <c r="A28" s="87" t="s">
        <v>3586</v>
      </c>
      <c r="B28" s="107" t="s">
        <v>3561</v>
      </c>
      <c r="C28" s="107">
        <v>3</v>
      </c>
      <c r="D28" s="109">
        <v>0.0012648710800862563</v>
      </c>
      <c r="E28" s="109">
        <v>1.9416920875795634</v>
      </c>
      <c r="F28" s="107" t="s">
        <v>4359</v>
      </c>
      <c r="G28" s="107" t="b">
        <v>0</v>
      </c>
      <c r="H28" s="107" t="b">
        <v>0</v>
      </c>
      <c r="I28" s="107" t="b">
        <v>0</v>
      </c>
      <c r="J28" s="107" t="b">
        <v>0</v>
      </c>
      <c r="K28" s="107" t="b">
        <v>0</v>
      </c>
      <c r="L28" s="107" t="b">
        <v>0</v>
      </c>
    </row>
    <row r="29" spans="1:12" ht="15">
      <c r="A29" s="87" t="s">
        <v>3616</v>
      </c>
      <c r="B29" s="107" t="s">
        <v>3710</v>
      </c>
      <c r="C29" s="107">
        <v>3</v>
      </c>
      <c r="D29" s="109">
        <v>0.0012648710800862563</v>
      </c>
      <c r="E29" s="109">
        <v>2.557116040465507</v>
      </c>
      <c r="F29" s="107" t="s">
        <v>4359</v>
      </c>
      <c r="G29" s="107" t="b">
        <v>0</v>
      </c>
      <c r="H29" s="107" t="b">
        <v>0</v>
      </c>
      <c r="I29" s="107" t="b">
        <v>0</v>
      </c>
      <c r="J29" s="107" t="b">
        <v>0</v>
      </c>
      <c r="K29" s="107" t="b">
        <v>0</v>
      </c>
      <c r="L29" s="107" t="b">
        <v>0</v>
      </c>
    </row>
    <row r="30" spans="1:12" ht="15">
      <c r="A30" s="87" t="s">
        <v>2681</v>
      </c>
      <c r="B30" s="107" t="s">
        <v>2681</v>
      </c>
      <c r="C30" s="107">
        <v>3</v>
      </c>
      <c r="D30" s="109">
        <v>0.0015339244192138857</v>
      </c>
      <c r="E30" s="109">
        <v>2.8581460361294884</v>
      </c>
      <c r="F30" s="107" t="s">
        <v>4359</v>
      </c>
      <c r="G30" s="107" t="b">
        <v>0</v>
      </c>
      <c r="H30" s="107" t="b">
        <v>1</v>
      </c>
      <c r="I30" s="107" t="b">
        <v>0</v>
      </c>
      <c r="J30" s="107" t="b">
        <v>0</v>
      </c>
      <c r="K30" s="107" t="b">
        <v>1</v>
      </c>
      <c r="L30" s="107" t="b">
        <v>0</v>
      </c>
    </row>
    <row r="31" spans="1:12" ht="15">
      <c r="A31" s="87" t="s">
        <v>3538</v>
      </c>
      <c r="B31" s="107" t="s">
        <v>3564</v>
      </c>
      <c r="C31" s="107">
        <v>3</v>
      </c>
      <c r="D31" s="109">
        <v>0.0012648710800862563</v>
      </c>
      <c r="E31" s="109">
        <v>1.3054778200172954</v>
      </c>
      <c r="F31" s="107" t="s">
        <v>4359</v>
      </c>
      <c r="G31" s="107" t="b">
        <v>0</v>
      </c>
      <c r="H31" s="107" t="b">
        <v>0</v>
      </c>
      <c r="I31" s="107" t="b">
        <v>0</v>
      </c>
      <c r="J31" s="107" t="b">
        <v>0</v>
      </c>
      <c r="K31" s="107" t="b">
        <v>0</v>
      </c>
      <c r="L31" s="107" t="b">
        <v>0</v>
      </c>
    </row>
    <row r="32" spans="1:12" ht="15">
      <c r="A32" s="87" t="s">
        <v>3644</v>
      </c>
      <c r="B32" s="107" t="s">
        <v>3577</v>
      </c>
      <c r="C32" s="107">
        <v>3</v>
      </c>
      <c r="D32" s="109">
        <v>0.0015339244192138857</v>
      </c>
      <c r="E32" s="109">
        <v>2.4779347944178824</v>
      </c>
      <c r="F32" s="107" t="s">
        <v>4359</v>
      </c>
      <c r="G32" s="107" t="b">
        <v>0</v>
      </c>
      <c r="H32" s="107" t="b">
        <v>0</v>
      </c>
      <c r="I32" s="107" t="b">
        <v>0</v>
      </c>
      <c r="J32" s="107" t="b">
        <v>0</v>
      </c>
      <c r="K32" s="107" t="b">
        <v>0</v>
      </c>
      <c r="L32" s="107" t="b">
        <v>0</v>
      </c>
    </row>
    <row r="33" spans="1:12" ht="15">
      <c r="A33" s="87" t="s">
        <v>3702</v>
      </c>
      <c r="B33" s="107" t="s">
        <v>3762</v>
      </c>
      <c r="C33" s="107">
        <v>3</v>
      </c>
      <c r="D33" s="109">
        <v>0.0012648710800862563</v>
      </c>
      <c r="E33" s="109">
        <v>2.8581460361294884</v>
      </c>
      <c r="F33" s="107" t="s">
        <v>4359</v>
      </c>
      <c r="G33" s="107" t="b">
        <v>0</v>
      </c>
      <c r="H33" s="107" t="b">
        <v>0</v>
      </c>
      <c r="I33" s="107" t="b">
        <v>0</v>
      </c>
      <c r="J33" s="107" t="b">
        <v>0</v>
      </c>
      <c r="K33" s="107" t="b">
        <v>0</v>
      </c>
      <c r="L33" s="107" t="b">
        <v>0</v>
      </c>
    </row>
    <row r="34" spans="1:12" ht="15">
      <c r="A34" s="87" t="s">
        <v>3941</v>
      </c>
      <c r="B34" s="107" t="s">
        <v>3642</v>
      </c>
      <c r="C34" s="107">
        <v>3</v>
      </c>
      <c r="D34" s="109">
        <v>0.0012648710800862563</v>
      </c>
      <c r="E34" s="109">
        <v>2.9039035266901636</v>
      </c>
      <c r="F34" s="107" t="s">
        <v>4359</v>
      </c>
      <c r="G34" s="107" t="b">
        <v>0</v>
      </c>
      <c r="H34" s="107" t="b">
        <v>0</v>
      </c>
      <c r="I34" s="107" t="b">
        <v>0</v>
      </c>
      <c r="J34" s="107" t="b">
        <v>0</v>
      </c>
      <c r="K34" s="107" t="b">
        <v>0</v>
      </c>
      <c r="L34" s="107" t="b">
        <v>0</v>
      </c>
    </row>
    <row r="35" spans="1:12" ht="15">
      <c r="A35" s="87" t="s">
        <v>3775</v>
      </c>
      <c r="B35" s="107" t="s">
        <v>3760</v>
      </c>
      <c r="C35" s="107">
        <v>3</v>
      </c>
      <c r="D35" s="109">
        <v>0.0012648710800862563</v>
      </c>
      <c r="E35" s="109">
        <v>2.955056049137545</v>
      </c>
      <c r="F35" s="107" t="s">
        <v>4359</v>
      </c>
      <c r="G35" s="107" t="b">
        <v>0</v>
      </c>
      <c r="H35" s="107" t="b">
        <v>0</v>
      </c>
      <c r="I35" s="107" t="b">
        <v>0</v>
      </c>
      <c r="J35" s="107" t="b">
        <v>0</v>
      </c>
      <c r="K35" s="107" t="b">
        <v>0</v>
      </c>
      <c r="L35" s="107" t="b">
        <v>0</v>
      </c>
    </row>
    <row r="36" spans="1:12" ht="15">
      <c r="A36" s="87" t="s">
        <v>2596</v>
      </c>
      <c r="B36" s="107" t="s">
        <v>3622</v>
      </c>
      <c r="C36" s="107">
        <v>3</v>
      </c>
      <c r="D36" s="109">
        <v>0.0012648710800862563</v>
      </c>
      <c r="E36" s="109">
        <v>2.3529960578095825</v>
      </c>
      <c r="F36" s="107" t="s">
        <v>4359</v>
      </c>
      <c r="G36" s="107" t="b">
        <v>0</v>
      </c>
      <c r="H36" s="107" t="b">
        <v>0</v>
      </c>
      <c r="I36" s="107" t="b">
        <v>0</v>
      </c>
      <c r="J36" s="107" t="b">
        <v>0</v>
      </c>
      <c r="K36" s="107" t="b">
        <v>0</v>
      </c>
      <c r="L36" s="107" t="b">
        <v>0</v>
      </c>
    </row>
    <row r="37" spans="1:12" ht="15">
      <c r="A37" s="87" t="s">
        <v>3540</v>
      </c>
      <c r="B37" s="107" t="s">
        <v>3953</v>
      </c>
      <c r="C37" s="107">
        <v>3</v>
      </c>
      <c r="D37" s="109">
        <v>0.0012648710800862563</v>
      </c>
      <c r="E37" s="109">
        <v>2.137986732723532</v>
      </c>
      <c r="F37" s="107" t="s">
        <v>4359</v>
      </c>
      <c r="G37" s="107" t="b">
        <v>0</v>
      </c>
      <c r="H37" s="107" t="b">
        <v>0</v>
      </c>
      <c r="I37" s="107" t="b">
        <v>0</v>
      </c>
      <c r="J37" s="107" t="b">
        <v>0</v>
      </c>
      <c r="K37" s="107" t="b">
        <v>0</v>
      </c>
      <c r="L37" s="107" t="b">
        <v>0</v>
      </c>
    </row>
    <row r="38" spans="1:12" ht="15">
      <c r="A38" s="87" t="s">
        <v>2658</v>
      </c>
      <c r="B38" s="107" t="s">
        <v>3559</v>
      </c>
      <c r="C38" s="107">
        <v>3</v>
      </c>
      <c r="D38" s="109">
        <v>0.0012648710800862563</v>
      </c>
      <c r="E38" s="109">
        <v>2.109958009123288</v>
      </c>
      <c r="F38" s="107" t="s">
        <v>4359</v>
      </c>
      <c r="G38" s="107" t="b">
        <v>0</v>
      </c>
      <c r="H38" s="107" t="b">
        <v>0</v>
      </c>
      <c r="I38" s="107" t="b">
        <v>0</v>
      </c>
      <c r="J38" s="107" t="b">
        <v>0</v>
      </c>
      <c r="K38" s="107" t="b">
        <v>0</v>
      </c>
      <c r="L38" s="107" t="b">
        <v>0</v>
      </c>
    </row>
    <row r="39" spans="1:12" ht="15">
      <c r="A39" s="87" t="s">
        <v>3540</v>
      </c>
      <c r="B39" s="107" t="s">
        <v>3919</v>
      </c>
      <c r="C39" s="107">
        <v>3</v>
      </c>
      <c r="D39" s="109">
        <v>0.0012648710800862563</v>
      </c>
      <c r="E39" s="109">
        <v>2.137986732723532</v>
      </c>
      <c r="F39" s="107" t="s">
        <v>4359</v>
      </c>
      <c r="G39" s="107" t="b">
        <v>0</v>
      </c>
      <c r="H39" s="107" t="b">
        <v>0</v>
      </c>
      <c r="I39" s="107" t="b">
        <v>0</v>
      </c>
      <c r="J39" s="107" t="b">
        <v>0</v>
      </c>
      <c r="K39" s="107" t="b">
        <v>0</v>
      </c>
      <c r="L39" s="107" t="b">
        <v>0</v>
      </c>
    </row>
    <row r="40" spans="1:12" ht="15">
      <c r="A40" s="87" t="s">
        <v>3538</v>
      </c>
      <c r="B40" s="107" t="s">
        <v>3540</v>
      </c>
      <c r="C40" s="107">
        <v>3</v>
      </c>
      <c r="D40" s="109">
        <v>0.0012648710800862563</v>
      </c>
      <c r="E40" s="109">
        <v>0.9075378113452577</v>
      </c>
      <c r="F40" s="107" t="s">
        <v>4359</v>
      </c>
      <c r="G40" s="107" t="b">
        <v>0</v>
      </c>
      <c r="H40" s="107" t="b">
        <v>0</v>
      </c>
      <c r="I40" s="107" t="b">
        <v>0</v>
      </c>
      <c r="J40" s="107" t="b">
        <v>0</v>
      </c>
      <c r="K40" s="107" t="b">
        <v>0</v>
      </c>
      <c r="L40" s="107" t="b">
        <v>0</v>
      </c>
    </row>
    <row r="41" spans="1:12" ht="15">
      <c r="A41" s="87" t="s">
        <v>3572</v>
      </c>
      <c r="B41" s="107" t="s">
        <v>3942</v>
      </c>
      <c r="C41" s="107">
        <v>3</v>
      </c>
      <c r="D41" s="109">
        <v>0.0013641706622605128</v>
      </c>
      <c r="E41" s="109">
        <v>2.5681114247669705</v>
      </c>
      <c r="F41" s="107" t="s">
        <v>4359</v>
      </c>
      <c r="G41" s="107" t="b">
        <v>0</v>
      </c>
      <c r="H41" s="107" t="b">
        <v>0</v>
      </c>
      <c r="I41" s="107" t="b">
        <v>0</v>
      </c>
      <c r="J41" s="107" t="b">
        <v>0</v>
      </c>
      <c r="K41" s="107" t="b">
        <v>0</v>
      </c>
      <c r="L41" s="107" t="b">
        <v>0</v>
      </c>
    </row>
    <row r="42" spans="1:12" ht="15">
      <c r="A42" s="87" t="s">
        <v>3561</v>
      </c>
      <c r="B42" s="107" t="s">
        <v>3564</v>
      </c>
      <c r="C42" s="107">
        <v>3</v>
      </c>
      <c r="D42" s="109">
        <v>0.0012648710800862563</v>
      </c>
      <c r="E42" s="109">
        <v>1.8089280134593069</v>
      </c>
      <c r="F42" s="107" t="s">
        <v>4359</v>
      </c>
      <c r="G42" s="107" t="b">
        <v>0</v>
      </c>
      <c r="H42" s="107" t="b">
        <v>0</v>
      </c>
      <c r="I42" s="107" t="b">
        <v>0</v>
      </c>
      <c r="J42" s="107" t="b">
        <v>0</v>
      </c>
      <c r="K42" s="107" t="b">
        <v>0</v>
      </c>
      <c r="L42" s="107" t="b">
        <v>0</v>
      </c>
    </row>
    <row r="43" spans="1:12" ht="15">
      <c r="A43" s="87" t="s">
        <v>3538</v>
      </c>
      <c r="B43" s="107" t="s">
        <v>3635</v>
      </c>
      <c r="C43" s="107">
        <v>2</v>
      </c>
      <c r="D43" s="109">
        <v>0.0009094471081736752</v>
      </c>
      <c r="E43" s="109">
        <v>1.4304165566255953</v>
      </c>
      <c r="F43" s="107" t="s">
        <v>4359</v>
      </c>
      <c r="G43" s="107" t="b">
        <v>0</v>
      </c>
      <c r="H43" s="107" t="b">
        <v>0</v>
      </c>
      <c r="I43" s="107" t="b">
        <v>0</v>
      </c>
      <c r="J43" s="107" t="b">
        <v>0</v>
      </c>
      <c r="K43" s="107" t="b">
        <v>0</v>
      </c>
      <c r="L43" s="107" t="b">
        <v>0</v>
      </c>
    </row>
    <row r="44" spans="1:12" ht="15">
      <c r="A44" s="87" t="s">
        <v>3549</v>
      </c>
      <c r="B44" s="107" t="s">
        <v>3784</v>
      </c>
      <c r="C44" s="107">
        <v>2</v>
      </c>
      <c r="D44" s="109">
        <v>0.0010226162794759238</v>
      </c>
      <c r="E44" s="109">
        <v>2.079994785745845</v>
      </c>
      <c r="F44" s="107" t="s">
        <v>4359</v>
      </c>
      <c r="G44" s="107" t="b">
        <v>0</v>
      </c>
      <c r="H44" s="107" t="b">
        <v>0</v>
      </c>
      <c r="I44" s="107" t="b">
        <v>0</v>
      </c>
      <c r="J44" s="107" t="b">
        <v>0</v>
      </c>
      <c r="K44" s="107" t="b">
        <v>0</v>
      </c>
      <c r="L44" s="107" t="b">
        <v>0</v>
      </c>
    </row>
    <row r="45" spans="1:12" ht="15">
      <c r="A45" s="87" t="s">
        <v>3540</v>
      </c>
      <c r="B45" s="107" t="s">
        <v>3820</v>
      </c>
      <c r="C45" s="107">
        <v>2</v>
      </c>
      <c r="D45" s="109">
        <v>0.0010226162794759238</v>
      </c>
      <c r="E45" s="109">
        <v>1.9618954736678504</v>
      </c>
      <c r="F45" s="107" t="s">
        <v>4359</v>
      </c>
      <c r="G45" s="107" t="b">
        <v>0</v>
      </c>
      <c r="H45" s="107" t="b">
        <v>0</v>
      </c>
      <c r="I45" s="107" t="b">
        <v>0</v>
      </c>
      <c r="J45" s="107" t="b">
        <v>0</v>
      </c>
      <c r="K45" s="107" t="b">
        <v>0</v>
      </c>
      <c r="L45" s="107" t="b">
        <v>0</v>
      </c>
    </row>
    <row r="46" spans="1:12" ht="15">
      <c r="A46" s="87" t="s">
        <v>3667</v>
      </c>
      <c r="B46" s="107" t="s">
        <v>3564</v>
      </c>
      <c r="C46" s="107">
        <v>2</v>
      </c>
      <c r="D46" s="109">
        <v>0.0010226162794759238</v>
      </c>
      <c r="E46" s="109">
        <v>2.0588054866759067</v>
      </c>
      <c r="F46" s="107" t="s">
        <v>4359</v>
      </c>
      <c r="G46" s="107" t="b">
        <v>0</v>
      </c>
      <c r="H46" s="107" t="b">
        <v>0</v>
      </c>
      <c r="I46" s="107" t="b">
        <v>0</v>
      </c>
      <c r="J46" s="107" t="b">
        <v>0</v>
      </c>
      <c r="K46" s="107" t="b">
        <v>0</v>
      </c>
      <c r="L46" s="107" t="b">
        <v>0</v>
      </c>
    </row>
    <row r="47" spans="1:12" ht="15">
      <c r="A47" s="87" t="s">
        <v>4063</v>
      </c>
      <c r="B47" s="107" t="s">
        <v>4303</v>
      </c>
      <c r="C47" s="107">
        <v>2</v>
      </c>
      <c r="D47" s="109">
        <v>0.0010226162794759238</v>
      </c>
      <c r="E47" s="109">
        <v>3.381024781409826</v>
      </c>
      <c r="F47" s="107" t="s">
        <v>4359</v>
      </c>
      <c r="G47" s="107" t="b">
        <v>0</v>
      </c>
      <c r="H47" s="107" t="b">
        <v>0</v>
      </c>
      <c r="I47" s="107" t="b">
        <v>0</v>
      </c>
      <c r="J47" s="107" t="b">
        <v>0</v>
      </c>
      <c r="K47" s="107" t="b">
        <v>0</v>
      </c>
      <c r="L47" s="107" t="b">
        <v>0</v>
      </c>
    </row>
    <row r="48" spans="1:12" ht="15">
      <c r="A48" s="87" t="s">
        <v>3637</v>
      </c>
      <c r="B48" s="107" t="s">
        <v>3757</v>
      </c>
      <c r="C48" s="107">
        <v>2</v>
      </c>
      <c r="D48" s="109">
        <v>0.0010226162794759238</v>
      </c>
      <c r="E48" s="109">
        <v>2.5359267413955693</v>
      </c>
      <c r="F48" s="107" t="s">
        <v>4359</v>
      </c>
      <c r="G48" s="107" t="b">
        <v>0</v>
      </c>
      <c r="H48" s="107" t="b">
        <v>0</v>
      </c>
      <c r="I48" s="107" t="b">
        <v>0</v>
      </c>
      <c r="J48" s="107" t="b">
        <v>1</v>
      </c>
      <c r="K48" s="107" t="b">
        <v>0</v>
      </c>
      <c r="L48" s="107" t="b">
        <v>0</v>
      </c>
    </row>
    <row r="49" spans="1:12" ht="15">
      <c r="A49" s="87" t="s">
        <v>3545</v>
      </c>
      <c r="B49" s="107" t="s">
        <v>4251</v>
      </c>
      <c r="C49" s="107">
        <v>2</v>
      </c>
      <c r="D49" s="109">
        <v>0.0009094471081736752</v>
      </c>
      <c r="E49" s="109">
        <v>2.2670814291029893</v>
      </c>
      <c r="F49" s="107" t="s">
        <v>4359</v>
      </c>
      <c r="G49" s="107" t="b">
        <v>0</v>
      </c>
      <c r="H49" s="107" t="b">
        <v>0</v>
      </c>
      <c r="I49" s="107" t="b">
        <v>0</v>
      </c>
      <c r="J49" s="107" t="b">
        <v>0</v>
      </c>
      <c r="K49" s="107" t="b">
        <v>0</v>
      </c>
      <c r="L49" s="107" t="b">
        <v>0</v>
      </c>
    </row>
    <row r="50" spans="1:12" ht="15">
      <c r="A50" s="87" t="s">
        <v>3677</v>
      </c>
      <c r="B50" s="107" t="s">
        <v>3545</v>
      </c>
      <c r="C50" s="107">
        <v>2</v>
      </c>
      <c r="D50" s="109">
        <v>0.0009094471081736752</v>
      </c>
      <c r="E50" s="109">
        <v>1.7735697581951575</v>
      </c>
      <c r="F50" s="107" t="s">
        <v>4359</v>
      </c>
      <c r="G50" s="107" t="b">
        <v>0</v>
      </c>
      <c r="H50" s="107" t="b">
        <v>0</v>
      </c>
      <c r="I50" s="107" t="b">
        <v>0</v>
      </c>
      <c r="J50" s="107" t="b">
        <v>0</v>
      </c>
      <c r="K50" s="107" t="b">
        <v>0</v>
      </c>
      <c r="L50" s="107" t="b">
        <v>0</v>
      </c>
    </row>
    <row r="51" spans="1:12" ht="15">
      <c r="A51" s="87" t="s">
        <v>3630</v>
      </c>
      <c r="B51" s="107" t="s">
        <v>4242</v>
      </c>
      <c r="C51" s="107">
        <v>2</v>
      </c>
      <c r="D51" s="109">
        <v>0.0009094471081736752</v>
      </c>
      <c r="E51" s="109">
        <v>2.8369567370595505</v>
      </c>
      <c r="F51" s="107" t="s">
        <v>4359</v>
      </c>
      <c r="G51" s="107" t="b">
        <v>0</v>
      </c>
      <c r="H51" s="107" t="b">
        <v>0</v>
      </c>
      <c r="I51" s="107" t="b">
        <v>0</v>
      </c>
      <c r="J51" s="107" t="b">
        <v>0</v>
      </c>
      <c r="K51" s="107" t="b">
        <v>0</v>
      </c>
      <c r="L51" s="107" t="b">
        <v>0</v>
      </c>
    </row>
    <row r="52" spans="1:12" ht="15">
      <c r="A52" s="87" t="s">
        <v>4047</v>
      </c>
      <c r="B52" s="107" t="s">
        <v>4149</v>
      </c>
      <c r="C52" s="107">
        <v>2</v>
      </c>
      <c r="D52" s="109">
        <v>0.0010226162794759238</v>
      </c>
      <c r="E52" s="109">
        <v>3.381024781409826</v>
      </c>
      <c r="F52" s="107" t="s">
        <v>4359</v>
      </c>
      <c r="G52" s="107" t="b">
        <v>0</v>
      </c>
      <c r="H52" s="107" t="b">
        <v>0</v>
      </c>
      <c r="I52" s="107" t="b">
        <v>0</v>
      </c>
      <c r="J52" s="107" t="b">
        <v>0</v>
      </c>
      <c r="K52" s="107" t="b">
        <v>0</v>
      </c>
      <c r="L52" s="107" t="b">
        <v>0</v>
      </c>
    </row>
    <row r="53" spans="1:12" ht="15">
      <c r="A53" s="87" t="s">
        <v>3711</v>
      </c>
      <c r="B53" s="107" t="s">
        <v>3536</v>
      </c>
      <c r="C53" s="107">
        <v>2</v>
      </c>
      <c r="D53" s="109">
        <v>0.0009094471081736752</v>
      </c>
      <c r="E53" s="109">
        <v>1.6213569367201957</v>
      </c>
      <c r="F53" s="107" t="s">
        <v>4359</v>
      </c>
      <c r="G53" s="107" t="b">
        <v>1</v>
      </c>
      <c r="H53" s="107" t="b">
        <v>0</v>
      </c>
      <c r="I53" s="107" t="b">
        <v>0</v>
      </c>
      <c r="J53" s="107" t="b">
        <v>0</v>
      </c>
      <c r="K53" s="107" t="b">
        <v>0</v>
      </c>
      <c r="L53" s="107" t="b">
        <v>0</v>
      </c>
    </row>
    <row r="54" spans="1:12" ht="15">
      <c r="A54" s="87" t="s">
        <v>3590</v>
      </c>
      <c r="B54" s="107" t="s">
        <v>3621</v>
      </c>
      <c r="C54" s="107">
        <v>2</v>
      </c>
      <c r="D54" s="109">
        <v>0.0009094471081736752</v>
      </c>
      <c r="E54" s="109">
        <v>2.03860210058762</v>
      </c>
      <c r="F54" s="107" t="s">
        <v>4359</v>
      </c>
      <c r="G54" s="107" t="b">
        <v>0</v>
      </c>
      <c r="H54" s="107" t="b">
        <v>0</v>
      </c>
      <c r="I54" s="107" t="b">
        <v>0</v>
      </c>
      <c r="J54" s="107" t="b">
        <v>0</v>
      </c>
      <c r="K54" s="107" t="b">
        <v>0</v>
      </c>
      <c r="L54" s="107" t="b">
        <v>0</v>
      </c>
    </row>
    <row r="55" spans="1:12" ht="15">
      <c r="A55" s="87" t="s">
        <v>3839</v>
      </c>
      <c r="B55" s="107" t="s">
        <v>3956</v>
      </c>
      <c r="C55" s="107">
        <v>2</v>
      </c>
      <c r="D55" s="109">
        <v>0.0009094471081736752</v>
      </c>
      <c r="E55" s="109">
        <v>3.204933522354145</v>
      </c>
      <c r="F55" s="107" t="s">
        <v>4359</v>
      </c>
      <c r="G55" s="107" t="b">
        <v>0</v>
      </c>
      <c r="H55" s="107" t="b">
        <v>0</v>
      </c>
      <c r="I55" s="107" t="b">
        <v>0</v>
      </c>
      <c r="J55" s="107" t="b">
        <v>1</v>
      </c>
      <c r="K55" s="107" t="b">
        <v>0</v>
      </c>
      <c r="L55" s="107" t="b">
        <v>0</v>
      </c>
    </row>
    <row r="56" spans="1:12" ht="15">
      <c r="A56" s="87" t="s">
        <v>3601</v>
      </c>
      <c r="B56" s="107" t="s">
        <v>3954</v>
      </c>
      <c r="C56" s="107">
        <v>2</v>
      </c>
      <c r="D56" s="109">
        <v>0.0009094471081736752</v>
      </c>
      <c r="E56" s="109">
        <v>2.6028735310261824</v>
      </c>
      <c r="F56" s="107" t="s">
        <v>4359</v>
      </c>
      <c r="G56" s="107" t="b">
        <v>0</v>
      </c>
      <c r="H56" s="107" t="b">
        <v>0</v>
      </c>
      <c r="I56" s="107" t="b">
        <v>0</v>
      </c>
      <c r="J56" s="107" t="b">
        <v>0</v>
      </c>
      <c r="K56" s="107" t="b">
        <v>0</v>
      </c>
      <c r="L56" s="107" t="b">
        <v>0</v>
      </c>
    </row>
    <row r="57" spans="1:12" ht="15">
      <c r="A57" s="87" t="s">
        <v>3608</v>
      </c>
      <c r="B57" s="107" t="s">
        <v>3949</v>
      </c>
      <c r="C57" s="107">
        <v>2</v>
      </c>
      <c r="D57" s="109">
        <v>0.0010226162794759238</v>
      </c>
      <c r="E57" s="109">
        <v>2.5517210085788014</v>
      </c>
      <c r="F57" s="107" t="s">
        <v>4359</v>
      </c>
      <c r="G57" s="107" t="b">
        <v>0</v>
      </c>
      <c r="H57" s="107" t="b">
        <v>0</v>
      </c>
      <c r="I57" s="107" t="b">
        <v>0</v>
      </c>
      <c r="J57" s="107" t="b">
        <v>0</v>
      </c>
      <c r="K57" s="107" t="b">
        <v>0</v>
      </c>
      <c r="L57" s="107" t="b">
        <v>0</v>
      </c>
    </row>
    <row r="58" spans="1:12" ht="15">
      <c r="A58" s="87" t="s">
        <v>3771</v>
      </c>
      <c r="B58" s="107" t="s">
        <v>4066</v>
      </c>
      <c r="C58" s="107">
        <v>2</v>
      </c>
      <c r="D58" s="109">
        <v>0.0010226162794759238</v>
      </c>
      <c r="E58" s="109">
        <v>3.079994785745845</v>
      </c>
      <c r="F58" s="107" t="s">
        <v>4359</v>
      </c>
      <c r="G58" s="107" t="b">
        <v>0</v>
      </c>
      <c r="H58" s="107" t="b">
        <v>0</v>
      </c>
      <c r="I58" s="107" t="b">
        <v>0</v>
      </c>
      <c r="J58" s="107" t="b">
        <v>0</v>
      </c>
      <c r="K58" s="107" t="b">
        <v>0</v>
      </c>
      <c r="L58" s="107" t="b">
        <v>0</v>
      </c>
    </row>
    <row r="59" spans="1:12" ht="15">
      <c r="A59" s="87" t="s">
        <v>3564</v>
      </c>
      <c r="B59" s="107" t="s">
        <v>3586</v>
      </c>
      <c r="C59" s="107">
        <v>2</v>
      </c>
      <c r="D59" s="109">
        <v>0.0009094471081736752</v>
      </c>
      <c r="E59" s="109">
        <v>1.8069935136821071</v>
      </c>
      <c r="F59" s="107" t="s">
        <v>4359</v>
      </c>
      <c r="G59" s="107" t="b">
        <v>0</v>
      </c>
      <c r="H59" s="107" t="b">
        <v>0</v>
      </c>
      <c r="I59" s="107" t="b">
        <v>0</v>
      </c>
      <c r="J59" s="107" t="b">
        <v>0</v>
      </c>
      <c r="K59" s="107" t="b">
        <v>0</v>
      </c>
      <c r="L59" s="107" t="b">
        <v>0</v>
      </c>
    </row>
    <row r="60" spans="1:12" ht="15">
      <c r="A60" s="87" t="s">
        <v>4009</v>
      </c>
      <c r="B60" s="107" t="s">
        <v>4179</v>
      </c>
      <c r="C60" s="107">
        <v>2</v>
      </c>
      <c r="D60" s="109">
        <v>0.0009094471081736752</v>
      </c>
      <c r="E60" s="109">
        <v>3.381024781409826</v>
      </c>
      <c r="F60" s="107" t="s">
        <v>4359</v>
      </c>
      <c r="G60" s="107" t="b">
        <v>0</v>
      </c>
      <c r="H60" s="107" t="b">
        <v>0</v>
      </c>
      <c r="I60" s="107" t="b">
        <v>0</v>
      </c>
      <c r="J60" s="107" t="b">
        <v>0</v>
      </c>
      <c r="K60" s="107" t="b">
        <v>0</v>
      </c>
      <c r="L60" s="107" t="b">
        <v>0</v>
      </c>
    </row>
    <row r="61" spans="1:12" ht="15">
      <c r="A61" s="87" t="s">
        <v>3543</v>
      </c>
      <c r="B61" s="107" t="s">
        <v>4110</v>
      </c>
      <c r="C61" s="107">
        <v>2</v>
      </c>
      <c r="D61" s="109">
        <v>0.0009094471081736752</v>
      </c>
      <c r="E61" s="109">
        <v>2.204933522354145</v>
      </c>
      <c r="F61" s="107" t="s">
        <v>4359</v>
      </c>
      <c r="G61" s="107" t="b">
        <v>1</v>
      </c>
      <c r="H61" s="107" t="b">
        <v>0</v>
      </c>
      <c r="I61" s="107" t="b">
        <v>0</v>
      </c>
      <c r="J61" s="107" t="b">
        <v>0</v>
      </c>
      <c r="K61" s="107" t="b">
        <v>0</v>
      </c>
      <c r="L61" s="107" t="b">
        <v>0</v>
      </c>
    </row>
    <row r="62" spans="1:12" ht="15">
      <c r="A62" s="87" t="s">
        <v>3554</v>
      </c>
      <c r="B62" s="107" t="s">
        <v>3676</v>
      </c>
      <c r="C62" s="107">
        <v>2</v>
      </c>
      <c r="D62" s="109">
        <v>0.0010226162794759238</v>
      </c>
      <c r="E62" s="109">
        <v>2.137986732723532</v>
      </c>
      <c r="F62" s="107" t="s">
        <v>4359</v>
      </c>
      <c r="G62" s="107" t="b">
        <v>0</v>
      </c>
      <c r="H62" s="107" t="b">
        <v>0</v>
      </c>
      <c r="I62" s="107" t="b">
        <v>0</v>
      </c>
      <c r="J62" s="107" t="b">
        <v>0</v>
      </c>
      <c r="K62" s="107" t="b">
        <v>0</v>
      </c>
      <c r="L62" s="107" t="b">
        <v>0</v>
      </c>
    </row>
    <row r="63" spans="1:12" ht="15">
      <c r="A63" s="87" t="s">
        <v>3845</v>
      </c>
      <c r="B63" s="107" t="s">
        <v>3622</v>
      </c>
      <c r="C63" s="107">
        <v>2</v>
      </c>
      <c r="D63" s="109">
        <v>0.0009094471081736752</v>
      </c>
      <c r="E63" s="109">
        <v>2.6028735310261824</v>
      </c>
      <c r="F63" s="107" t="s">
        <v>4359</v>
      </c>
      <c r="G63" s="107" t="b">
        <v>0</v>
      </c>
      <c r="H63" s="107" t="b">
        <v>0</v>
      </c>
      <c r="I63" s="107" t="b">
        <v>0</v>
      </c>
      <c r="J63" s="107" t="b">
        <v>0</v>
      </c>
      <c r="K63" s="107" t="b">
        <v>0</v>
      </c>
      <c r="L63" s="107" t="b">
        <v>0</v>
      </c>
    </row>
    <row r="64" spans="1:12" ht="15">
      <c r="A64" s="87" t="s">
        <v>3949</v>
      </c>
      <c r="B64" s="107" t="s">
        <v>3640</v>
      </c>
      <c r="C64" s="107">
        <v>2</v>
      </c>
      <c r="D64" s="109">
        <v>0.0009094471081736752</v>
      </c>
      <c r="E64" s="109">
        <v>2.9039035266901636</v>
      </c>
      <c r="F64" s="107" t="s">
        <v>4359</v>
      </c>
      <c r="G64" s="107" t="b">
        <v>0</v>
      </c>
      <c r="H64" s="107" t="b">
        <v>0</v>
      </c>
      <c r="I64" s="107" t="b">
        <v>0</v>
      </c>
      <c r="J64" s="107" t="b">
        <v>0</v>
      </c>
      <c r="K64" s="107" t="b">
        <v>0</v>
      </c>
      <c r="L64" s="107" t="b">
        <v>0</v>
      </c>
    </row>
    <row r="65" spans="1:12" ht="15">
      <c r="A65" s="87" t="s">
        <v>4159</v>
      </c>
      <c r="B65" s="107" t="s">
        <v>3594</v>
      </c>
      <c r="C65" s="107">
        <v>2</v>
      </c>
      <c r="D65" s="109">
        <v>0.0010226162794759238</v>
      </c>
      <c r="E65" s="109">
        <v>2.6820547770738075</v>
      </c>
      <c r="F65" s="107" t="s">
        <v>4359</v>
      </c>
      <c r="G65" s="107" t="b">
        <v>0</v>
      </c>
      <c r="H65" s="107" t="b">
        <v>0</v>
      </c>
      <c r="I65" s="107" t="b">
        <v>0</v>
      </c>
      <c r="J65" s="107" t="b">
        <v>0</v>
      </c>
      <c r="K65" s="107" t="b">
        <v>0</v>
      </c>
      <c r="L65" s="107" t="b">
        <v>0</v>
      </c>
    </row>
    <row r="66" spans="1:12" ht="15">
      <c r="A66" s="87" t="s">
        <v>3632</v>
      </c>
      <c r="B66" s="107" t="s">
        <v>3598</v>
      </c>
      <c r="C66" s="107">
        <v>2</v>
      </c>
      <c r="D66" s="109">
        <v>0.0009094471081736752</v>
      </c>
      <c r="E66" s="109">
        <v>2.137986732723532</v>
      </c>
      <c r="F66" s="107" t="s">
        <v>4359</v>
      </c>
      <c r="G66" s="107" t="b">
        <v>0</v>
      </c>
      <c r="H66" s="107" t="b">
        <v>0</v>
      </c>
      <c r="I66" s="107" t="b">
        <v>0</v>
      </c>
      <c r="J66" s="107" t="b">
        <v>0</v>
      </c>
      <c r="K66" s="107" t="b">
        <v>1</v>
      </c>
      <c r="L66" s="107" t="b">
        <v>0</v>
      </c>
    </row>
    <row r="67" spans="1:12" ht="15">
      <c r="A67" s="87" t="s">
        <v>3536</v>
      </c>
      <c r="B67" s="107" t="s">
        <v>3635</v>
      </c>
      <c r="C67" s="107">
        <v>2</v>
      </c>
      <c r="D67" s="109">
        <v>0.0009094471081736752</v>
      </c>
      <c r="E67" s="109">
        <v>1.4752289010419575</v>
      </c>
      <c r="F67" s="107" t="s">
        <v>4359</v>
      </c>
      <c r="G67" s="107" t="b">
        <v>0</v>
      </c>
      <c r="H67" s="107" t="b">
        <v>0</v>
      </c>
      <c r="I67" s="107" t="b">
        <v>0</v>
      </c>
      <c r="J67" s="107" t="b">
        <v>0</v>
      </c>
      <c r="K67" s="107" t="b">
        <v>0</v>
      </c>
      <c r="L67" s="107" t="b">
        <v>0</v>
      </c>
    </row>
    <row r="68" spans="1:12" ht="15">
      <c r="A68" s="87" t="s">
        <v>3869</v>
      </c>
      <c r="B68" s="107" t="s">
        <v>3714</v>
      </c>
      <c r="C68" s="107">
        <v>2</v>
      </c>
      <c r="D68" s="109">
        <v>0.0009094471081736752</v>
      </c>
      <c r="E68" s="109">
        <v>2.9039035266901636</v>
      </c>
      <c r="F68" s="107" t="s">
        <v>4359</v>
      </c>
      <c r="G68" s="107" t="b">
        <v>0</v>
      </c>
      <c r="H68" s="107" t="b">
        <v>0</v>
      </c>
      <c r="I68" s="107" t="b">
        <v>0</v>
      </c>
      <c r="J68" s="107" t="b">
        <v>0</v>
      </c>
      <c r="K68" s="107" t="b">
        <v>0</v>
      </c>
      <c r="L68" s="107" t="b">
        <v>0</v>
      </c>
    </row>
    <row r="69" spans="1:12" ht="15">
      <c r="A69" s="87" t="s">
        <v>3587</v>
      </c>
      <c r="B69" s="107" t="s">
        <v>3545</v>
      </c>
      <c r="C69" s="107">
        <v>2</v>
      </c>
      <c r="D69" s="109">
        <v>0.0009094471081736752</v>
      </c>
      <c r="E69" s="109">
        <v>1.510328323420576</v>
      </c>
      <c r="F69" s="107" t="s">
        <v>4359</v>
      </c>
      <c r="G69" s="107" t="b">
        <v>1</v>
      </c>
      <c r="H69" s="107" t="b">
        <v>0</v>
      </c>
      <c r="I69" s="107" t="b">
        <v>0</v>
      </c>
      <c r="J69" s="107" t="b">
        <v>0</v>
      </c>
      <c r="K69" s="107" t="b">
        <v>0</v>
      </c>
      <c r="L69" s="107" t="b">
        <v>0</v>
      </c>
    </row>
    <row r="70" spans="1:12" ht="15">
      <c r="A70" s="87" t="s">
        <v>3591</v>
      </c>
      <c r="B70" s="107" t="s">
        <v>4009</v>
      </c>
      <c r="C70" s="107">
        <v>2</v>
      </c>
      <c r="D70" s="109">
        <v>0.0009094471081736752</v>
      </c>
      <c r="E70" s="109">
        <v>2.6820547770738075</v>
      </c>
      <c r="F70" s="107" t="s">
        <v>4359</v>
      </c>
      <c r="G70" s="107" t="b">
        <v>0</v>
      </c>
      <c r="H70" s="107" t="b">
        <v>0</v>
      </c>
      <c r="I70" s="107" t="b">
        <v>0</v>
      </c>
      <c r="J70" s="107" t="b">
        <v>0</v>
      </c>
      <c r="K70" s="107" t="b">
        <v>0</v>
      </c>
      <c r="L70" s="107" t="b">
        <v>0</v>
      </c>
    </row>
    <row r="71" spans="1:12" ht="15">
      <c r="A71" s="87" t="s">
        <v>3618</v>
      </c>
      <c r="B71" s="107" t="s">
        <v>3547</v>
      </c>
      <c r="C71" s="107">
        <v>2</v>
      </c>
      <c r="D71" s="109">
        <v>0.0009094471081736752</v>
      </c>
      <c r="E71" s="109">
        <v>1.7182669497282521</v>
      </c>
      <c r="F71" s="107" t="s">
        <v>4359</v>
      </c>
      <c r="G71" s="107" t="b">
        <v>0</v>
      </c>
      <c r="H71" s="107" t="b">
        <v>0</v>
      </c>
      <c r="I71" s="107" t="b">
        <v>0</v>
      </c>
      <c r="J71" s="107" t="b">
        <v>0</v>
      </c>
      <c r="K71" s="107" t="b">
        <v>0</v>
      </c>
      <c r="L71" s="107" t="b">
        <v>0</v>
      </c>
    </row>
    <row r="72" spans="1:12" ht="15">
      <c r="A72" s="87" t="s">
        <v>3536</v>
      </c>
      <c r="B72" s="107" t="s">
        <v>3673</v>
      </c>
      <c r="C72" s="107">
        <v>2</v>
      </c>
      <c r="D72" s="109">
        <v>0.0009094471081736752</v>
      </c>
      <c r="E72" s="109">
        <v>1.6213569367201957</v>
      </c>
      <c r="F72" s="107" t="s">
        <v>4359</v>
      </c>
      <c r="G72" s="107" t="b">
        <v>0</v>
      </c>
      <c r="H72" s="107" t="b">
        <v>0</v>
      </c>
      <c r="I72" s="107" t="b">
        <v>0</v>
      </c>
      <c r="J72" s="107" t="b">
        <v>0</v>
      </c>
      <c r="K72" s="107" t="b">
        <v>0</v>
      </c>
      <c r="L72" s="107" t="b">
        <v>0</v>
      </c>
    </row>
    <row r="73" spans="1:12" ht="15">
      <c r="A73" s="87" t="s">
        <v>4044</v>
      </c>
      <c r="B73" s="107" t="s">
        <v>4192</v>
      </c>
      <c r="C73" s="107">
        <v>2</v>
      </c>
      <c r="D73" s="109">
        <v>0.0010226162794759238</v>
      </c>
      <c r="E73" s="109">
        <v>3.381024781409826</v>
      </c>
      <c r="F73" s="107" t="s">
        <v>4359</v>
      </c>
      <c r="G73" s="107" t="b">
        <v>0</v>
      </c>
      <c r="H73" s="107" t="b">
        <v>0</v>
      </c>
      <c r="I73" s="107" t="b">
        <v>0</v>
      </c>
      <c r="J73" s="107" t="b">
        <v>0</v>
      </c>
      <c r="K73" s="107" t="b">
        <v>0</v>
      </c>
      <c r="L73" s="107" t="b">
        <v>0</v>
      </c>
    </row>
    <row r="74" spans="1:12" ht="15">
      <c r="A74" s="87" t="s">
        <v>4014</v>
      </c>
      <c r="B74" s="107" t="s">
        <v>3644</v>
      </c>
      <c r="C74" s="107">
        <v>2</v>
      </c>
      <c r="D74" s="109">
        <v>0.0010226162794759238</v>
      </c>
      <c r="E74" s="109">
        <v>2.9830847727377883</v>
      </c>
      <c r="F74" s="107" t="s">
        <v>4359</v>
      </c>
      <c r="G74" s="107" t="b">
        <v>0</v>
      </c>
      <c r="H74" s="107" t="b">
        <v>1</v>
      </c>
      <c r="I74" s="107" t="b">
        <v>0</v>
      </c>
      <c r="J74" s="107" t="b">
        <v>0</v>
      </c>
      <c r="K74" s="107" t="b">
        <v>0</v>
      </c>
      <c r="L74" s="107" t="b">
        <v>0</v>
      </c>
    </row>
    <row r="75" spans="1:12" ht="15">
      <c r="A75" s="87" t="s">
        <v>3859</v>
      </c>
      <c r="B75" s="107" t="s">
        <v>3955</v>
      </c>
      <c r="C75" s="107">
        <v>2</v>
      </c>
      <c r="D75" s="109">
        <v>0.0009094471081736752</v>
      </c>
      <c r="E75" s="109">
        <v>3.204933522354145</v>
      </c>
      <c r="F75" s="107" t="s">
        <v>4359</v>
      </c>
      <c r="G75" s="107" t="b">
        <v>0</v>
      </c>
      <c r="H75" s="107" t="b">
        <v>0</v>
      </c>
      <c r="I75" s="107" t="b">
        <v>0</v>
      </c>
      <c r="J75" s="107" t="b">
        <v>0</v>
      </c>
      <c r="K75" s="107" t="b">
        <v>0</v>
      </c>
      <c r="L75" s="107" t="b">
        <v>0</v>
      </c>
    </row>
    <row r="76" spans="1:12" ht="15">
      <c r="A76" s="87" t="s">
        <v>3600</v>
      </c>
      <c r="B76" s="107" t="s">
        <v>3536</v>
      </c>
      <c r="C76" s="107">
        <v>2</v>
      </c>
      <c r="D76" s="109">
        <v>0.0009094471081736752</v>
      </c>
      <c r="E76" s="109">
        <v>1.3660844316168896</v>
      </c>
      <c r="F76" s="107" t="s">
        <v>4359</v>
      </c>
      <c r="G76" s="107" t="b">
        <v>0</v>
      </c>
      <c r="H76" s="107" t="b">
        <v>0</v>
      </c>
      <c r="I76" s="107" t="b">
        <v>0</v>
      </c>
      <c r="J76" s="107" t="b">
        <v>0</v>
      </c>
      <c r="K76" s="107" t="b">
        <v>0</v>
      </c>
      <c r="L76" s="107" t="b">
        <v>0</v>
      </c>
    </row>
    <row r="77" spans="1:12" ht="15">
      <c r="A77" s="87" t="s">
        <v>3623</v>
      </c>
      <c r="B77" s="107" t="s">
        <v>4302</v>
      </c>
      <c r="C77" s="107">
        <v>2</v>
      </c>
      <c r="D77" s="109">
        <v>0.0010226162794759238</v>
      </c>
      <c r="E77" s="109">
        <v>2.8369567370595505</v>
      </c>
      <c r="F77" s="107" t="s">
        <v>4359</v>
      </c>
      <c r="G77" s="107" t="b">
        <v>0</v>
      </c>
      <c r="H77" s="107" t="b">
        <v>0</v>
      </c>
      <c r="I77" s="107" t="b">
        <v>0</v>
      </c>
      <c r="J77" s="107" t="b">
        <v>0</v>
      </c>
      <c r="K77" s="107" t="b">
        <v>0</v>
      </c>
      <c r="L77" s="107" t="b">
        <v>0</v>
      </c>
    </row>
    <row r="78" spans="1:12" ht="15">
      <c r="A78" s="87" t="s">
        <v>4075</v>
      </c>
      <c r="B78" s="107" t="s">
        <v>3545</v>
      </c>
      <c r="C78" s="107">
        <v>2</v>
      </c>
      <c r="D78" s="109">
        <v>0.0009094471081736752</v>
      </c>
      <c r="E78" s="109">
        <v>2.25069101291482</v>
      </c>
      <c r="F78" s="107" t="s">
        <v>4359</v>
      </c>
      <c r="G78" s="107" t="b">
        <v>0</v>
      </c>
      <c r="H78" s="107" t="b">
        <v>0</v>
      </c>
      <c r="I78" s="107" t="b">
        <v>0</v>
      </c>
      <c r="J78" s="107" t="b">
        <v>0</v>
      </c>
      <c r="K78" s="107" t="b">
        <v>0</v>
      </c>
      <c r="L78" s="107" t="b">
        <v>0</v>
      </c>
    </row>
    <row r="79" spans="1:12" ht="15">
      <c r="A79" s="87" t="s">
        <v>3926</v>
      </c>
      <c r="B79" s="107" t="s">
        <v>2785</v>
      </c>
      <c r="C79" s="107">
        <v>2</v>
      </c>
      <c r="D79" s="109">
        <v>0.0009094471081736752</v>
      </c>
      <c r="E79" s="109">
        <v>1.9618954736678504</v>
      </c>
      <c r="F79" s="107" t="s">
        <v>4359</v>
      </c>
      <c r="G79" s="107" t="b">
        <v>0</v>
      </c>
      <c r="H79" s="107" t="b">
        <v>0</v>
      </c>
      <c r="I79" s="107" t="b">
        <v>0</v>
      </c>
      <c r="J79" s="107" t="b">
        <v>1</v>
      </c>
      <c r="K79" s="107" t="b">
        <v>0</v>
      </c>
      <c r="L79" s="107" t="b">
        <v>0</v>
      </c>
    </row>
    <row r="80" spans="1:12" ht="15">
      <c r="A80" s="87" t="s">
        <v>3797</v>
      </c>
      <c r="B80" s="107" t="s">
        <v>3543</v>
      </c>
      <c r="C80" s="107">
        <v>2</v>
      </c>
      <c r="D80" s="109">
        <v>0.0009094471081736752</v>
      </c>
      <c r="E80" s="109">
        <v>2.0288422632984635</v>
      </c>
      <c r="F80" s="107" t="s">
        <v>4359</v>
      </c>
      <c r="G80" s="107" t="b">
        <v>0</v>
      </c>
      <c r="H80" s="107" t="b">
        <v>0</v>
      </c>
      <c r="I80" s="107" t="b">
        <v>0</v>
      </c>
      <c r="J80" s="107" t="b">
        <v>1</v>
      </c>
      <c r="K80" s="107" t="b">
        <v>0</v>
      </c>
      <c r="L80" s="107" t="b">
        <v>0</v>
      </c>
    </row>
    <row r="81" spans="1:12" ht="15">
      <c r="A81" s="87" t="s">
        <v>2785</v>
      </c>
      <c r="B81" s="107" t="s">
        <v>3594</v>
      </c>
      <c r="C81" s="107">
        <v>2</v>
      </c>
      <c r="D81" s="109">
        <v>0.0009094471081736752</v>
      </c>
      <c r="E81" s="109">
        <v>1.370300916018053</v>
      </c>
      <c r="F81" s="107" t="s">
        <v>4359</v>
      </c>
      <c r="G81" s="107" t="b">
        <v>1</v>
      </c>
      <c r="H81" s="107" t="b">
        <v>0</v>
      </c>
      <c r="I81" s="107" t="b">
        <v>0</v>
      </c>
      <c r="J81" s="107" t="b">
        <v>0</v>
      </c>
      <c r="K81" s="107" t="b">
        <v>0</v>
      </c>
      <c r="L81" s="107" t="b">
        <v>0</v>
      </c>
    </row>
    <row r="82" spans="1:12" ht="15">
      <c r="A82" s="87" t="s">
        <v>4286</v>
      </c>
      <c r="B82" s="107" t="s">
        <v>3570</v>
      </c>
      <c r="C82" s="107">
        <v>2</v>
      </c>
      <c r="D82" s="109">
        <v>0.0010226162794759238</v>
      </c>
      <c r="E82" s="109">
        <v>2.5681114247669705</v>
      </c>
      <c r="F82" s="107" t="s">
        <v>4359</v>
      </c>
      <c r="G82" s="107" t="b">
        <v>0</v>
      </c>
      <c r="H82" s="107" t="b">
        <v>0</v>
      </c>
      <c r="I82" s="107" t="b">
        <v>0</v>
      </c>
      <c r="J82" s="107" t="b">
        <v>1</v>
      </c>
      <c r="K82" s="107" t="b">
        <v>0</v>
      </c>
      <c r="L82" s="107" t="b">
        <v>0</v>
      </c>
    </row>
    <row r="83" spans="1:12" ht="15">
      <c r="A83" s="87" t="s">
        <v>3719</v>
      </c>
      <c r="B83" s="107" t="s">
        <v>4012</v>
      </c>
      <c r="C83" s="107">
        <v>2</v>
      </c>
      <c r="D83" s="109">
        <v>0.0009094471081736752</v>
      </c>
      <c r="E83" s="109">
        <v>3.204933522354145</v>
      </c>
      <c r="F83" s="107" t="s">
        <v>4359</v>
      </c>
      <c r="G83" s="107" t="b">
        <v>1</v>
      </c>
      <c r="H83" s="107" t="b">
        <v>0</v>
      </c>
      <c r="I83" s="107" t="b">
        <v>0</v>
      </c>
      <c r="J83" s="107" t="b">
        <v>0</v>
      </c>
      <c r="K83" s="107" t="b">
        <v>0</v>
      </c>
      <c r="L83" s="107" t="b">
        <v>0</v>
      </c>
    </row>
    <row r="84" spans="1:12" ht="15">
      <c r="A84" s="87" t="s">
        <v>3536</v>
      </c>
      <c r="B84" s="107" t="s">
        <v>3565</v>
      </c>
      <c r="C84" s="107">
        <v>2</v>
      </c>
      <c r="D84" s="109">
        <v>0.0010226162794759238</v>
      </c>
      <c r="E84" s="109">
        <v>1.2411456950085895</v>
      </c>
      <c r="F84" s="107" t="s">
        <v>4359</v>
      </c>
      <c r="G84" s="107" t="b">
        <v>0</v>
      </c>
      <c r="H84" s="107" t="b">
        <v>0</v>
      </c>
      <c r="I84" s="107" t="b">
        <v>0</v>
      </c>
      <c r="J84" s="107" t="b">
        <v>0</v>
      </c>
      <c r="K84" s="107" t="b">
        <v>0</v>
      </c>
      <c r="L84" s="107" t="b">
        <v>0</v>
      </c>
    </row>
    <row r="85" spans="1:12" ht="15">
      <c r="A85" s="87" t="s">
        <v>3868</v>
      </c>
      <c r="B85" s="107" t="s">
        <v>3603</v>
      </c>
      <c r="C85" s="107">
        <v>2</v>
      </c>
      <c r="D85" s="109">
        <v>0.0009094471081736752</v>
      </c>
      <c r="E85" s="109">
        <v>2.660865478003869</v>
      </c>
      <c r="F85" s="107" t="s">
        <v>4359</v>
      </c>
      <c r="G85" s="107" t="b">
        <v>1</v>
      </c>
      <c r="H85" s="107" t="b">
        <v>0</v>
      </c>
      <c r="I85" s="107" t="b">
        <v>0</v>
      </c>
      <c r="J85" s="107" t="b">
        <v>0</v>
      </c>
      <c r="K85" s="107" t="b">
        <v>0</v>
      </c>
      <c r="L85" s="107" t="b">
        <v>0</v>
      </c>
    </row>
    <row r="86" spans="1:12" ht="15">
      <c r="A86" s="87" t="s">
        <v>3611</v>
      </c>
      <c r="B86" s="107" t="s">
        <v>4330</v>
      </c>
      <c r="C86" s="107">
        <v>2</v>
      </c>
      <c r="D86" s="109">
        <v>0.0009094471081736752</v>
      </c>
      <c r="E86" s="109">
        <v>2.8369567370595505</v>
      </c>
      <c r="F86" s="107" t="s">
        <v>4359</v>
      </c>
      <c r="G86" s="107" t="b">
        <v>0</v>
      </c>
      <c r="H86" s="107" t="b">
        <v>0</v>
      </c>
      <c r="I86" s="107" t="b">
        <v>0</v>
      </c>
      <c r="J86" s="107" t="b">
        <v>0</v>
      </c>
      <c r="K86" s="107" t="b">
        <v>0</v>
      </c>
      <c r="L86" s="107" t="b">
        <v>0</v>
      </c>
    </row>
    <row r="87" spans="1:12" ht="15">
      <c r="A87" s="87" t="s">
        <v>3653</v>
      </c>
      <c r="B87" s="107" t="s">
        <v>3569</v>
      </c>
      <c r="C87" s="107">
        <v>2</v>
      </c>
      <c r="D87" s="109">
        <v>0.0010226162794759238</v>
      </c>
      <c r="E87" s="109">
        <v>2.137986732723532</v>
      </c>
      <c r="F87" s="107" t="s">
        <v>4359</v>
      </c>
      <c r="G87" s="107" t="b">
        <v>0</v>
      </c>
      <c r="H87" s="107" t="b">
        <v>0</v>
      </c>
      <c r="I87" s="107" t="b">
        <v>0</v>
      </c>
      <c r="J87" s="107" t="b">
        <v>0</v>
      </c>
      <c r="K87" s="107" t="b">
        <v>0</v>
      </c>
      <c r="L87" s="107" t="b">
        <v>0</v>
      </c>
    </row>
    <row r="88" spans="1:12" ht="15">
      <c r="A88" s="87" t="s">
        <v>3618</v>
      </c>
      <c r="B88" s="107" t="s">
        <v>3734</v>
      </c>
      <c r="C88" s="107">
        <v>2</v>
      </c>
      <c r="D88" s="109">
        <v>0.0010226162794759238</v>
      </c>
      <c r="E88" s="109">
        <v>2.4779347944178824</v>
      </c>
      <c r="F88" s="107" t="s">
        <v>4359</v>
      </c>
      <c r="G88" s="107" t="b">
        <v>0</v>
      </c>
      <c r="H88" s="107" t="b">
        <v>0</v>
      </c>
      <c r="I88" s="107" t="b">
        <v>0</v>
      </c>
      <c r="J88" s="107" t="b">
        <v>0</v>
      </c>
      <c r="K88" s="107" t="b">
        <v>0</v>
      </c>
      <c r="L88" s="107" t="b">
        <v>0</v>
      </c>
    </row>
    <row r="89" spans="1:12" ht="15">
      <c r="A89" s="87" t="s">
        <v>3773</v>
      </c>
      <c r="B89" s="107" t="s">
        <v>3568</v>
      </c>
      <c r="C89" s="107">
        <v>2</v>
      </c>
      <c r="D89" s="109">
        <v>0.0009094471081736752</v>
      </c>
      <c r="E89" s="109">
        <v>2.2670814291029893</v>
      </c>
      <c r="F89" s="107" t="s">
        <v>4359</v>
      </c>
      <c r="G89" s="107" t="b">
        <v>1</v>
      </c>
      <c r="H89" s="107" t="b">
        <v>0</v>
      </c>
      <c r="I89" s="107" t="b">
        <v>0</v>
      </c>
      <c r="J89" s="107" t="b">
        <v>0</v>
      </c>
      <c r="K89" s="107" t="b">
        <v>0</v>
      </c>
      <c r="L89" s="107" t="b">
        <v>0</v>
      </c>
    </row>
    <row r="90" spans="1:12" ht="15">
      <c r="A90" s="87" t="s">
        <v>4117</v>
      </c>
      <c r="B90" s="107" t="s">
        <v>3693</v>
      </c>
      <c r="C90" s="107">
        <v>2</v>
      </c>
      <c r="D90" s="109">
        <v>0.0010226162794759238</v>
      </c>
      <c r="E90" s="109">
        <v>2.9830847727377883</v>
      </c>
      <c r="F90" s="107" t="s">
        <v>4359</v>
      </c>
      <c r="G90" s="107" t="b">
        <v>0</v>
      </c>
      <c r="H90" s="107" t="b">
        <v>1</v>
      </c>
      <c r="I90" s="107" t="b">
        <v>0</v>
      </c>
      <c r="J90" s="107" t="b">
        <v>0</v>
      </c>
      <c r="K90" s="107" t="b">
        <v>0</v>
      </c>
      <c r="L90" s="107" t="b">
        <v>0</v>
      </c>
    </row>
    <row r="91" spans="1:12" ht="15">
      <c r="A91" s="87" t="s">
        <v>3991</v>
      </c>
      <c r="B91" s="107" t="s">
        <v>4090</v>
      </c>
      <c r="C91" s="107">
        <v>2</v>
      </c>
      <c r="D91" s="109">
        <v>0.0010226162794759238</v>
      </c>
      <c r="E91" s="109">
        <v>3.381024781409826</v>
      </c>
      <c r="F91" s="107" t="s">
        <v>4359</v>
      </c>
      <c r="G91" s="107" t="b">
        <v>0</v>
      </c>
      <c r="H91" s="107" t="b">
        <v>0</v>
      </c>
      <c r="I91" s="107" t="b">
        <v>0</v>
      </c>
      <c r="J91" s="107" t="b">
        <v>0</v>
      </c>
      <c r="K91" s="107" t="b">
        <v>0</v>
      </c>
      <c r="L91" s="107" t="b">
        <v>0</v>
      </c>
    </row>
    <row r="92" spans="1:12" ht="15">
      <c r="A92" s="87" t="s">
        <v>3548</v>
      </c>
      <c r="B92" s="107" t="s">
        <v>3641</v>
      </c>
      <c r="C92" s="107">
        <v>2</v>
      </c>
      <c r="D92" s="109">
        <v>0.0009094471081736752</v>
      </c>
      <c r="E92" s="109">
        <v>1.9039035266901636</v>
      </c>
      <c r="F92" s="107" t="s">
        <v>4359</v>
      </c>
      <c r="G92" s="107" t="b">
        <v>0</v>
      </c>
      <c r="H92" s="107" t="b">
        <v>0</v>
      </c>
      <c r="I92" s="107" t="b">
        <v>0</v>
      </c>
      <c r="J92" s="107" t="b">
        <v>0</v>
      </c>
      <c r="K92" s="107" t="b">
        <v>0</v>
      </c>
      <c r="L92" s="107" t="b">
        <v>0</v>
      </c>
    </row>
    <row r="93" spans="1:12" ht="15">
      <c r="A93" s="87" t="s">
        <v>3537</v>
      </c>
      <c r="B93" s="107" t="s">
        <v>3794</v>
      </c>
      <c r="C93" s="107">
        <v>2</v>
      </c>
      <c r="D93" s="109">
        <v>0.0010226162794759238</v>
      </c>
      <c r="E93" s="109">
        <v>1.7089269234741087</v>
      </c>
      <c r="F93" s="107" t="s">
        <v>4359</v>
      </c>
      <c r="G93" s="107" t="b">
        <v>0</v>
      </c>
      <c r="H93" s="107" t="b">
        <v>0</v>
      </c>
      <c r="I93" s="107" t="b">
        <v>0</v>
      </c>
      <c r="J93" s="107" t="b">
        <v>0</v>
      </c>
      <c r="K93" s="107" t="b">
        <v>1</v>
      </c>
      <c r="L93" s="107" t="b">
        <v>0</v>
      </c>
    </row>
    <row r="94" spans="1:12" ht="15">
      <c r="A94" s="87" t="s">
        <v>4292</v>
      </c>
      <c r="B94" s="107" t="s">
        <v>3832</v>
      </c>
      <c r="C94" s="107">
        <v>2</v>
      </c>
      <c r="D94" s="109">
        <v>0.0010226162794759238</v>
      </c>
      <c r="E94" s="109">
        <v>3.381024781409826</v>
      </c>
      <c r="F94" s="107" t="s">
        <v>4359</v>
      </c>
      <c r="G94" s="107" t="b">
        <v>0</v>
      </c>
      <c r="H94" s="107" t="b">
        <v>0</v>
      </c>
      <c r="I94" s="107" t="b">
        <v>0</v>
      </c>
      <c r="J94" s="107" t="b">
        <v>0</v>
      </c>
      <c r="K94" s="107" t="b">
        <v>0</v>
      </c>
      <c r="L94" s="107" t="b">
        <v>0</v>
      </c>
    </row>
    <row r="95" spans="1:12" ht="15">
      <c r="A95" s="87" t="s">
        <v>3699</v>
      </c>
      <c r="B95" s="107" t="s">
        <v>3538</v>
      </c>
      <c r="C95" s="107">
        <v>2</v>
      </c>
      <c r="D95" s="109">
        <v>0.0009094471081736752</v>
      </c>
      <c r="E95" s="109">
        <v>1.6908287013813124</v>
      </c>
      <c r="F95" s="107" t="s">
        <v>4359</v>
      </c>
      <c r="G95" s="107" t="b">
        <v>0</v>
      </c>
      <c r="H95" s="107" t="b">
        <v>0</v>
      </c>
      <c r="I95" s="107" t="b">
        <v>0</v>
      </c>
      <c r="J95" s="107" t="b">
        <v>0</v>
      </c>
      <c r="K95" s="107" t="b">
        <v>0</v>
      </c>
      <c r="L95" s="107" t="b">
        <v>0</v>
      </c>
    </row>
    <row r="96" spans="1:12" ht="15">
      <c r="A96" s="87" t="s">
        <v>3553</v>
      </c>
      <c r="B96" s="107" t="s">
        <v>3562</v>
      </c>
      <c r="C96" s="107">
        <v>2</v>
      </c>
      <c r="D96" s="109">
        <v>0.0009094471081736752</v>
      </c>
      <c r="E96" s="109">
        <v>1.5517210085788011</v>
      </c>
      <c r="F96" s="107" t="s">
        <v>4359</v>
      </c>
      <c r="G96" s="107" t="b">
        <v>0</v>
      </c>
      <c r="H96" s="107" t="b">
        <v>0</v>
      </c>
      <c r="I96" s="107" t="b">
        <v>0</v>
      </c>
      <c r="J96" s="107" t="b">
        <v>0</v>
      </c>
      <c r="K96" s="107" t="b">
        <v>0</v>
      </c>
      <c r="L96" s="107" t="b">
        <v>0</v>
      </c>
    </row>
    <row r="97" spans="1:12" ht="15">
      <c r="A97" s="87" t="s">
        <v>3794</v>
      </c>
      <c r="B97" s="107" t="s">
        <v>3648</v>
      </c>
      <c r="C97" s="107">
        <v>2</v>
      </c>
      <c r="D97" s="109">
        <v>0.0010226162794759238</v>
      </c>
      <c r="E97" s="109">
        <v>2.6028735310261824</v>
      </c>
      <c r="F97" s="107" t="s">
        <v>4359</v>
      </c>
      <c r="G97" s="107" t="b">
        <v>0</v>
      </c>
      <c r="H97" s="107" t="b">
        <v>1</v>
      </c>
      <c r="I97" s="107" t="b">
        <v>0</v>
      </c>
      <c r="J97" s="107" t="b">
        <v>1</v>
      </c>
      <c r="K97" s="107" t="b">
        <v>0</v>
      </c>
      <c r="L97" s="107" t="b">
        <v>0</v>
      </c>
    </row>
    <row r="98" spans="1:12" ht="15">
      <c r="A98" s="87" t="s">
        <v>3651</v>
      </c>
      <c r="B98" s="107" t="s">
        <v>3835</v>
      </c>
      <c r="C98" s="107">
        <v>2</v>
      </c>
      <c r="D98" s="109">
        <v>0.0010226162794759238</v>
      </c>
      <c r="E98" s="109">
        <v>2.8069935136821074</v>
      </c>
      <c r="F98" s="107" t="s">
        <v>4359</v>
      </c>
      <c r="G98" s="107" t="b">
        <v>0</v>
      </c>
      <c r="H98" s="107" t="b">
        <v>1</v>
      </c>
      <c r="I98" s="107" t="b">
        <v>0</v>
      </c>
      <c r="J98" s="107" t="b">
        <v>0</v>
      </c>
      <c r="K98" s="107" t="b">
        <v>0</v>
      </c>
      <c r="L98" s="107" t="b">
        <v>0</v>
      </c>
    </row>
    <row r="99" spans="1:12" ht="15">
      <c r="A99" s="87" t="s">
        <v>3646</v>
      </c>
      <c r="B99" s="107" t="s">
        <v>3565</v>
      </c>
      <c r="C99" s="107">
        <v>2</v>
      </c>
      <c r="D99" s="109">
        <v>0.0010226162794759238</v>
      </c>
      <c r="E99" s="109">
        <v>2.12575227630652</v>
      </c>
      <c r="F99" s="107" t="s">
        <v>4359</v>
      </c>
      <c r="G99" s="107" t="b">
        <v>0</v>
      </c>
      <c r="H99" s="107" t="b">
        <v>0</v>
      </c>
      <c r="I99" s="107" t="b">
        <v>0</v>
      </c>
      <c r="J99" s="107" t="b">
        <v>0</v>
      </c>
      <c r="K99" s="107" t="b">
        <v>0</v>
      </c>
      <c r="L99" s="107" t="b">
        <v>0</v>
      </c>
    </row>
    <row r="100" spans="1:12" ht="15">
      <c r="A100" s="87" t="s">
        <v>4271</v>
      </c>
      <c r="B100" s="107" t="s">
        <v>3912</v>
      </c>
      <c r="C100" s="107">
        <v>2</v>
      </c>
      <c r="D100" s="109">
        <v>0.0010226162794759238</v>
      </c>
      <c r="E100" s="109">
        <v>3.204933522354145</v>
      </c>
      <c r="F100" s="107" t="s">
        <v>4359</v>
      </c>
      <c r="G100" s="107" t="b">
        <v>0</v>
      </c>
      <c r="H100" s="107" t="b">
        <v>1</v>
      </c>
      <c r="I100" s="107" t="b">
        <v>0</v>
      </c>
      <c r="J100" s="107" t="b">
        <v>0</v>
      </c>
      <c r="K100" s="107" t="b">
        <v>0</v>
      </c>
      <c r="L100" s="107" t="b">
        <v>0</v>
      </c>
    </row>
    <row r="101" spans="1:12" ht="15">
      <c r="A101" s="87" t="s">
        <v>3584</v>
      </c>
      <c r="B101" s="107" t="s">
        <v>3539</v>
      </c>
      <c r="C101" s="107">
        <v>2</v>
      </c>
      <c r="D101" s="109">
        <v>0.0009094471081736752</v>
      </c>
      <c r="E101" s="109">
        <v>1.308223631999977</v>
      </c>
      <c r="F101" s="107" t="s">
        <v>4359</v>
      </c>
      <c r="G101" s="107" t="b">
        <v>0</v>
      </c>
      <c r="H101" s="107" t="b">
        <v>0</v>
      </c>
      <c r="I101" s="107" t="b">
        <v>0</v>
      </c>
      <c r="J101" s="107" t="b">
        <v>0</v>
      </c>
      <c r="K101" s="107" t="b">
        <v>0</v>
      </c>
      <c r="L101" s="107" t="b">
        <v>0</v>
      </c>
    </row>
    <row r="102" spans="1:12" ht="15">
      <c r="A102" s="87" t="s">
        <v>3594</v>
      </c>
      <c r="B102" s="107" t="s">
        <v>4212</v>
      </c>
      <c r="C102" s="107">
        <v>2</v>
      </c>
      <c r="D102" s="109">
        <v>0.0010226162794759238</v>
      </c>
      <c r="E102" s="109">
        <v>2.6820547770738075</v>
      </c>
      <c r="F102" s="107" t="s">
        <v>4359</v>
      </c>
      <c r="G102" s="107" t="b">
        <v>0</v>
      </c>
      <c r="H102" s="107" t="b">
        <v>0</v>
      </c>
      <c r="I102" s="107" t="b">
        <v>0</v>
      </c>
      <c r="J102" s="107" t="b">
        <v>0</v>
      </c>
      <c r="K102" s="107" t="b">
        <v>1</v>
      </c>
      <c r="L102" s="107" t="b">
        <v>0</v>
      </c>
    </row>
    <row r="103" spans="1:12" ht="15">
      <c r="A103" s="87" t="s">
        <v>4349</v>
      </c>
      <c r="B103" s="107" t="s">
        <v>3556</v>
      </c>
      <c r="C103" s="107">
        <v>2</v>
      </c>
      <c r="D103" s="109">
        <v>0.0009094471081736752</v>
      </c>
      <c r="E103" s="109">
        <v>2.5359267413955693</v>
      </c>
      <c r="F103" s="107" t="s">
        <v>4359</v>
      </c>
      <c r="G103" s="107" t="b">
        <v>0</v>
      </c>
      <c r="H103" s="107" t="b">
        <v>0</v>
      </c>
      <c r="I103" s="107" t="b">
        <v>0</v>
      </c>
      <c r="J103" s="107" t="b">
        <v>0</v>
      </c>
      <c r="K103" s="107" t="b">
        <v>0</v>
      </c>
      <c r="L103" s="107" t="b">
        <v>0</v>
      </c>
    </row>
    <row r="104" spans="1:12" ht="15">
      <c r="A104" s="87" t="s">
        <v>3561</v>
      </c>
      <c r="B104" s="107" t="s">
        <v>3611</v>
      </c>
      <c r="C104" s="107">
        <v>2</v>
      </c>
      <c r="D104" s="109">
        <v>0.0009094471081736752</v>
      </c>
      <c r="E104" s="109">
        <v>1.9338667500676068</v>
      </c>
      <c r="F104" s="107" t="s">
        <v>4359</v>
      </c>
      <c r="G104" s="107" t="b">
        <v>0</v>
      </c>
      <c r="H104" s="107" t="b">
        <v>0</v>
      </c>
      <c r="I104" s="107" t="b">
        <v>0</v>
      </c>
      <c r="J104" s="107" t="b">
        <v>0</v>
      </c>
      <c r="K104" s="107" t="b">
        <v>0</v>
      </c>
      <c r="L104" s="107" t="b">
        <v>0</v>
      </c>
    </row>
    <row r="105" spans="1:12" ht="15">
      <c r="A105" s="87" t="s">
        <v>3597</v>
      </c>
      <c r="B105" s="107" t="s">
        <v>3696</v>
      </c>
      <c r="C105" s="107">
        <v>2</v>
      </c>
      <c r="D105" s="109">
        <v>0.0009094471081736752</v>
      </c>
      <c r="E105" s="109">
        <v>2.2841147684017695</v>
      </c>
      <c r="F105" s="107" t="s">
        <v>4359</v>
      </c>
      <c r="G105" s="107" t="b">
        <v>0</v>
      </c>
      <c r="H105" s="107" t="b">
        <v>0</v>
      </c>
      <c r="I105" s="107" t="b">
        <v>0</v>
      </c>
      <c r="J105" s="107" t="b">
        <v>0</v>
      </c>
      <c r="K105" s="107" t="b">
        <v>0</v>
      </c>
      <c r="L105" s="107" t="b">
        <v>0</v>
      </c>
    </row>
    <row r="106" spans="1:12" ht="15">
      <c r="A106" s="87" t="s">
        <v>3547</v>
      </c>
      <c r="B106" s="107" t="s">
        <v>3555</v>
      </c>
      <c r="C106" s="107">
        <v>2</v>
      </c>
      <c r="D106" s="109">
        <v>0.0010226162794759238</v>
      </c>
      <c r="E106" s="109">
        <v>1.4945340562373441</v>
      </c>
      <c r="F106" s="107" t="s">
        <v>4359</v>
      </c>
      <c r="G106" s="107" t="b">
        <v>0</v>
      </c>
      <c r="H106" s="107" t="b">
        <v>0</v>
      </c>
      <c r="I106" s="107" t="b">
        <v>0</v>
      </c>
      <c r="J106" s="107" t="b">
        <v>1</v>
      </c>
      <c r="K106" s="107" t="b">
        <v>0</v>
      </c>
      <c r="L106" s="107" t="b">
        <v>0</v>
      </c>
    </row>
    <row r="107" spans="1:12" ht="15">
      <c r="A107" s="87" t="s">
        <v>4194</v>
      </c>
      <c r="B107" s="107" t="s">
        <v>3991</v>
      </c>
      <c r="C107" s="107">
        <v>2</v>
      </c>
      <c r="D107" s="109">
        <v>0.0010226162794759238</v>
      </c>
      <c r="E107" s="109">
        <v>3.381024781409826</v>
      </c>
      <c r="F107" s="107" t="s">
        <v>4359</v>
      </c>
      <c r="G107" s="107" t="b">
        <v>0</v>
      </c>
      <c r="H107" s="107" t="b">
        <v>0</v>
      </c>
      <c r="I107" s="107" t="b">
        <v>0</v>
      </c>
      <c r="J107" s="107" t="b">
        <v>0</v>
      </c>
      <c r="K107" s="107" t="b">
        <v>0</v>
      </c>
      <c r="L107" s="107" t="b">
        <v>0</v>
      </c>
    </row>
    <row r="108" spans="1:12" ht="15">
      <c r="A108" s="87" t="s">
        <v>3786</v>
      </c>
      <c r="B108" s="107" t="s">
        <v>4247</v>
      </c>
      <c r="C108" s="107">
        <v>2</v>
      </c>
      <c r="D108" s="109">
        <v>0.0009094471081736752</v>
      </c>
      <c r="E108" s="109">
        <v>3.079994785745845</v>
      </c>
      <c r="F108" s="107" t="s">
        <v>4359</v>
      </c>
      <c r="G108" s="107" t="b">
        <v>0</v>
      </c>
      <c r="H108" s="107" t="b">
        <v>0</v>
      </c>
      <c r="I108" s="107" t="b">
        <v>0</v>
      </c>
      <c r="J108" s="107" t="b">
        <v>0</v>
      </c>
      <c r="K108" s="107" t="b">
        <v>0</v>
      </c>
      <c r="L108" s="107" t="b">
        <v>0</v>
      </c>
    </row>
    <row r="109" spans="1:12" ht="15">
      <c r="A109" s="87" t="s">
        <v>4090</v>
      </c>
      <c r="B109" s="107" t="s">
        <v>3540</v>
      </c>
      <c r="C109" s="107">
        <v>2</v>
      </c>
      <c r="D109" s="109">
        <v>0.0010226162794759238</v>
      </c>
      <c r="E109" s="109">
        <v>2.137986732723532</v>
      </c>
      <c r="F109" s="107" t="s">
        <v>4359</v>
      </c>
      <c r="G109" s="107" t="b">
        <v>0</v>
      </c>
      <c r="H109" s="107" t="b">
        <v>0</v>
      </c>
      <c r="I109" s="107" t="b">
        <v>0</v>
      </c>
      <c r="J109" s="107" t="b">
        <v>0</v>
      </c>
      <c r="K109" s="107" t="b">
        <v>0</v>
      </c>
      <c r="L109" s="107" t="b">
        <v>0</v>
      </c>
    </row>
    <row r="110" spans="1:12" ht="15">
      <c r="A110" s="87" t="s">
        <v>3676</v>
      </c>
      <c r="B110" s="107" t="s">
        <v>3551</v>
      </c>
      <c r="C110" s="107">
        <v>2</v>
      </c>
      <c r="D110" s="109">
        <v>0.0009094471081736752</v>
      </c>
      <c r="E110" s="109">
        <v>2.0288422632984635</v>
      </c>
      <c r="F110" s="107" t="s">
        <v>4359</v>
      </c>
      <c r="G110" s="107" t="b">
        <v>0</v>
      </c>
      <c r="H110" s="107" t="b">
        <v>0</v>
      </c>
      <c r="I110" s="107" t="b">
        <v>0</v>
      </c>
      <c r="J110" s="107" t="b">
        <v>1</v>
      </c>
      <c r="K110" s="107" t="b">
        <v>0</v>
      </c>
      <c r="L110" s="107" t="b">
        <v>0</v>
      </c>
    </row>
    <row r="111" spans="1:12" ht="15">
      <c r="A111" s="87" t="s">
        <v>3942</v>
      </c>
      <c r="B111" s="107" t="s">
        <v>3916</v>
      </c>
      <c r="C111" s="107">
        <v>2</v>
      </c>
      <c r="D111" s="109">
        <v>0.0009094471081736752</v>
      </c>
      <c r="E111" s="109">
        <v>3.0288422632984635</v>
      </c>
      <c r="F111" s="107" t="s">
        <v>4359</v>
      </c>
      <c r="G111" s="107" t="b">
        <v>0</v>
      </c>
      <c r="H111" s="107" t="b">
        <v>0</v>
      </c>
      <c r="I111" s="107" t="b">
        <v>0</v>
      </c>
      <c r="J111" s="107" t="b">
        <v>0</v>
      </c>
      <c r="K111" s="107" t="b">
        <v>0</v>
      </c>
      <c r="L111" s="107" t="b">
        <v>0</v>
      </c>
    </row>
    <row r="112" spans="1:12" ht="15">
      <c r="A112" s="87" t="s">
        <v>3559</v>
      </c>
      <c r="B112" s="107" t="s">
        <v>3559</v>
      </c>
      <c r="C112" s="107">
        <v>2</v>
      </c>
      <c r="D112" s="109">
        <v>0.0009094471081736752</v>
      </c>
      <c r="E112" s="109">
        <v>1.6997835440342388</v>
      </c>
      <c r="F112" s="107" t="s">
        <v>4359</v>
      </c>
      <c r="G112" s="107" t="b">
        <v>0</v>
      </c>
      <c r="H112" s="107" t="b">
        <v>0</v>
      </c>
      <c r="I112" s="107" t="b">
        <v>0</v>
      </c>
      <c r="J112" s="107" t="b">
        <v>0</v>
      </c>
      <c r="K112" s="107" t="b">
        <v>0</v>
      </c>
      <c r="L112" s="107" t="b">
        <v>0</v>
      </c>
    </row>
    <row r="113" spans="1:12" ht="15">
      <c r="A113" s="87" t="s">
        <v>3542</v>
      </c>
      <c r="B113" s="107" t="s">
        <v>3613</v>
      </c>
      <c r="C113" s="107">
        <v>2</v>
      </c>
      <c r="D113" s="109">
        <v>0.0009094471081736752</v>
      </c>
      <c r="E113" s="109">
        <v>1.574844807425939</v>
      </c>
      <c r="F113" s="107" t="s">
        <v>4359</v>
      </c>
      <c r="G113" s="107" t="b">
        <v>0</v>
      </c>
      <c r="H113" s="107" t="b">
        <v>0</v>
      </c>
      <c r="I113" s="107" t="b">
        <v>0</v>
      </c>
      <c r="J113" s="107" t="b">
        <v>0</v>
      </c>
      <c r="K113" s="107" t="b">
        <v>0</v>
      </c>
      <c r="L113" s="107" t="b">
        <v>0</v>
      </c>
    </row>
    <row r="114" spans="1:12" ht="15">
      <c r="A114" s="87" t="s">
        <v>2881</v>
      </c>
      <c r="B114" s="107" t="s">
        <v>4173</v>
      </c>
      <c r="C114" s="107">
        <v>2</v>
      </c>
      <c r="D114" s="109">
        <v>0.0009094471081736752</v>
      </c>
      <c r="E114" s="109">
        <v>3.079994785745845</v>
      </c>
      <c r="F114" s="107" t="s">
        <v>4359</v>
      </c>
      <c r="G114" s="107" t="b">
        <v>0</v>
      </c>
      <c r="H114" s="107" t="b">
        <v>0</v>
      </c>
      <c r="I114" s="107" t="b">
        <v>0</v>
      </c>
      <c r="J114" s="107" t="b">
        <v>0</v>
      </c>
      <c r="K114" s="107" t="b">
        <v>0</v>
      </c>
      <c r="L114" s="107" t="b">
        <v>0</v>
      </c>
    </row>
    <row r="115" spans="1:12" ht="15">
      <c r="A115" s="87" t="s">
        <v>3879</v>
      </c>
      <c r="B115" s="107" t="s">
        <v>3754</v>
      </c>
      <c r="C115" s="107">
        <v>2</v>
      </c>
      <c r="D115" s="109">
        <v>0.0009094471081736752</v>
      </c>
      <c r="E115" s="109">
        <v>2.9039035266901636</v>
      </c>
      <c r="F115" s="107" t="s">
        <v>4359</v>
      </c>
      <c r="G115" s="107" t="b">
        <v>0</v>
      </c>
      <c r="H115" s="107" t="b">
        <v>0</v>
      </c>
      <c r="I115" s="107" t="b">
        <v>0</v>
      </c>
      <c r="J115" s="107" t="b">
        <v>0</v>
      </c>
      <c r="K115" s="107" t="b">
        <v>0</v>
      </c>
      <c r="L115" s="107" t="b">
        <v>0</v>
      </c>
    </row>
    <row r="116" spans="1:12" ht="15">
      <c r="A116" s="87" t="s">
        <v>3748</v>
      </c>
      <c r="B116" s="107" t="s">
        <v>3940</v>
      </c>
      <c r="C116" s="107">
        <v>2</v>
      </c>
      <c r="D116" s="109">
        <v>0.0010226162794759238</v>
      </c>
      <c r="E116" s="109">
        <v>2.9039035266901636</v>
      </c>
      <c r="F116" s="107" t="s">
        <v>4359</v>
      </c>
      <c r="G116" s="107" t="b">
        <v>0</v>
      </c>
      <c r="H116" s="107" t="b">
        <v>0</v>
      </c>
      <c r="I116" s="107" t="b">
        <v>0</v>
      </c>
      <c r="J116" s="107" t="b">
        <v>0</v>
      </c>
      <c r="K116" s="107" t="b">
        <v>0</v>
      </c>
      <c r="L116" s="107" t="b">
        <v>0</v>
      </c>
    </row>
    <row r="117" spans="1:12" ht="15">
      <c r="A117" s="87" t="s">
        <v>2951</v>
      </c>
      <c r="B117" s="107" t="s">
        <v>3568</v>
      </c>
      <c r="C117" s="107">
        <v>2</v>
      </c>
      <c r="D117" s="109">
        <v>0.0009094471081736752</v>
      </c>
      <c r="E117" s="109">
        <v>1.8277487352727266</v>
      </c>
      <c r="F117" s="107" t="s">
        <v>4359</v>
      </c>
      <c r="G117" s="107" t="b">
        <v>1</v>
      </c>
      <c r="H117" s="107" t="b">
        <v>0</v>
      </c>
      <c r="I117" s="107" t="b">
        <v>0</v>
      </c>
      <c r="J117" s="107" t="b">
        <v>0</v>
      </c>
      <c r="K117" s="107" t="b">
        <v>0</v>
      </c>
      <c r="L117" s="107" t="b">
        <v>0</v>
      </c>
    </row>
    <row r="118" spans="1:12" ht="15">
      <c r="A118" s="87" t="s">
        <v>3639</v>
      </c>
      <c r="B118" s="107" t="s">
        <v>3571</v>
      </c>
      <c r="C118" s="107">
        <v>2</v>
      </c>
      <c r="D118" s="109">
        <v>0.0009094471081736752</v>
      </c>
      <c r="E118" s="109">
        <v>2.024043380416695</v>
      </c>
      <c r="F118" s="107" t="s">
        <v>4359</v>
      </c>
      <c r="G118" s="107" t="b">
        <v>0</v>
      </c>
      <c r="H118" s="107" t="b">
        <v>0</v>
      </c>
      <c r="I118" s="107" t="b">
        <v>0</v>
      </c>
      <c r="J118" s="107" t="b">
        <v>0</v>
      </c>
      <c r="K118" s="107" t="b">
        <v>0</v>
      </c>
      <c r="L118" s="107" t="b">
        <v>0</v>
      </c>
    </row>
    <row r="119" spans="1:12" ht="15">
      <c r="A119" s="87" t="s">
        <v>3590</v>
      </c>
      <c r="B119" s="107" t="s">
        <v>3571</v>
      </c>
      <c r="C119" s="107">
        <v>2</v>
      </c>
      <c r="D119" s="109">
        <v>0.0010226162794759238</v>
      </c>
      <c r="E119" s="109">
        <v>1.8277487352727266</v>
      </c>
      <c r="F119" s="107" t="s">
        <v>4359</v>
      </c>
      <c r="G119" s="107" t="b">
        <v>0</v>
      </c>
      <c r="H119" s="107" t="b">
        <v>0</v>
      </c>
      <c r="I119" s="107" t="b">
        <v>0</v>
      </c>
      <c r="J119" s="107" t="b">
        <v>0</v>
      </c>
      <c r="K119" s="107" t="b">
        <v>0</v>
      </c>
      <c r="L119" s="107" t="b">
        <v>0</v>
      </c>
    </row>
    <row r="120" spans="1:12" ht="15">
      <c r="A120" s="87" t="s">
        <v>4061</v>
      </c>
      <c r="B120" s="107" t="s">
        <v>3542</v>
      </c>
      <c r="C120" s="107">
        <v>2</v>
      </c>
      <c r="D120" s="109">
        <v>0.0009094471081736752</v>
      </c>
      <c r="E120" s="109">
        <v>2.190693083239535</v>
      </c>
      <c r="F120" s="107" t="s">
        <v>4359</v>
      </c>
      <c r="G120" s="107" t="b">
        <v>0</v>
      </c>
      <c r="H120" s="107" t="b">
        <v>0</v>
      </c>
      <c r="I120" s="107" t="b">
        <v>0</v>
      </c>
      <c r="J120" s="107" t="b">
        <v>0</v>
      </c>
      <c r="K120" s="107" t="b">
        <v>0</v>
      </c>
      <c r="L120" s="107" t="b">
        <v>0</v>
      </c>
    </row>
    <row r="121" spans="1:12" ht="15">
      <c r="A121" s="87" t="s">
        <v>2731</v>
      </c>
      <c r="B121" s="107" t="s">
        <v>3859</v>
      </c>
      <c r="C121" s="107">
        <v>2</v>
      </c>
      <c r="D121" s="109">
        <v>0.0009094471081736752</v>
      </c>
      <c r="E121" s="109">
        <v>3.0288422632984635</v>
      </c>
      <c r="F121" s="107" t="s">
        <v>4359</v>
      </c>
      <c r="G121" s="107" t="b">
        <v>0</v>
      </c>
      <c r="H121" s="107" t="b">
        <v>0</v>
      </c>
      <c r="I121" s="107" t="b">
        <v>0</v>
      </c>
      <c r="J121" s="107" t="b">
        <v>0</v>
      </c>
      <c r="K121" s="107" t="b">
        <v>0</v>
      </c>
      <c r="L121" s="107" t="b">
        <v>0</v>
      </c>
    </row>
    <row r="122" spans="1:12" ht="15">
      <c r="A122" s="87" t="s">
        <v>3706</v>
      </c>
      <c r="B122" s="107" t="s">
        <v>3585</v>
      </c>
      <c r="C122" s="107">
        <v>2</v>
      </c>
      <c r="D122" s="109">
        <v>0.0010226162794759238</v>
      </c>
      <c r="E122" s="109">
        <v>2.3298722589624448</v>
      </c>
      <c r="F122" s="107" t="s">
        <v>4359</v>
      </c>
      <c r="G122" s="107" t="b">
        <v>0</v>
      </c>
      <c r="H122" s="107" t="b">
        <v>0</v>
      </c>
      <c r="I122" s="107" t="b">
        <v>0</v>
      </c>
      <c r="J122" s="107" t="b">
        <v>0</v>
      </c>
      <c r="K122" s="107" t="b">
        <v>0</v>
      </c>
      <c r="L122" s="107" t="b">
        <v>0</v>
      </c>
    </row>
    <row r="123" spans="1:12" ht="15">
      <c r="A123" s="87" t="s">
        <v>2785</v>
      </c>
      <c r="B123" s="107" t="s">
        <v>4025</v>
      </c>
      <c r="C123" s="107">
        <v>2</v>
      </c>
      <c r="D123" s="109">
        <v>0.0009094471081736752</v>
      </c>
      <c r="E123" s="109">
        <v>2.0692709203540716</v>
      </c>
      <c r="F123" s="107" t="s">
        <v>4359</v>
      </c>
      <c r="G123" s="107" t="b">
        <v>1</v>
      </c>
      <c r="H123" s="107" t="b">
        <v>0</v>
      </c>
      <c r="I123" s="107" t="b">
        <v>0</v>
      </c>
      <c r="J123" s="107" t="b">
        <v>0</v>
      </c>
      <c r="K123" s="107" t="b">
        <v>0</v>
      </c>
      <c r="L123" s="107" t="b">
        <v>0</v>
      </c>
    </row>
    <row r="124" spans="1:12" ht="15">
      <c r="A124" s="87" t="s">
        <v>3813</v>
      </c>
      <c r="B124" s="107" t="s">
        <v>2658</v>
      </c>
      <c r="C124" s="107">
        <v>2</v>
      </c>
      <c r="D124" s="109">
        <v>0.0009094471081736752</v>
      </c>
      <c r="E124" s="109">
        <v>2.7278122676344823</v>
      </c>
      <c r="F124" s="107" t="s">
        <v>4359</v>
      </c>
      <c r="G124" s="107" t="b">
        <v>0</v>
      </c>
      <c r="H124" s="107" t="b">
        <v>0</v>
      </c>
      <c r="I124" s="107" t="b">
        <v>0</v>
      </c>
      <c r="J124" s="107" t="b">
        <v>0</v>
      </c>
      <c r="K124" s="107" t="b">
        <v>0</v>
      </c>
      <c r="L124" s="107" t="b">
        <v>0</v>
      </c>
    </row>
    <row r="125" spans="1:12" ht="15">
      <c r="A125" s="87" t="s">
        <v>3901</v>
      </c>
      <c r="B125" s="107" t="s">
        <v>3697</v>
      </c>
      <c r="C125" s="107">
        <v>2</v>
      </c>
      <c r="D125" s="109">
        <v>0.0009094471081736752</v>
      </c>
      <c r="E125" s="109">
        <v>2.8069935136821074</v>
      </c>
      <c r="F125" s="107" t="s">
        <v>4359</v>
      </c>
      <c r="G125" s="107" t="b">
        <v>0</v>
      </c>
      <c r="H125" s="107" t="b">
        <v>0</v>
      </c>
      <c r="I125" s="107" t="b">
        <v>0</v>
      </c>
      <c r="J125" s="107" t="b">
        <v>1</v>
      </c>
      <c r="K125" s="107" t="b">
        <v>0</v>
      </c>
      <c r="L125" s="107" t="b">
        <v>0</v>
      </c>
    </row>
    <row r="126" spans="1:12" ht="15">
      <c r="A126" s="87" t="s">
        <v>4247</v>
      </c>
      <c r="B126" s="107" t="s">
        <v>3545</v>
      </c>
      <c r="C126" s="107">
        <v>2</v>
      </c>
      <c r="D126" s="109">
        <v>0.0009094471081736752</v>
      </c>
      <c r="E126" s="109">
        <v>2.25069101291482</v>
      </c>
      <c r="F126" s="107" t="s">
        <v>4359</v>
      </c>
      <c r="G126" s="107" t="b">
        <v>0</v>
      </c>
      <c r="H126" s="107" t="b">
        <v>0</v>
      </c>
      <c r="I126" s="107" t="b">
        <v>0</v>
      </c>
      <c r="J126" s="107" t="b">
        <v>0</v>
      </c>
      <c r="K126" s="107" t="b">
        <v>0</v>
      </c>
      <c r="L126" s="107" t="b">
        <v>0</v>
      </c>
    </row>
    <row r="127" spans="1:12" ht="15">
      <c r="A127" s="87" t="s">
        <v>3549</v>
      </c>
      <c r="B127" s="107" t="s">
        <v>2881</v>
      </c>
      <c r="C127" s="107">
        <v>2</v>
      </c>
      <c r="D127" s="109">
        <v>0.0010226162794759238</v>
      </c>
      <c r="E127" s="109">
        <v>2.204933522354145</v>
      </c>
      <c r="F127" s="107" t="s">
        <v>4359</v>
      </c>
      <c r="G127" s="107" t="b">
        <v>0</v>
      </c>
      <c r="H127" s="107" t="b">
        <v>0</v>
      </c>
      <c r="I127" s="107" t="b">
        <v>0</v>
      </c>
      <c r="J127" s="107" t="b">
        <v>0</v>
      </c>
      <c r="K127" s="107" t="b">
        <v>0</v>
      </c>
      <c r="L127" s="107" t="b">
        <v>0</v>
      </c>
    </row>
    <row r="128" spans="1:12" ht="15">
      <c r="A128" s="87" t="s">
        <v>3537</v>
      </c>
      <c r="B128" s="107" t="s">
        <v>3600</v>
      </c>
      <c r="C128" s="107">
        <v>2</v>
      </c>
      <c r="D128" s="109">
        <v>0.0009094471081736752</v>
      </c>
      <c r="E128" s="109">
        <v>1.4658888747878143</v>
      </c>
      <c r="F128" s="107" t="s">
        <v>4359</v>
      </c>
      <c r="G128" s="107" t="b">
        <v>0</v>
      </c>
      <c r="H128" s="107" t="b">
        <v>0</v>
      </c>
      <c r="I128" s="107" t="b">
        <v>0</v>
      </c>
      <c r="J128" s="107" t="b">
        <v>0</v>
      </c>
      <c r="K128" s="107" t="b">
        <v>0</v>
      </c>
      <c r="L128" s="107" t="b">
        <v>0</v>
      </c>
    </row>
    <row r="129" spans="1:12" ht="15">
      <c r="A129" s="87" t="s">
        <v>3822</v>
      </c>
      <c r="B129" s="107" t="s">
        <v>3701</v>
      </c>
      <c r="C129" s="107">
        <v>2</v>
      </c>
      <c r="D129" s="109">
        <v>0.0010226162794759238</v>
      </c>
      <c r="E129" s="109">
        <v>2.8069935136821074</v>
      </c>
      <c r="F129" s="107" t="s">
        <v>4359</v>
      </c>
      <c r="G129" s="107" t="b">
        <v>1</v>
      </c>
      <c r="H129" s="107" t="b">
        <v>0</v>
      </c>
      <c r="I129" s="107" t="b">
        <v>0</v>
      </c>
      <c r="J129" s="107" t="b">
        <v>0</v>
      </c>
      <c r="K129" s="107" t="b">
        <v>0</v>
      </c>
      <c r="L129" s="107" t="b">
        <v>0</v>
      </c>
    </row>
    <row r="130" spans="1:12" ht="15">
      <c r="A130" s="87" t="s">
        <v>3593</v>
      </c>
      <c r="B130" s="107" t="s">
        <v>3732</v>
      </c>
      <c r="C130" s="107">
        <v>2</v>
      </c>
      <c r="D130" s="109">
        <v>0.0010226162794759238</v>
      </c>
      <c r="E130" s="109">
        <v>2.426782271970501</v>
      </c>
      <c r="F130" s="107" t="s">
        <v>4359</v>
      </c>
      <c r="G130" s="107" t="b">
        <v>0</v>
      </c>
      <c r="H130" s="107" t="b">
        <v>0</v>
      </c>
      <c r="I130" s="107" t="b">
        <v>0</v>
      </c>
      <c r="J130" s="107" t="b">
        <v>0</v>
      </c>
      <c r="K130" s="107" t="b">
        <v>0</v>
      </c>
      <c r="L130" s="107" t="b">
        <v>0</v>
      </c>
    </row>
    <row r="131" spans="1:12" ht="15">
      <c r="A131" s="87" t="s">
        <v>3621</v>
      </c>
      <c r="B131" s="107" t="s">
        <v>3917</v>
      </c>
      <c r="C131" s="107">
        <v>2</v>
      </c>
      <c r="D131" s="109">
        <v>0.0009094471081736752</v>
      </c>
      <c r="E131" s="109">
        <v>2.6028735310261824</v>
      </c>
      <c r="F131" s="107" t="s">
        <v>4359</v>
      </c>
      <c r="G131" s="107" t="b">
        <v>0</v>
      </c>
      <c r="H131" s="107" t="b">
        <v>0</v>
      </c>
      <c r="I131" s="107" t="b">
        <v>0</v>
      </c>
      <c r="J131" s="107" t="b">
        <v>0</v>
      </c>
      <c r="K131" s="107" t="b">
        <v>0</v>
      </c>
      <c r="L131" s="107" t="b">
        <v>0</v>
      </c>
    </row>
    <row r="132" spans="1:12" ht="15">
      <c r="A132" s="87" t="s">
        <v>3703</v>
      </c>
      <c r="B132" s="107" t="s">
        <v>3560</v>
      </c>
      <c r="C132" s="107">
        <v>2</v>
      </c>
      <c r="D132" s="109">
        <v>0.0009094471081736752</v>
      </c>
      <c r="E132" s="109">
        <v>2.234896745731588</v>
      </c>
      <c r="F132" s="107" t="s">
        <v>4359</v>
      </c>
      <c r="G132" s="107" t="b">
        <v>0</v>
      </c>
      <c r="H132" s="107" t="b">
        <v>0</v>
      </c>
      <c r="I132" s="107" t="b">
        <v>0</v>
      </c>
      <c r="J132" s="107" t="b">
        <v>0</v>
      </c>
      <c r="K132" s="107" t="b">
        <v>0</v>
      </c>
      <c r="L132" s="107" t="b">
        <v>0</v>
      </c>
    </row>
    <row r="133" spans="1:12" ht="15">
      <c r="A133" s="87" t="s">
        <v>3540</v>
      </c>
      <c r="B133" s="107" t="s">
        <v>3569</v>
      </c>
      <c r="C133" s="107">
        <v>2</v>
      </c>
      <c r="D133" s="109">
        <v>0.0009094471081736752</v>
      </c>
      <c r="E133" s="109">
        <v>1.2928886927092746</v>
      </c>
      <c r="F133" s="107" t="s">
        <v>4359</v>
      </c>
      <c r="G133" s="107" t="b">
        <v>0</v>
      </c>
      <c r="H133" s="107" t="b">
        <v>0</v>
      </c>
      <c r="I133" s="107" t="b">
        <v>0</v>
      </c>
      <c r="J133" s="107" t="b">
        <v>0</v>
      </c>
      <c r="K133" s="107" t="b">
        <v>0</v>
      </c>
      <c r="L133" s="107" t="b">
        <v>0</v>
      </c>
    </row>
    <row r="134" spans="1:12" ht="15">
      <c r="A134" s="87" t="s">
        <v>4128</v>
      </c>
      <c r="B134" s="107" t="s">
        <v>3670</v>
      </c>
      <c r="C134" s="107">
        <v>2</v>
      </c>
      <c r="D134" s="109">
        <v>0.0010226162794759238</v>
      </c>
      <c r="E134" s="109">
        <v>2.9039035266901636</v>
      </c>
      <c r="F134" s="107" t="s">
        <v>4359</v>
      </c>
      <c r="G134" s="107" t="b">
        <v>1</v>
      </c>
      <c r="H134" s="107" t="b">
        <v>0</v>
      </c>
      <c r="I134" s="107" t="b">
        <v>0</v>
      </c>
      <c r="J134" s="107" t="b">
        <v>1</v>
      </c>
      <c r="K134" s="107" t="b">
        <v>0</v>
      </c>
      <c r="L134" s="107" t="b">
        <v>0</v>
      </c>
    </row>
    <row r="135" spans="1:12" ht="15">
      <c r="A135" s="87" t="s">
        <v>3538</v>
      </c>
      <c r="B135" s="107" t="s">
        <v>3548</v>
      </c>
      <c r="C135" s="107">
        <v>2</v>
      </c>
      <c r="D135" s="109">
        <v>0.0009094471081736752</v>
      </c>
      <c r="E135" s="109">
        <v>0.9532953019059328</v>
      </c>
      <c r="F135" s="107" t="s">
        <v>4359</v>
      </c>
      <c r="G135" s="107" t="b">
        <v>0</v>
      </c>
      <c r="H135" s="107" t="b">
        <v>0</v>
      </c>
      <c r="I135" s="107" t="b">
        <v>0</v>
      </c>
      <c r="J135" s="107" t="b">
        <v>0</v>
      </c>
      <c r="K135" s="107" t="b">
        <v>0</v>
      </c>
      <c r="L135" s="107" t="b">
        <v>0</v>
      </c>
    </row>
    <row r="136" spans="1:12" ht="15">
      <c r="A136" s="87" t="s">
        <v>2785</v>
      </c>
      <c r="B136" s="107" t="s">
        <v>3543</v>
      </c>
      <c r="C136" s="107">
        <v>2</v>
      </c>
      <c r="D136" s="109">
        <v>0.0009094471081736752</v>
      </c>
      <c r="E136" s="109">
        <v>0.8931796612983905</v>
      </c>
      <c r="F136" s="107" t="s">
        <v>4359</v>
      </c>
      <c r="G136" s="107" t="b">
        <v>1</v>
      </c>
      <c r="H136" s="107" t="b">
        <v>0</v>
      </c>
      <c r="I136" s="107" t="b">
        <v>0</v>
      </c>
      <c r="J136" s="107" t="b">
        <v>1</v>
      </c>
      <c r="K136" s="107" t="b">
        <v>0</v>
      </c>
      <c r="L136" s="107" t="b">
        <v>0</v>
      </c>
    </row>
    <row r="137" spans="1:12" ht="15">
      <c r="A137" s="87" t="s">
        <v>2632</v>
      </c>
      <c r="B137" s="107" t="s">
        <v>2941</v>
      </c>
      <c r="C137" s="107">
        <v>2</v>
      </c>
      <c r="D137" s="109">
        <v>0.0009094471081736752</v>
      </c>
      <c r="E137" s="109">
        <v>2.301843535362201</v>
      </c>
      <c r="F137" s="107" t="s">
        <v>4359</v>
      </c>
      <c r="G137" s="107" t="b">
        <v>1</v>
      </c>
      <c r="H137" s="107" t="b">
        <v>0</v>
      </c>
      <c r="I137" s="107" t="b">
        <v>0</v>
      </c>
      <c r="J137" s="107" t="b">
        <v>0</v>
      </c>
      <c r="K137" s="107" t="b">
        <v>0</v>
      </c>
      <c r="L137" s="107" t="b">
        <v>0</v>
      </c>
    </row>
    <row r="138" spans="1:12" ht="15">
      <c r="A138" s="87" t="s">
        <v>3578</v>
      </c>
      <c r="B138" s="107" t="s">
        <v>3557</v>
      </c>
      <c r="C138" s="107">
        <v>2</v>
      </c>
      <c r="D138" s="109">
        <v>0.0009094471081736752</v>
      </c>
      <c r="E138" s="109">
        <v>1.6997835440342388</v>
      </c>
      <c r="F138" s="107" t="s">
        <v>4359</v>
      </c>
      <c r="G138" s="107" t="b">
        <v>0</v>
      </c>
      <c r="H138" s="107" t="b">
        <v>0</v>
      </c>
      <c r="I138" s="107" t="b">
        <v>0</v>
      </c>
      <c r="J138" s="107" t="b">
        <v>1</v>
      </c>
      <c r="K138" s="107" t="b">
        <v>0</v>
      </c>
      <c r="L138" s="107" t="b">
        <v>0</v>
      </c>
    </row>
    <row r="139" spans="1:12" ht="15">
      <c r="A139" s="87" t="s">
        <v>3762</v>
      </c>
      <c r="B139" s="107" t="s">
        <v>3784</v>
      </c>
      <c r="C139" s="107">
        <v>2</v>
      </c>
      <c r="D139" s="109">
        <v>0.0009094471081736752</v>
      </c>
      <c r="E139" s="109">
        <v>2.7789647900818637</v>
      </c>
      <c r="F139" s="107" t="s">
        <v>4359</v>
      </c>
      <c r="G139" s="107" t="b">
        <v>0</v>
      </c>
      <c r="H139" s="107" t="b">
        <v>0</v>
      </c>
      <c r="I139" s="107" t="b">
        <v>0</v>
      </c>
      <c r="J139" s="107" t="b">
        <v>0</v>
      </c>
      <c r="K139" s="107" t="b">
        <v>0</v>
      </c>
      <c r="L139" s="107" t="b">
        <v>0</v>
      </c>
    </row>
    <row r="140" spans="1:12" ht="15">
      <c r="A140" s="87" t="s">
        <v>4340</v>
      </c>
      <c r="B140" s="107" t="s">
        <v>4234</v>
      </c>
      <c r="C140" s="107">
        <v>2</v>
      </c>
      <c r="D140" s="109">
        <v>0.0010226162794759238</v>
      </c>
      <c r="E140" s="109">
        <v>3.381024781409826</v>
      </c>
      <c r="F140" s="107" t="s">
        <v>4359</v>
      </c>
      <c r="G140" s="107" t="b">
        <v>0</v>
      </c>
      <c r="H140" s="107" t="b">
        <v>0</v>
      </c>
      <c r="I140" s="107" t="b">
        <v>0</v>
      </c>
      <c r="J140" s="107" t="b">
        <v>0</v>
      </c>
      <c r="K140" s="107" t="b">
        <v>0</v>
      </c>
      <c r="L140" s="107" t="b">
        <v>0</v>
      </c>
    </row>
    <row r="141" spans="1:12" ht="15">
      <c r="A141" s="87" t="s">
        <v>3665</v>
      </c>
      <c r="B141" s="107" t="s">
        <v>3540</v>
      </c>
      <c r="C141" s="107">
        <v>2</v>
      </c>
      <c r="D141" s="109">
        <v>0.0009094471081736752</v>
      </c>
      <c r="E141" s="109">
        <v>1.740046724051494</v>
      </c>
      <c r="F141" s="107" t="s">
        <v>4359</v>
      </c>
      <c r="G141" s="107" t="b">
        <v>0</v>
      </c>
      <c r="H141" s="107" t="b">
        <v>0</v>
      </c>
      <c r="I141" s="107" t="b">
        <v>0</v>
      </c>
      <c r="J141" s="107" t="b">
        <v>0</v>
      </c>
      <c r="K141" s="107" t="b">
        <v>0</v>
      </c>
      <c r="L141" s="107" t="b">
        <v>0</v>
      </c>
    </row>
    <row r="142" spans="1:12" ht="15">
      <c r="A142" s="87" t="s">
        <v>3896</v>
      </c>
      <c r="B142" s="107" t="s">
        <v>4254</v>
      </c>
      <c r="C142" s="107">
        <v>2</v>
      </c>
      <c r="D142" s="109">
        <v>0.0010226162794759238</v>
      </c>
      <c r="E142" s="109">
        <v>3.204933522354145</v>
      </c>
      <c r="F142" s="107" t="s">
        <v>4359</v>
      </c>
      <c r="G142" s="107" t="b">
        <v>0</v>
      </c>
      <c r="H142" s="107" t="b">
        <v>0</v>
      </c>
      <c r="I142" s="107" t="b">
        <v>0</v>
      </c>
      <c r="J142" s="107" t="b">
        <v>0</v>
      </c>
      <c r="K142" s="107" t="b">
        <v>0</v>
      </c>
      <c r="L142" s="107" t="b">
        <v>0</v>
      </c>
    </row>
    <row r="143" spans="1:12" ht="15">
      <c r="A143" s="87" t="s">
        <v>3602</v>
      </c>
      <c r="B143" s="107" t="s">
        <v>3539</v>
      </c>
      <c r="C143" s="107">
        <v>2</v>
      </c>
      <c r="D143" s="109">
        <v>0.0009094471081736752</v>
      </c>
      <c r="E143" s="109">
        <v>1.5045182771439451</v>
      </c>
      <c r="F143" s="107" t="s">
        <v>4359</v>
      </c>
      <c r="G143" s="107" t="b">
        <v>0</v>
      </c>
      <c r="H143" s="107" t="b">
        <v>0</v>
      </c>
      <c r="I143" s="107" t="b">
        <v>0</v>
      </c>
      <c r="J143" s="107" t="b">
        <v>0</v>
      </c>
      <c r="K143" s="107" t="b">
        <v>0</v>
      </c>
      <c r="L143" s="107" t="b">
        <v>0</v>
      </c>
    </row>
    <row r="144" spans="1:12" ht="15">
      <c r="A144" s="87" t="s">
        <v>3666</v>
      </c>
      <c r="B144" s="107" t="s">
        <v>3992</v>
      </c>
      <c r="C144" s="107">
        <v>2</v>
      </c>
      <c r="D144" s="109">
        <v>0.0009094471081736752</v>
      </c>
      <c r="E144" s="109">
        <v>2.9039035266901636</v>
      </c>
      <c r="F144" s="107" t="s">
        <v>4359</v>
      </c>
      <c r="G144" s="107" t="b">
        <v>0</v>
      </c>
      <c r="H144" s="107" t="b">
        <v>0</v>
      </c>
      <c r="I144" s="107" t="b">
        <v>0</v>
      </c>
      <c r="J144" s="107" t="b">
        <v>0</v>
      </c>
      <c r="K144" s="107" t="b">
        <v>0</v>
      </c>
      <c r="L144" s="107" t="b">
        <v>0</v>
      </c>
    </row>
    <row r="145" spans="1:12" ht="15">
      <c r="A145" s="87" t="s">
        <v>4278</v>
      </c>
      <c r="B145" s="107" t="s">
        <v>3553</v>
      </c>
      <c r="C145" s="107">
        <v>2</v>
      </c>
      <c r="D145" s="109">
        <v>0.0009094471081736752</v>
      </c>
      <c r="E145" s="109">
        <v>2.426782271970501</v>
      </c>
      <c r="F145" s="107" t="s">
        <v>4359</v>
      </c>
      <c r="G145" s="107" t="b">
        <v>0</v>
      </c>
      <c r="H145" s="107" t="b">
        <v>0</v>
      </c>
      <c r="I145" s="107" t="b">
        <v>0</v>
      </c>
      <c r="J145" s="107" t="b">
        <v>0</v>
      </c>
      <c r="K145" s="107" t="b">
        <v>0</v>
      </c>
      <c r="L145" s="107" t="b">
        <v>0</v>
      </c>
    </row>
    <row r="146" spans="1:12" ht="15">
      <c r="A146" s="87" t="s">
        <v>3844</v>
      </c>
      <c r="B146" s="107" t="s">
        <v>3558</v>
      </c>
      <c r="C146" s="107">
        <v>2</v>
      </c>
      <c r="D146" s="109">
        <v>0.0009094471081736752</v>
      </c>
      <c r="E146" s="109">
        <v>2.3298722589624448</v>
      </c>
      <c r="F146" s="107" t="s">
        <v>4359</v>
      </c>
      <c r="G146" s="107" t="b">
        <v>0</v>
      </c>
      <c r="H146" s="107" t="b">
        <v>0</v>
      </c>
      <c r="I146" s="107" t="b">
        <v>0</v>
      </c>
      <c r="J146" s="107" t="b">
        <v>0</v>
      </c>
      <c r="K146" s="107" t="b">
        <v>0</v>
      </c>
      <c r="L146" s="107" t="b">
        <v>0</v>
      </c>
    </row>
    <row r="147" spans="1:12" ht="15">
      <c r="A147" s="87" t="s">
        <v>4175</v>
      </c>
      <c r="B147" s="107" t="s">
        <v>3593</v>
      </c>
      <c r="C147" s="107">
        <v>2</v>
      </c>
      <c r="D147" s="109">
        <v>0.0010226162794759238</v>
      </c>
      <c r="E147" s="109">
        <v>2.6820547770738075</v>
      </c>
      <c r="F147" s="107" t="s">
        <v>4359</v>
      </c>
      <c r="G147" s="107" t="b">
        <v>0</v>
      </c>
      <c r="H147" s="107" t="b">
        <v>0</v>
      </c>
      <c r="I147" s="107" t="b">
        <v>0</v>
      </c>
      <c r="J147" s="107" t="b">
        <v>0</v>
      </c>
      <c r="K147" s="107" t="b">
        <v>0</v>
      </c>
      <c r="L147" s="107" t="b">
        <v>0</v>
      </c>
    </row>
    <row r="148" spans="1:12" ht="15">
      <c r="A148" s="87" t="s">
        <v>3598</v>
      </c>
      <c r="B148" s="107" t="s">
        <v>3812</v>
      </c>
      <c r="C148" s="107">
        <v>2</v>
      </c>
      <c r="D148" s="109">
        <v>0.0009094471081736752</v>
      </c>
      <c r="E148" s="109">
        <v>2.6028735310261824</v>
      </c>
      <c r="F148" s="107" t="s">
        <v>4359</v>
      </c>
      <c r="G148" s="107" t="b">
        <v>0</v>
      </c>
      <c r="H148" s="107" t="b">
        <v>1</v>
      </c>
      <c r="I148" s="107" t="b">
        <v>0</v>
      </c>
      <c r="J148" s="107" t="b">
        <v>0</v>
      </c>
      <c r="K148" s="107" t="b">
        <v>0</v>
      </c>
      <c r="L148" s="107" t="b">
        <v>0</v>
      </c>
    </row>
    <row r="149" spans="1:12" ht="15">
      <c r="A149" s="87" t="s">
        <v>3923</v>
      </c>
      <c r="B149" s="107" t="s">
        <v>3721</v>
      </c>
      <c r="C149" s="107">
        <v>2</v>
      </c>
      <c r="D149" s="109">
        <v>0.0009094471081736752</v>
      </c>
      <c r="E149" s="109">
        <v>2.9039035266901636</v>
      </c>
      <c r="F149" s="107" t="s">
        <v>4359</v>
      </c>
      <c r="G149" s="107" t="b">
        <v>0</v>
      </c>
      <c r="H149" s="107" t="b">
        <v>0</v>
      </c>
      <c r="I149" s="107" t="b">
        <v>0</v>
      </c>
      <c r="J149" s="107" t="b">
        <v>0</v>
      </c>
      <c r="K149" s="107" t="b">
        <v>0</v>
      </c>
      <c r="L149" s="107" t="b">
        <v>0</v>
      </c>
    </row>
    <row r="150" spans="1:12" ht="15">
      <c r="A150" s="87" t="s">
        <v>3630</v>
      </c>
      <c r="B150" s="107" t="s">
        <v>4082</v>
      </c>
      <c r="C150" s="107">
        <v>2</v>
      </c>
      <c r="D150" s="109">
        <v>0.0009094471081736752</v>
      </c>
      <c r="E150" s="109">
        <v>2.8369567370595505</v>
      </c>
      <c r="F150" s="107" t="s">
        <v>4359</v>
      </c>
      <c r="G150" s="107" t="b">
        <v>0</v>
      </c>
      <c r="H150" s="107" t="b">
        <v>0</v>
      </c>
      <c r="I150" s="107" t="b">
        <v>0</v>
      </c>
      <c r="J150" s="107" t="b">
        <v>0</v>
      </c>
      <c r="K150" s="107" t="b">
        <v>0</v>
      </c>
      <c r="L150" s="107" t="b">
        <v>0</v>
      </c>
    </row>
    <row r="151" spans="1:12" ht="15">
      <c r="A151" s="87" t="s">
        <v>3627</v>
      </c>
      <c r="B151" s="107" t="s">
        <v>4185</v>
      </c>
      <c r="C151" s="107">
        <v>2</v>
      </c>
      <c r="D151" s="109">
        <v>0.0010226162794759238</v>
      </c>
      <c r="E151" s="109">
        <v>2.8369567370595505</v>
      </c>
      <c r="F151" s="107" t="s">
        <v>4359</v>
      </c>
      <c r="G151" s="107" t="b">
        <v>0</v>
      </c>
      <c r="H151" s="107" t="b">
        <v>0</v>
      </c>
      <c r="I151" s="107" t="b">
        <v>0</v>
      </c>
      <c r="J151" s="107" t="b">
        <v>0</v>
      </c>
      <c r="K151" s="107" t="b">
        <v>0</v>
      </c>
      <c r="L151" s="107" t="b">
        <v>0</v>
      </c>
    </row>
    <row r="152" spans="1:12" ht="15">
      <c r="A152" s="87" t="s">
        <v>4245</v>
      </c>
      <c r="B152" s="107" t="s">
        <v>3711</v>
      </c>
      <c r="C152" s="107">
        <v>2</v>
      </c>
      <c r="D152" s="109">
        <v>0.0010226162794759238</v>
      </c>
      <c r="E152" s="109">
        <v>2.9830847727377883</v>
      </c>
      <c r="F152" s="107" t="s">
        <v>4359</v>
      </c>
      <c r="G152" s="107" t="b">
        <v>0</v>
      </c>
      <c r="H152" s="107" t="b">
        <v>0</v>
      </c>
      <c r="I152" s="107" t="b">
        <v>0</v>
      </c>
      <c r="J152" s="107" t="b">
        <v>1</v>
      </c>
      <c r="K152" s="107" t="b">
        <v>0</v>
      </c>
      <c r="L152" s="107" t="b">
        <v>0</v>
      </c>
    </row>
    <row r="153" spans="1:12" ht="15">
      <c r="A153" s="87" t="s">
        <v>3576</v>
      </c>
      <c r="B153" s="107" t="s">
        <v>4215</v>
      </c>
      <c r="C153" s="107">
        <v>2</v>
      </c>
      <c r="D153" s="109">
        <v>0.0010226162794759238</v>
      </c>
      <c r="E153" s="109">
        <v>2.640662091915582</v>
      </c>
      <c r="F153" s="107" t="s">
        <v>4359</v>
      </c>
      <c r="G153" s="107" t="b">
        <v>0</v>
      </c>
      <c r="H153" s="107" t="b">
        <v>0</v>
      </c>
      <c r="I153" s="107" t="b">
        <v>0</v>
      </c>
      <c r="J153" s="107" t="b">
        <v>0</v>
      </c>
      <c r="K153" s="107" t="b">
        <v>0</v>
      </c>
      <c r="L153" s="107" t="b">
        <v>0</v>
      </c>
    </row>
    <row r="154" spans="1:12" ht="15">
      <c r="A154" s="87" t="s">
        <v>3591</v>
      </c>
      <c r="B154" s="107" t="s">
        <v>3591</v>
      </c>
      <c r="C154" s="107">
        <v>2</v>
      </c>
      <c r="D154" s="109">
        <v>0.0009094471081736752</v>
      </c>
      <c r="E154" s="109">
        <v>2.079994785745845</v>
      </c>
      <c r="F154" s="107" t="s">
        <v>4359</v>
      </c>
      <c r="G154" s="107" t="b">
        <v>0</v>
      </c>
      <c r="H154" s="107" t="b">
        <v>0</v>
      </c>
      <c r="I154" s="107" t="b">
        <v>0</v>
      </c>
      <c r="J154" s="107" t="b">
        <v>0</v>
      </c>
      <c r="K154" s="107" t="b">
        <v>0</v>
      </c>
      <c r="L154" s="107" t="b">
        <v>0</v>
      </c>
    </row>
    <row r="155" spans="1:12" ht="15">
      <c r="A155" s="87" t="s">
        <v>4294</v>
      </c>
      <c r="B155" s="107" t="s">
        <v>3547</v>
      </c>
      <c r="C155" s="107">
        <v>2</v>
      </c>
      <c r="D155" s="109">
        <v>0.0009094471081736752</v>
      </c>
      <c r="E155" s="109">
        <v>2.3203269410562144</v>
      </c>
      <c r="F155" s="107" t="s">
        <v>4359</v>
      </c>
      <c r="G155" s="107" t="b">
        <v>0</v>
      </c>
      <c r="H155" s="107" t="b">
        <v>0</v>
      </c>
      <c r="I155" s="107" t="b">
        <v>0</v>
      </c>
      <c r="J155" s="107" t="b">
        <v>0</v>
      </c>
      <c r="K155" s="107" t="b">
        <v>0</v>
      </c>
      <c r="L155" s="107" t="b">
        <v>0</v>
      </c>
    </row>
    <row r="156" spans="1:12" ht="15">
      <c r="A156" s="87" t="s">
        <v>3956</v>
      </c>
      <c r="B156" s="107" t="s">
        <v>3868</v>
      </c>
      <c r="C156" s="107">
        <v>2</v>
      </c>
      <c r="D156" s="109">
        <v>0.0009094471081736752</v>
      </c>
      <c r="E156" s="109">
        <v>3.204933522354145</v>
      </c>
      <c r="F156" s="107" t="s">
        <v>4359</v>
      </c>
      <c r="G156" s="107" t="b">
        <v>1</v>
      </c>
      <c r="H156" s="107" t="b">
        <v>0</v>
      </c>
      <c r="I156" s="107" t="b">
        <v>0</v>
      </c>
      <c r="J156" s="107" t="b">
        <v>1</v>
      </c>
      <c r="K156" s="107" t="b">
        <v>0</v>
      </c>
      <c r="L156" s="107" t="b">
        <v>0</v>
      </c>
    </row>
    <row r="157" spans="1:12" ht="15">
      <c r="A157" s="87" t="s">
        <v>3538</v>
      </c>
      <c r="B157" s="107" t="s">
        <v>3836</v>
      </c>
      <c r="C157" s="107">
        <v>2</v>
      </c>
      <c r="D157" s="109">
        <v>0.0009094471081736752</v>
      </c>
      <c r="E157" s="109">
        <v>1.7983933419201896</v>
      </c>
      <c r="F157" s="107" t="s">
        <v>4359</v>
      </c>
      <c r="G157" s="107" t="b">
        <v>0</v>
      </c>
      <c r="H157" s="107" t="b">
        <v>0</v>
      </c>
      <c r="I157" s="107" t="b">
        <v>0</v>
      </c>
      <c r="J157" s="107" t="b">
        <v>0</v>
      </c>
      <c r="K157" s="107" t="b">
        <v>0</v>
      </c>
      <c r="L157" s="107" t="b">
        <v>0</v>
      </c>
    </row>
    <row r="158" spans="1:12" ht="15">
      <c r="A158" s="87" t="s">
        <v>3614</v>
      </c>
      <c r="B158" s="107" t="s">
        <v>3541</v>
      </c>
      <c r="C158" s="107">
        <v>2</v>
      </c>
      <c r="D158" s="109">
        <v>0.0009094471081736752</v>
      </c>
      <c r="E158" s="109">
        <v>1.6328367544036255</v>
      </c>
      <c r="F158" s="107" t="s">
        <v>4359</v>
      </c>
      <c r="G158" s="107" t="b">
        <v>0</v>
      </c>
      <c r="H158" s="107" t="b">
        <v>1</v>
      </c>
      <c r="I158" s="107" t="b">
        <v>0</v>
      </c>
      <c r="J158" s="107" t="b">
        <v>0</v>
      </c>
      <c r="K158" s="107" t="b">
        <v>0</v>
      </c>
      <c r="L158" s="107" t="b">
        <v>0</v>
      </c>
    </row>
    <row r="159" spans="1:12" ht="15">
      <c r="A159" s="87" t="s">
        <v>4351</v>
      </c>
      <c r="B159" s="107" t="s">
        <v>3573</v>
      </c>
      <c r="C159" s="107">
        <v>2</v>
      </c>
      <c r="D159" s="109">
        <v>0.0009094471081736752</v>
      </c>
      <c r="E159" s="109">
        <v>2.5681114247669705</v>
      </c>
      <c r="F159" s="107" t="s">
        <v>4359</v>
      </c>
      <c r="G159" s="107" t="b">
        <v>0</v>
      </c>
      <c r="H159" s="107" t="b">
        <v>0</v>
      </c>
      <c r="I159" s="107" t="b">
        <v>0</v>
      </c>
      <c r="J159" s="107" t="b">
        <v>0</v>
      </c>
      <c r="K159" s="107" t="b">
        <v>0</v>
      </c>
      <c r="L159" s="107" t="b">
        <v>0</v>
      </c>
    </row>
    <row r="160" spans="1:12" ht="15">
      <c r="A160" s="87" t="s">
        <v>3612</v>
      </c>
      <c r="B160" s="107" t="s">
        <v>3690</v>
      </c>
      <c r="C160" s="107">
        <v>2</v>
      </c>
      <c r="D160" s="109">
        <v>0.0009094471081736752</v>
      </c>
      <c r="E160" s="109">
        <v>2.381024781409826</v>
      </c>
      <c r="F160" s="107" t="s">
        <v>4359</v>
      </c>
      <c r="G160" s="107" t="b">
        <v>0</v>
      </c>
      <c r="H160" s="107" t="b">
        <v>0</v>
      </c>
      <c r="I160" s="107" t="b">
        <v>0</v>
      </c>
      <c r="J160" s="107" t="b">
        <v>0</v>
      </c>
      <c r="K160" s="107" t="b">
        <v>0</v>
      </c>
      <c r="L160" s="107" t="b">
        <v>0</v>
      </c>
    </row>
    <row r="161" spans="1:12" ht="15">
      <c r="A161" s="87" t="s">
        <v>3564</v>
      </c>
      <c r="B161" s="107" t="s">
        <v>3539</v>
      </c>
      <c r="C161" s="107">
        <v>2</v>
      </c>
      <c r="D161" s="109">
        <v>0.0009094471081736752</v>
      </c>
      <c r="E161" s="109">
        <v>1.1735250581025207</v>
      </c>
      <c r="F161" s="107" t="s">
        <v>4359</v>
      </c>
      <c r="G161" s="107" t="b">
        <v>0</v>
      </c>
      <c r="H161" s="107" t="b">
        <v>0</v>
      </c>
      <c r="I161" s="107" t="b">
        <v>0</v>
      </c>
      <c r="J161" s="107" t="b">
        <v>0</v>
      </c>
      <c r="K161" s="107" t="b">
        <v>0</v>
      </c>
      <c r="L161" s="107" t="b">
        <v>0</v>
      </c>
    </row>
    <row r="162" spans="1:12" ht="15">
      <c r="A162" s="87" t="s">
        <v>3608</v>
      </c>
      <c r="B162" s="107" t="s">
        <v>3622</v>
      </c>
      <c r="C162" s="107">
        <v>2</v>
      </c>
      <c r="D162" s="109">
        <v>0.0009094471081736752</v>
      </c>
      <c r="E162" s="109">
        <v>2.12575227630652</v>
      </c>
      <c r="F162" s="107" t="s">
        <v>4359</v>
      </c>
      <c r="G162" s="107" t="b">
        <v>0</v>
      </c>
      <c r="H162" s="107" t="b">
        <v>0</v>
      </c>
      <c r="I162" s="107" t="b">
        <v>0</v>
      </c>
      <c r="J162" s="107" t="b">
        <v>0</v>
      </c>
      <c r="K162" s="107" t="b">
        <v>0</v>
      </c>
      <c r="L162" s="107" t="b">
        <v>0</v>
      </c>
    </row>
    <row r="163" spans="1:12" ht="15">
      <c r="A163" s="87" t="s">
        <v>2785</v>
      </c>
      <c r="B163" s="107" t="s">
        <v>3707</v>
      </c>
      <c r="C163" s="107">
        <v>2</v>
      </c>
      <c r="D163" s="109">
        <v>0.0009094471081736752</v>
      </c>
      <c r="E163" s="109">
        <v>1.7682409246900905</v>
      </c>
      <c r="F163" s="107" t="s">
        <v>4359</v>
      </c>
      <c r="G163" s="107" t="b">
        <v>1</v>
      </c>
      <c r="H163" s="107" t="b">
        <v>0</v>
      </c>
      <c r="I163" s="107" t="b">
        <v>0</v>
      </c>
      <c r="J163" s="107" t="b">
        <v>0</v>
      </c>
      <c r="K163" s="107" t="b">
        <v>0</v>
      </c>
      <c r="L163" s="107" t="b">
        <v>0</v>
      </c>
    </row>
    <row r="164" spans="1:12" ht="15">
      <c r="A164" s="87" t="s">
        <v>3583</v>
      </c>
      <c r="B164" s="107" t="s">
        <v>3541</v>
      </c>
      <c r="C164" s="107">
        <v>2</v>
      </c>
      <c r="D164" s="109">
        <v>0.0009094471081736752</v>
      </c>
      <c r="E164" s="109">
        <v>1.3987535483702578</v>
      </c>
      <c r="F164" s="107" t="s">
        <v>4359</v>
      </c>
      <c r="G164" s="107" t="b">
        <v>0</v>
      </c>
      <c r="H164" s="107" t="b">
        <v>0</v>
      </c>
      <c r="I164" s="107" t="b">
        <v>0</v>
      </c>
      <c r="J164" s="107" t="b">
        <v>0</v>
      </c>
      <c r="K164" s="107" t="b">
        <v>0</v>
      </c>
      <c r="L164" s="107" t="b">
        <v>0</v>
      </c>
    </row>
    <row r="165" spans="1:12" ht="15">
      <c r="A165" s="87" t="s">
        <v>3624</v>
      </c>
      <c r="B165" s="107" t="s">
        <v>3544</v>
      </c>
      <c r="C165" s="107">
        <v>2</v>
      </c>
      <c r="D165" s="109">
        <v>0.0009094471081736752</v>
      </c>
      <c r="E165" s="109">
        <v>1.7066229685645442</v>
      </c>
      <c r="F165" s="107" t="s">
        <v>4359</v>
      </c>
      <c r="G165" s="107" t="b">
        <v>0</v>
      </c>
      <c r="H165" s="107" t="b">
        <v>0</v>
      </c>
      <c r="I165" s="107" t="b">
        <v>0</v>
      </c>
      <c r="J165" s="107" t="b">
        <v>1</v>
      </c>
      <c r="K165" s="107" t="b">
        <v>0</v>
      </c>
      <c r="L165" s="107" t="b">
        <v>0</v>
      </c>
    </row>
    <row r="166" spans="1:12" ht="15">
      <c r="A166" s="87" t="s">
        <v>4310</v>
      </c>
      <c r="B166" s="107" t="s">
        <v>3682</v>
      </c>
      <c r="C166" s="107">
        <v>2</v>
      </c>
      <c r="D166" s="109">
        <v>0.0009094471081736752</v>
      </c>
      <c r="E166" s="109">
        <v>2.9830847727377883</v>
      </c>
      <c r="F166" s="107" t="s">
        <v>4359</v>
      </c>
      <c r="G166" s="107" t="b">
        <v>0</v>
      </c>
      <c r="H166" s="107" t="b">
        <v>0</v>
      </c>
      <c r="I166" s="107" t="b">
        <v>0</v>
      </c>
      <c r="J166" s="107" t="b">
        <v>0</v>
      </c>
      <c r="K166" s="107" t="b">
        <v>0</v>
      </c>
      <c r="L166" s="107" t="b">
        <v>0</v>
      </c>
    </row>
    <row r="167" spans="1:12" ht="15">
      <c r="A167" s="87" t="s">
        <v>3561</v>
      </c>
      <c r="B167" s="107" t="s">
        <v>3592</v>
      </c>
      <c r="C167" s="107">
        <v>2</v>
      </c>
      <c r="D167" s="109">
        <v>0.0010226162794759238</v>
      </c>
      <c r="E167" s="109">
        <v>1.7789647900818637</v>
      </c>
      <c r="F167" s="107" t="s">
        <v>4359</v>
      </c>
      <c r="G167" s="107" t="b">
        <v>0</v>
      </c>
      <c r="H167" s="107" t="b">
        <v>0</v>
      </c>
      <c r="I167" s="107" t="b">
        <v>0</v>
      </c>
      <c r="J167" s="107" t="b">
        <v>0</v>
      </c>
      <c r="K167" s="107" t="b">
        <v>0</v>
      </c>
      <c r="L167" s="107" t="b">
        <v>0</v>
      </c>
    </row>
    <row r="168" spans="1:12" ht="15">
      <c r="A168" s="87" t="s">
        <v>3540</v>
      </c>
      <c r="B168" s="107" t="s">
        <v>3676</v>
      </c>
      <c r="C168" s="107">
        <v>2</v>
      </c>
      <c r="D168" s="109">
        <v>0.0009094471081736752</v>
      </c>
      <c r="E168" s="109">
        <v>1.740046724051494</v>
      </c>
      <c r="F168" s="107" t="s">
        <v>4359</v>
      </c>
      <c r="G168" s="107" t="b">
        <v>0</v>
      </c>
      <c r="H168" s="107" t="b">
        <v>0</v>
      </c>
      <c r="I168" s="107" t="b">
        <v>0</v>
      </c>
      <c r="J168" s="107" t="b">
        <v>0</v>
      </c>
      <c r="K168" s="107" t="b">
        <v>0</v>
      </c>
      <c r="L168" s="107" t="b">
        <v>0</v>
      </c>
    </row>
    <row r="169" spans="1:12" ht="15">
      <c r="A169" s="87" t="s">
        <v>3559</v>
      </c>
      <c r="B169" s="107" t="s">
        <v>4084</v>
      </c>
      <c r="C169" s="107">
        <v>2</v>
      </c>
      <c r="D169" s="109">
        <v>0.0009094471081736752</v>
      </c>
      <c r="E169" s="109">
        <v>2.6028735310261824</v>
      </c>
      <c r="F169" s="107" t="s">
        <v>4359</v>
      </c>
      <c r="G169" s="107" t="b">
        <v>0</v>
      </c>
      <c r="H169" s="107" t="b">
        <v>0</v>
      </c>
      <c r="I169" s="107" t="b">
        <v>0</v>
      </c>
      <c r="J169" s="107" t="b">
        <v>0</v>
      </c>
      <c r="K169" s="107" t="b">
        <v>1</v>
      </c>
      <c r="L169" s="107" t="b">
        <v>0</v>
      </c>
    </row>
    <row r="170" spans="1:12" ht="15">
      <c r="A170" s="87" t="s">
        <v>3701</v>
      </c>
      <c r="B170" s="107" t="s">
        <v>3910</v>
      </c>
      <c r="C170" s="107">
        <v>2</v>
      </c>
      <c r="D170" s="109">
        <v>0.0010226162794759238</v>
      </c>
      <c r="E170" s="109">
        <v>2.8069935136821074</v>
      </c>
      <c r="F170" s="107" t="s">
        <v>4359</v>
      </c>
      <c r="G170" s="107" t="b">
        <v>0</v>
      </c>
      <c r="H170" s="107" t="b">
        <v>0</v>
      </c>
      <c r="I170" s="107" t="b">
        <v>0</v>
      </c>
      <c r="J170" s="107" t="b">
        <v>0</v>
      </c>
      <c r="K170" s="107" t="b">
        <v>0</v>
      </c>
      <c r="L170" s="107" t="b">
        <v>0</v>
      </c>
    </row>
    <row r="171" spans="1:12" ht="15">
      <c r="A171" s="87" t="s">
        <v>3732</v>
      </c>
      <c r="B171" s="107" t="s">
        <v>3571</v>
      </c>
      <c r="C171" s="107">
        <v>2</v>
      </c>
      <c r="D171" s="109">
        <v>0.0010226162794759238</v>
      </c>
      <c r="E171" s="109">
        <v>2.2670814291029893</v>
      </c>
      <c r="F171" s="107" t="s">
        <v>4359</v>
      </c>
      <c r="G171" s="107" t="b">
        <v>0</v>
      </c>
      <c r="H171" s="107" t="b">
        <v>0</v>
      </c>
      <c r="I171" s="107" t="b">
        <v>0</v>
      </c>
      <c r="J171" s="107" t="b">
        <v>0</v>
      </c>
      <c r="K171" s="107" t="b">
        <v>0</v>
      </c>
      <c r="L171" s="107" t="b">
        <v>0</v>
      </c>
    </row>
    <row r="172" spans="1:12" ht="15">
      <c r="A172" s="87" t="s">
        <v>4151</v>
      </c>
      <c r="B172" s="107" t="s">
        <v>3542</v>
      </c>
      <c r="C172" s="107">
        <v>2</v>
      </c>
      <c r="D172" s="109">
        <v>0.0010226162794759238</v>
      </c>
      <c r="E172" s="109">
        <v>2.190693083239535</v>
      </c>
      <c r="F172" s="107" t="s">
        <v>4359</v>
      </c>
      <c r="G172" s="107" t="b">
        <v>0</v>
      </c>
      <c r="H172" s="107" t="b">
        <v>0</v>
      </c>
      <c r="I172" s="107" t="b">
        <v>0</v>
      </c>
      <c r="J172" s="107" t="b">
        <v>0</v>
      </c>
      <c r="K172" s="107" t="b">
        <v>0</v>
      </c>
      <c r="L172" s="107" t="b">
        <v>0</v>
      </c>
    </row>
    <row r="173" spans="1:12" ht="15">
      <c r="A173" s="87" t="s">
        <v>3556</v>
      </c>
      <c r="B173" s="107" t="s">
        <v>4135</v>
      </c>
      <c r="C173" s="107">
        <v>2</v>
      </c>
      <c r="D173" s="109">
        <v>0.0010226162794759238</v>
      </c>
      <c r="E173" s="109">
        <v>2.505963518018126</v>
      </c>
      <c r="F173" s="107" t="s">
        <v>4359</v>
      </c>
      <c r="G173" s="107" t="b">
        <v>0</v>
      </c>
      <c r="H173" s="107" t="b">
        <v>0</v>
      </c>
      <c r="I173" s="107" t="b">
        <v>0</v>
      </c>
      <c r="J173" s="107" t="b">
        <v>0</v>
      </c>
      <c r="K173" s="107" t="b">
        <v>0</v>
      </c>
      <c r="L173" s="107" t="b">
        <v>0</v>
      </c>
    </row>
    <row r="174" spans="1:12" ht="15">
      <c r="A174" s="87" t="s">
        <v>3554</v>
      </c>
      <c r="B174" s="107" t="s">
        <v>3915</v>
      </c>
      <c r="C174" s="107">
        <v>2</v>
      </c>
      <c r="D174" s="109">
        <v>0.0009094471081736752</v>
      </c>
      <c r="E174" s="109">
        <v>2.359835482339888</v>
      </c>
      <c r="F174" s="107" t="s">
        <v>4359</v>
      </c>
      <c r="G174" s="107" t="b">
        <v>0</v>
      </c>
      <c r="H174" s="107" t="b">
        <v>0</v>
      </c>
      <c r="I174" s="107" t="b">
        <v>0</v>
      </c>
      <c r="J174" s="107" t="b">
        <v>0</v>
      </c>
      <c r="K174" s="107" t="b">
        <v>0</v>
      </c>
      <c r="L174" s="107" t="b">
        <v>0</v>
      </c>
    </row>
    <row r="175" spans="1:12" ht="15">
      <c r="A175" s="87" t="s">
        <v>3557</v>
      </c>
      <c r="B175" s="107" t="s">
        <v>4297</v>
      </c>
      <c r="C175" s="107">
        <v>2</v>
      </c>
      <c r="D175" s="109">
        <v>0.0009094471081736752</v>
      </c>
      <c r="E175" s="109">
        <v>2.4779347944178824</v>
      </c>
      <c r="F175" s="107" t="s">
        <v>4359</v>
      </c>
      <c r="G175" s="107" t="b">
        <v>1</v>
      </c>
      <c r="H175" s="107" t="b">
        <v>0</v>
      </c>
      <c r="I175" s="107" t="b">
        <v>0</v>
      </c>
      <c r="J175" s="107" t="b">
        <v>0</v>
      </c>
      <c r="K175" s="107" t="b">
        <v>0</v>
      </c>
      <c r="L175" s="107" t="b">
        <v>0</v>
      </c>
    </row>
    <row r="176" spans="1:12" ht="15">
      <c r="A176" s="87" t="s">
        <v>3580</v>
      </c>
      <c r="B176" s="107" t="s">
        <v>3541</v>
      </c>
      <c r="C176" s="107">
        <v>8</v>
      </c>
      <c r="D176" s="109">
        <v>0.007726710999278966</v>
      </c>
      <c r="E176" s="109">
        <v>1.507942878504076</v>
      </c>
      <c r="F176" s="107" t="s">
        <v>3500</v>
      </c>
      <c r="G176" s="107" t="b">
        <v>0</v>
      </c>
      <c r="H176" s="107" t="b">
        <v>0</v>
      </c>
      <c r="I176" s="107" t="b">
        <v>0</v>
      </c>
      <c r="J176" s="107" t="b">
        <v>0</v>
      </c>
      <c r="K176" s="107" t="b">
        <v>0</v>
      </c>
      <c r="L176" s="107" t="b">
        <v>0</v>
      </c>
    </row>
    <row r="177" spans="1:12" ht="15">
      <c r="A177" s="87" t="s">
        <v>3638</v>
      </c>
      <c r="B177" s="107" t="s">
        <v>3636</v>
      </c>
      <c r="C177" s="107">
        <v>7</v>
      </c>
      <c r="D177" s="109">
        <v>0.007043562673703223</v>
      </c>
      <c r="E177" s="109">
        <v>2.2511165453321484</v>
      </c>
      <c r="F177" s="107" t="s">
        <v>3500</v>
      </c>
      <c r="G177" s="107" t="b">
        <v>0</v>
      </c>
      <c r="H177" s="107" t="b">
        <v>0</v>
      </c>
      <c r="I177" s="107" t="b">
        <v>0</v>
      </c>
      <c r="J177" s="107" t="b">
        <v>0</v>
      </c>
      <c r="K177" s="107" t="b">
        <v>0</v>
      </c>
      <c r="L177" s="107" t="b">
        <v>0</v>
      </c>
    </row>
    <row r="178" spans="1:12" ht="15">
      <c r="A178" s="87" t="s">
        <v>3695</v>
      </c>
      <c r="B178" s="107" t="s">
        <v>3688</v>
      </c>
      <c r="C178" s="107">
        <v>5</v>
      </c>
      <c r="D178" s="109">
        <v>0.005877348955552073</v>
      </c>
      <c r="E178" s="109">
        <v>2.3972445810103866</v>
      </c>
      <c r="F178" s="107" t="s">
        <v>3500</v>
      </c>
      <c r="G178" s="107" t="b">
        <v>0</v>
      </c>
      <c r="H178" s="107" t="b">
        <v>1</v>
      </c>
      <c r="I178" s="107" t="b">
        <v>0</v>
      </c>
      <c r="J178" s="107" t="b">
        <v>0</v>
      </c>
      <c r="K178" s="107" t="b">
        <v>0</v>
      </c>
      <c r="L178" s="107" t="b">
        <v>0</v>
      </c>
    </row>
    <row r="179" spans="1:12" ht="15">
      <c r="A179" s="87" t="s">
        <v>3556</v>
      </c>
      <c r="B179" s="107" t="s">
        <v>3786</v>
      </c>
      <c r="C179" s="107">
        <v>4</v>
      </c>
      <c r="D179" s="109">
        <v>0.005049897929367286</v>
      </c>
      <c r="E179" s="109">
        <v>2.1931245983544616</v>
      </c>
      <c r="F179" s="107" t="s">
        <v>3500</v>
      </c>
      <c r="G179" s="107" t="b">
        <v>0</v>
      </c>
      <c r="H179" s="107" t="b">
        <v>0</v>
      </c>
      <c r="I179" s="107" t="b">
        <v>0</v>
      </c>
      <c r="J179" s="107" t="b">
        <v>0</v>
      </c>
      <c r="K179" s="107" t="b">
        <v>0</v>
      </c>
      <c r="L179" s="107" t="b">
        <v>0</v>
      </c>
    </row>
    <row r="180" spans="1:12" ht="15">
      <c r="A180" s="87" t="s">
        <v>3603</v>
      </c>
      <c r="B180" s="107" t="s">
        <v>3719</v>
      </c>
      <c r="C180" s="107">
        <v>3</v>
      </c>
      <c r="D180" s="109">
        <v>0.0037874234470254642</v>
      </c>
      <c r="E180" s="109">
        <v>2.6190933306267428</v>
      </c>
      <c r="F180" s="107" t="s">
        <v>3500</v>
      </c>
      <c r="G180" s="107" t="b">
        <v>0</v>
      </c>
      <c r="H180" s="107" t="b">
        <v>0</v>
      </c>
      <c r="I180" s="107" t="b">
        <v>0</v>
      </c>
      <c r="J180" s="107" t="b">
        <v>1</v>
      </c>
      <c r="K180" s="107" t="b">
        <v>0</v>
      </c>
      <c r="L180" s="107" t="b">
        <v>0</v>
      </c>
    </row>
    <row r="181" spans="1:12" ht="15">
      <c r="A181" s="87" t="s">
        <v>3702</v>
      </c>
      <c r="B181" s="107" t="s">
        <v>3762</v>
      </c>
      <c r="C181" s="107">
        <v>3</v>
      </c>
      <c r="D181" s="109">
        <v>0.0037874234470254642</v>
      </c>
      <c r="E181" s="109">
        <v>2.494154594018443</v>
      </c>
      <c r="F181" s="107" t="s">
        <v>3500</v>
      </c>
      <c r="G181" s="107" t="b">
        <v>0</v>
      </c>
      <c r="H181" s="107" t="b">
        <v>0</v>
      </c>
      <c r="I181" s="107" t="b">
        <v>0</v>
      </c>
      <c r="J181" s="107" t="b">
        <v>0</v>
      </c>
      <c r="K181" s="107" t="b">
        <v>0</v>
      </c>
      <c r="L181" s="107" t="b">
        <v>0</v>
      </c>
    </row>
    <row r="182" spans="1:12" ht="15">
      <c r="A182" s="87" t="s">
        <v>3775</v>
      </c>
      <c r="B182" s="107" t="s">
        <v>3760</v>
      </c>
      <c r="C182" s="107">
        <v>3</v>
      </c>
      <c r="D182" s="109">
        <v>0.0037874234470254642</v>
      </c>
      <c r="E182" s="109">
        <v>2.369215857410143</v>
      </c>
      <c r="F182" s="107" t="s">
        <v>3500</v>
      </c>
      <c r="G182" s="107" t="b">
        <v>0</v>
      </c>
      <c r="H182" s="107" t="b">
        <v>0</v>
      </c>
      <c r="I182" s="107" t="b">
        <v>0</v>
      </c>
      <c r="J182" s="107" t="b">
        <v>0</v>
      </c>
      <c r="K182" s="107" t="b">
        <v>0</v>
      </c>
      <c r="L182" s="107" t="b">
        <v>0</v>
      </c>
    </row>
    <row r="183" spans="1:12" ht="15">
      <c r="A183" s="87" t="s">
        <v>3740</v>
      </c>
      <c r="B183" s="107" t="s">
        <v>3541</v>
      </c>
      <c r="C183" s="107">
        <v>3</v>
      </c>
      <c r="D183" s="109">
        <v>0.0037874234470254642</v>
      </c>
      <c r="E183" s="109">
        <v>1.4799141549038326</v>
      </c>
      <c r="F183" s="107" t="s">
        <v>3500</v>
      </c>
      <c r="G183" s="107" t="b">
        <v>0</v>
      </c>
      <c r="H183" s="107" t="b">
        <v>0</v>
      </c>
      <c r="I183" s="107" t="b">
        <v>0</v>
      </c>
      <c r="J183" s="107" t="b">
        <v>0</v>
      </c>
      <c r="K183" s="107" t="b">
        <v>0</v>
      </c>
      <c r="L183" s="107" t="b">
        <v>0</v>
      </c>
    </row>
    <row r="184" spans="1:12" ht="15">
      <c r="A184" s="87" t="s">
        <v>3941</v>
      </c>
      <c r="B184" s="107" t="s">
        <v>3642</v>
      </c>
      <c r="C184" s="107">
        <v>3</v>
      </c>
      <c r="D184" s="109">
        <v>0.0037874234470254642</v>
      </c>
      <c r="E184" s="109">
        <v>2.3180633349627615</v>
      </c>
      <c r="F184" s="107" t="s">
        <v>3500</v>
      </c>
      <c r="G184" s="107" t="b">
        <v>0</v>
      </c>
      <c r="H184" s="107" t="b">
        <v>0</v>
      </c>
      <c r="I184" s="107" t="b">
        <v>0</v>
      </c>
      <c r="J184" s="107" t="b">
        <v>0</v>
      </c>
      <c r="K184" s="107" t="b">
        <v>0</v>
      </c>
      <c r="L184" s="107" t="b">
        <v>0</v>
      </c>
    </row>
    <row r="185" spans="1:12" ht="15">
      <c r="A185" s="87" t="s">
        <v>3719</v>
      </c>
      <c r="B185" s="107" t="s">
        <v>4012</v>
      </c>
      <c r="C185" s="107">
        <v>2</v>
      </c>
      <c r="D185" s="109">
        <v>0.0027702014146219174</v>
      </c>
      <c r="E185" s="109">
        <v>2.795184589682424</v>
      </c>
      <c r="F185" s="107" t="s">
        <v>3500</v>
      </c>
      <c r="G185" s="107" t="b">
        <v>1</v>
      </c>
      <c r="H185" s="107" t="b">
        <v>0</v>
      </c>
      <c r="I185" s="107" t="b">
        <v>0</v>
      </c>
      <c r="J185" s="107" t="b">
        <v>0</v>
      </c>
      <c r="K185" s="107" t="b">
        <v>0</v>
      </c>
      <c r="L185" s="107" t="b">
        <v>0</v>
      </c>
    </row>
    <row r="186" spans="1:12" ht="15">
      <c r="A186" s="87" t="s">
        <v>4271</v>
      </c>
      <c r="B186" s="107" t="s">
        <v>3912</v>
      </c>
      <c r="C186" s="107">
        <v>2</v>
      </c>
      <c r="D186" s="109">
        <v>0.0031894632470230054</v>
      </c>
      <c r="E186" s="109">
        <v>2.795184589682424</v>
      </c>
      <c r="F186" s="107" t="s">
        <v>3500</v>
      </c>
      <c r="G186" s="107" t="b">
        <v>0</v>
      </c>
      <c r="H186" s="107" t="b">
        <v>1</v>
      </c>
      <c r="I186" s="107" t="b">
        <v>0</v>
      </c>
      <c r="J186" s="107" t="b">
        <v>0</v>
      </c>
      <c r="K186" s="107" t="b">
        <v>0</v>
      </c>
      <c r="L186" s="107" t="b">
        <v>0</v>
      </c>
    </row>
    <row r="187" spans="1:12" ht="15">
      <c r="A187" s="87" t="s">
        <v>3583</v>
      </c>
      <c r="B187" s="107" t="s">
        <v>3541</v>
      </c>
      <c r="C187" s="107">
        <v>2</v>
      </c>
      <c r="D187" s="109">
        <v>0.0027702014146219174</v>
      </c>
      <c r="E187" s="109">
        <v>1.1277316367924701</v>
      </c>
      <c r="F187" s="107" t="s">
        <v>3500</v>
      </c>
      <c r="G187" s="107" t="b">
        <v>0</v>
      </c>
      <c r="H187" s="107" t="b">
        <v>0</v>
      </c>
      <c r="I187" s="107" t="b">
        <v>0</v>
      </c>
      <c r="J187" s="107" t="b">
        <v>0</v>
      </c>
      <c r="K187" s="107" t="b">
        <v>0</v>
      </c>
      <c r="L187" s="107" t="b">
        <v>0</v>
      </c>
    </row>
    <row r="188" spans="1:12" ht="15">
      <c r="A188" s="87" t="s">
        <v>4247</v>
      </c>
      <c r="B188" s="107" t="s">
        <v>3545</v>
      </c>
      <c r="C188" s="107">
        <v>2</v>
      </c>
      <c r="D188" s="109">
        <v>0.0027702014146219174</v>
      </c>
      <c r="E188" s="109">
        <v>2.795184589682424</v>
      </c>
      <c r="F188" s="107" t="s">
        <v>3500</v>
      </c>
      <c r="G188" s="107" t="b">
        <v>0</v>
      </c>
      <c r="H188" s="107" t="b">
        <v>0</v>
      </c>
      <c r="I188" s="107" t="b">
        <v>0</v>
      </c>
      <c r="J188" s="107" t="b">
        <v>0</v>
      </c>
      <c r="K188" s="107" t="b">
        <v>0</v>
      </c>
      <c r="L188" s="107" t="b">
        <v>0</v>
      </c>
    </row>
    <row r="189" spans="1:12" ht="15">
      <c r="A189" s="87" t="s">
        <v>3923</v>
      </c>
      <c r="B189" s="107" t="s">
        <v>3721</v>
      </c>
      <c r="C189" s="107">
        <v>2</v>
      </c>
      <c r="D189" s="109">
        <v>0.0027702014146219174</v>
      </c>
      <c r="E189" s="109">
        <v>2.3180633349627615</v>
      </c>
      <c r="F189" s="107" t="s">
        <v>3500</v>
      </c>
      <c r="G189" s="107" t="b">
        <v>0</v>
      </c>
      <c r="H189" s="107" t="b">
        <v>0</v>
      </c>
      <c r="I189" s="107" t="b">
        <v>0</v>
      </c>
      <c r="J189" s="107" t="b">
        <v>0</v>
      </c>
      <c r="K189" s="107" t="b">
        <v>0</v>
      </c>
      <c r="L189" s="107" t="b">
        <v>0</v>
      </c>
    </row>
    <row r="190" spans="1:12" ht="15">
      <c r="A190" s="87" t="s">
        <v>3556</v>
      </c>
      <c r="B190" s="107" t="s">
        <v>4135</v>
      </c>
      <c r="C190" s="107">
        <v>2</v>
      </c>
      <c r="D190" s="109">
        <v>0.0031894632470230054</v>
      </c>
      <c r="E190" s="109">
        <v>2.1931245983544616</v>
      </c>
      <c r="F190" s="107" t="s">
        <v>3500</v>
      </c>
      <c r="G190" s="107" t="b">
        <v>0</v>
      </c>
      <c r="H190" s="107" t="b">
        <v>0</v>
      </c>
      <c r="I190" s="107" t="b">
        <v>0</v>
      </c>
      <c r="J190" s="107" t="b">
        <v>0</v>
      </c>
      <c r="K190" s="107" t="b">
        <v>0</v>
      </c>
      <c r="L190" s="107" t="b">
        <v>0</v>
      </c>
    </row>
    <row r="191" spans="1:12" ht="15">
      <c r="A191" s="87" t="s">
        <v>3612</v>
      </c>
      <c r="B191" s="107" t="s">
        <v>3690</v>
      </c>
      <c r="C191" s="107">
        <v>2</v>
      </c>
      <c r="D191" s="109">
        <v>0.0027702014146219174</v>
      </c>
      <c r="E191" s="109">
        <v>2.3972445810103866</v>
      </c>
      <c r="F191" s="107" t="s">
        <v>3500</v>
      </c>
      <c r="G191" s="107" t="b">
        <v>0</v>
      </c>
      <c r="H191" s="107" t="b">
        <v>0</v>
      </c>
      <c r="I191" s="107" t="b">
        <v>0</v>
      </c>
      <c r="J191" s="107" t="b">
        <v>0</v>
      </c>
      <c r="K191" s="107" t="b">
        <v>0</v>
      </c>
      <c r="L191" s="107" t="b">
        <v>0</v>
      </c>
    </row>
    <row r="192" spans="1:12" ht="15">
      <c r="A192" s="87" t="s">
        <v>3868</v>
      </c>
      <c r="B192" s="107" t="s">
        <v>3603</v>
      </c>
      <c r="C192" s="107">
        <v>2</v>
      </c>
      <c r="D192" s="109">
        <v>0.0027702014146219174</v>
      </c>
      <c r="E192" s="109">
        <v>2.4430020715710614</v>
      </c>
      <c r="F192" s="107" t="s">
        <v>3500</v>
      </c>
      <c r="G192" s="107" t="b">
        <v>1</v>
      </c>
      <c r="H192" s="107" t="b">
        <v>0</v>
      </c>
      <c r="I192" s="107" t="b">
        <v>0</v>
      </c>
      <c r="J192" s="107" t="b">
        <v>0</v>
      </c>
      <c r="K192" s="107" t="b">
        <v>0</v>
      </c>
      <c r="L192" s="107" t="b">
        <v>0</v>
      </c>
    </row>
    <row r="193" spans="1:12" ht="15">
      <c r="A193" s="87" t="s">
        <v>3896</v>
      </c>
      <c r="B193" s="107" t="s">
        <v>4254</v>
      </c>
      <c r="C193" s="107">
        <v>2</v>
      </c>
      <c r="D193" s="109">
        <v>0.0031894632470230054</v>
      </c>
      <c r="E193" s="109">
        <v>2.6190933306267428</v>
      </c>
      <c r="F193" s="107" t="s">
        <v>3500</v>
      </c>
      <c r="G193" s="107" t="b">
        <v>0</v>
      </c>
      <c r="H193" s="107" t="b">
        <v>0</v>
      </c>
      <c r="I193" s="107" t="b">
        <v>0</v>
      </c>
      <c r="J193" s="107" t="b">
        <v>0</v>
      </c>
      <c r="K193" s="107" t="b">
        <v>0</v>
      </c>
      <c r="L193" s="107" t="b">
        <v>0</v>
      </c>
    </row>
    <row r="194" spans="1:12" ht="15">
      <c r="A194" s="87" t="s">
        <v>4351</v>
      </c>
      <c r="B194" s="107" t="s">
        <v>3573</v>
      </c>
      <c r="C194" s="107">
        <v>2</v>
      </c>
      <c r="D194" s="109">
        <v>0.0027702014146219174</v>
      </c>
      <c r="E194" s="109">
        <v>2.494154594018443</v>
      </c>
      <c r="F194" s="107" t="s">
        <v>3500</v>
      </c>
      <c r="G194" s="107" t="b">
        <v>0</v>
      </c>
      <c r="H194" s="107" t="b">
        <v>0</v>
      </c>
      <c r="I194" s="107" t="b">
        <v>0</v>
      </c>
      <c r="J194" s="107" t="b">
        <v>0</v>
      </c>
      <c r="K194" s="107" t="b">
        <v>0</v>
      </c>
      <c r="L194" s="107" t="b">
        <v>0</v>
      </c>
    </row>
    <row r="195" spans="1:12" ht="15">
      <c r="A195" s="87" t="s">
        <v>3537</v>
      </c>
      <c r="B195" s="107" t="s">
        <v>3536</v>
      </c>
      <c r="C195" s="107">
        <v>2</v>
      </c>
      <c r="D195" s="109">
        <v>0.0031894632470230054</v>
      </c>
      <c r="E195" s="109">
        <v>1.6982745766743677</v>
      </c>
      <c r="F195" s="107" t="s">
        <v>3500</v>
      </c>
      <c r="G195" s="107" t="b">
        <v>0</v>
      </c>
      <c r="H195" s="107" t="b">
        <v>0</v>
      </c>
      <c r="I195" s="107" t="b">
        <v>0</v>
      </c>
      <c r="J195" s="107" t="b">
        <v>0</v>
      </c>
      <c r="K195" s="107" t="b">
        <v>0</v>
      </c>
      <c r="L195" s="107" t="b">
        <v>0</v>
      </c>
    </row>
    <row r="196" spans="1:12" ht="15">
      <c r="A196" s="87" t="s">
        <v>3591</v>
      </c>
      <c r="B196" s="107" t="s">
        <v>3591</v>
      </c>
      <c r="C196" s="107">
        <v>2</v>
      </c>
      <c r="D196" s="109">
        <v>0.0027702014146219174</v>
      </c>
      <c r="E196" s="109">
        <v>1.4941545940184429</v>
      </c>
      <c r="F196" s="107" t="s">
        <v>3500</v>
      </c>
      <c r="G196" s="107" t="b">
        <v>0</v>
      </c>
      <c r="H196" s="107" t="b">
        <v>0</v>
      </c>
      <c r="I196" s="107" t="b">
        <v>0</v>
      </c>
      <c r="J196" s="107" t="b">
        <v>0</v>
      </c>
      <c r="K196" s="107" t="b">
        <v>0</v>
      </c>
      <c r="L196" s="107" t="b">
        <v>0</v>
      </c>
    </row>
    <row r="197" spans="1:12" ht="15">
      <c r="A197" s="87" t="s">
        <v>3637</v>
      </c>
      <c r="B197" s="107" t="s">
        <v>3757</v>
      </c>
      <c r="C197" s="107">
        <v>2</v>
      </c>
      <c r="D197" s="109">
        <v>0.0031894632470230054</v>
      </c>
      <c r="E197" s="109">
        <v>2.3180633349627615</v>
      </c>
      <c r="F197" s="107" t="s">
        <v>3500</v>
      </c>
      <c r="G197" s="107" t="b">
        <v>0</v>
      </c>
      <c r="H197" s="107" t="b">
        <v>0</v>
      </c>
      <c r="I197" s="107" t="b">
        <v>0</v>
      </c>
      <c r="J197" s="107" t="b">
        <v>1</v>
      </c>
      <c r="K197" s="107" t="b">
        <v>0</v>
      </c>
      <c r="L197" s="107" t="b">
        <v>0</v>
      </c>
    </row>
    <row r="198" spans="1:12" ht="15">
      <c r="A198" s="87" t="s">
        <v>3771</v>
      </c>
      <c r="B198" s="107" t="s">
        <v>4066</v>
      </c>
      <c r="C198" s="107">
        <v>2</v>
      </c>
      <c r="D198" s="109">
        <v>0.0031894632470230054</v>
      </c>
      <c r="E198" s="109">
        <v>2.494154594018443</v>
      </c>
      <c r="F198" s="107" t="s">
        <v>3500</v>
      </c>
      <c r="G198" s="107" t="b">
        <v>0</v>
      </c>
      <c r="H198" s="107" t="b">
        <v>0</v>
      </c>
      <c r="I198" s="107" t="b">
        <v>0</v>
      </c>
      <c r="J198" s="107" t="b">
        <v>0</v>
      </c>
      <c r="K198" s="107" t="b">
        <v>0</v>
      </c>
      <c r="L198" s="107" t="b">
        <v>0</v>
      </c>
    </row>
    <row r="199" spans="1:12" ht="15">
      <c r="A199" s="87" t="s">
        <v>3545</v>
      </c>
      <c r="B199" s="107" t="s">
        <v>4251</v>
      </c>
      <c r="C199" s="107">
        <v>2</v>
      </c>
      <c r="D199" s="109">
        <v>0.0027702014146219174</v>
      </c>
      <c r="E199" s="109">
        <v>2.6190933306267428</v>
      </c>
      <c r="F199" s="107" t="s">
        <v>3500</v>
      </c>
      <c r="G199" s="107" t="b">
        <v>0</v>
      </c>
      <c r="H199" s="107" t="b">
        <v>0</v>
      </c>
      <c r="I199" s="107" t="b">
        <v>0</v>
      </c>
      <c r="J199" s="107" t="b">
        <v>0</v>
      </c>
      <c r="K199" s="107" t="b">
        <v>0</v>
      </c>
      <c r="L199" s="107" t="b">
        <v>0</v>
      </c>
    </row>
    <row r="200" spans="1:12" ht="15">
      <c r="A200" s="87" t="s">
        <v>3591</v>
      </c>
      <c r="B200" s="107" t="s">
        <v>4009</v>
      </c>
      <c r="C200" s="107">
        <v>2</v>
      </c>
      <c r="D200" s="109">
        <v>0.0027702014146219174</v>
      </c>
      <c r="E200" s="109">
        <v>2.0962145853464054</v>
      </c>
      <c r="F200" s="107" t="s">
        <v>3500</v>
      </c>
      <c r="G200" s="107" t="b">
        <v>0</v>
      </c>
      <c r="H200" s="107" t="b">
        <v>0</v>
      </c>
      <c r="I200" s="107" t="b">
        <v>0</v>
      </c>
      <c r="J200" s="107" t="b">
        <v>0</v>
      </c>
      <c r="K200" s="107" t="b">
        <v>0</v>
      </c>
      <c r="L200" s="107" t="b">
        <v>0</v>
      </c>
    </row>
    <row r="201" spans="1:12" ht="15">
      <c r="A201" s="87" t="s">
        <v>3632</v>
      </c>
      <c r="B201" s="107" t="s">
        <v>3598</v>
      </c>
      <c r="C201" s="107">
        <v>2</v>
      </c>
      <c r="D201" s="109">
        <v>0.0027702014146219174</v>
      </c>
      <c r="E201" s="109">
        <v>1.5979040315568047</v>
      </c>
      <c r="F201" s="107" t="s">
        <v>3500</v>
      </c>
      <c r="G201" s="107" t="b">
        <v>0</v>
      </c>
      <c r="H201" s="107" t="b">
        <v>0</v>
      </c>
      <c r="I201" s="107" t="b">
        <v>0</v>
      </c>
      <c r="J201" s="107" t="b">
        <v>0</v>
      </c>
      <c r="K201" s="107" t="b">
        <v>1</v>
      </c>
      <c r="L201" s="107" t="b">
        <v>0</v>
      </c>
    </row>
    <row r="202" spans="1:12" ht="15">
      <c r="A202" s="87" t="s">
        <v>3956</v>
      </c>
      <c r="B202" s="107" t="s">
        <v>3868</v>
      </c>
      <c r="C202" s="107">
        <v>2</v>
      </c>
      <c r="D202" s="109">
        <v>0.0027702014146219174</v>
      </c>
      <c r="E202" s="109">
        <v>2.6190933306267428</v>
      </c>
      <c r="F202" s="107" t="s">
        <v>3500</v>
      </c>
      <c r="G202" s="107" t="b">
        <v>1</v>
      </c>
      <c r="H202" s="107" t="b">
        <v>0</v>
      </c>
      <c r="I202" s="107" t="b">
        <v>0</v>
      </c>
      <c r="J202" s="107" t="b">
        <v>1</v>
      </c>
      <c r="K202" s="107" t="b">
        <v>0</v>
      </c>
      <c r="L202" s="107" t="b">
        <v>0</v>
      </c>
    </row>
    <row r="203" spans="1:12" ht="15">
      <c r="A203" s="87" t="s">
        <v>2881</v>
      </c>
      <c r="B203" s="107" t="s">
        <v>4173</v>
      </c>
      <c r="C203" s="107">
        <v>2</v>
      </c>
      <c r="D203" s="109">
        <v>0.0027702014146219174</v>
      </c>
      <c r="E203" s="109">
        <v>2.494154594018443</v>
      </c>
      <c r="F203" s="107" t="s">
        <v>3500</v>
      </c>
      <c r="G203" s="107" t="b">
        <v>0</v>
      </c>
      <c r="H203" s="107" t="b">
        <v>0</v>
      </c>
      <c r="I203" s="107" t="b">
        <v>0</v>
      </c>
      <c r="J203" s="107" t="b">
        <v>0</v>
      </c>
      <c r="K203" s="107" t="b">
        <v>0</v>
      </c>
      <c r="L203" s="107" t="b">
        <v>0</v>
      </c>
    </row>
    <row r="204" spans="1:12" ht="15">
      <c r="A204" s="87" t="s">
        <v>3822</v>
      </c>
      <c r="B204" s="107" t="s">
        <v>3701</v>
      </c>
      <c r="C204" s="107">
        <v>2</v>
      </c>
      <c r="D204" s="109">
        <v>0.0031894632470230054</v>
      </c>
      <c r="E204" s="109">
        <v>2.795184589682424</v>
      </c>
      <c r="F204" s="107" t="s">
        <v>3500</v>
      </c>
      <c r="G204" s="107" t="b">
        <v>1</v>
      </c>
      <c r="H204" s="107" t="b">
        <v>0</v>
      </c>
      <c r="I204" s="107" t="b">
        <v>0</v>
      </c>
      <c r="J204" s="107" t="b">
        <v>0</v>
      </c>
      <c r="K204" s="107" t="b">
        <v>0</v>
      </c>
      <c r="L204" s="107" t="b">
        <v>0</v>
      </c>
    </row>
    <row r="205" spans="1:12" ht="15">
      <c r="A205" s="87" t="s">
        <v>3536</v>
      </c>
      <c r="B205" s="107" t="s">
        <v>3565</v>
      </c>
      <c r="C205" s="107">
        <v>2</v>
      </c>
      <c r="D205" s="109">
        <v>0.0031894632470230054</v>
      </c>
      <c r="E205" s="109">
        <v>2.14197207590708</v>
      </c>
      <c r="F205" s="107" t="s">
        <v>3500</v>
      </c>
      <c r="G205" s="107" t="b">
        <v>0</v>
      </c>
      <c r="H205" s="107" t="b">
        <v>0</v>
      </c>
      <c r="I205" s="107" t="b">
        <v>0</v>
      </c>
      <c r="J205" s="107" t="b">
        <v>0</v>
      </c>
      <c r="K205" s="107" t="b">
        <v>0</v>
      </c>
      <c r="L205" s="107" t="b">
        <v>0</v>
      </c>
    </row>
    <row r="206" spans="1:12" ht="15">
      <c r="A206" s="87" t="s">
        <v>3839</v>
      </c>
      <c r="B206" s="107" t="s">
        <v>3956</v>
      </c>
      <c r="C206" s="107">
        <v>2</v>
      </c>
      <c r="D206" s="109">
        <v>0.0027702014146219174</v>
      </c>
      <c r="E206" s="109">
        <v>2.795184589682424</v>
      </c>
      <c r="F206" s="107" t="s">
        <v>3500</v>
      </c>
      <c r="G206" s="107" t="b">
        <v>0</v>
      </c>
      <c r="H206" s="107" t="b">
        <v>0</v>
      </c>
      <c r="I206" s="107" t="b">
        <v>0</v>
      </c>
      <c r="J206" s="107" t="b">
        <v>1</v>
      </c>
      <c r="K206" s="107" t="b">
        <v>0</v>
      </c>
      <c r="L206" s="107" t="b">
        <v>0</v>
      </c>
    </row>
    <row r="207" spans="1:12" ht="15">
      <c r="A207" s="87" t="s">
        <v>3762</v>
      </c>
      <c r="B207" s="107" t="s">
        <v>3784</v>
      </c>
      <c r="C207" s="107">
        <v>2</v>
      </c>
      <c r="D207" s="109">
        <v>0.0027702014146219174</v>
      </c>
      <c r="E207" s="109">
        <v>2.1931245983544616</v>
      </c>
      <c r="F207" s="107" t="s">
        <v>3500</v>
      </c>
      <c r="G207" s="107" t="b">
        <v>0</v>
      </c>
      <c r="H207" s="107" t="b">
        <v>0</v>
      </c>
      <c r="I207" s="107" t="b">
        <v>0</v>
      </c>
      <c r="J207" s="107" t="b">
        <v>0</v>
      </c>
      <c r="K207" s="107" t="b">
        <v>0</v>
      </c>
      <c r="L207" s="107" t="b">
        <v>0</v>
      </c>
    </row>
    <row r="208" spans="1:12" ht="15">
      <c r="A208" s="87" t="s">
        <v>3859</v>
      </c>
      <c r="B208" s="107" t="s">
        <v>3955</v>
      </c>
      <c r="C208" s="107">
        <v>2</v>
      </c>
      <c r="D208" s="109">
        <v>0.0027702014146219174</v>
      </c>
      <c r="E208" s="109">
        <v>2.6190933306267428</v>
      </c>
      <c r="F208" s="107" t="s">
        <v>3500</v>
      </c>
      <c r="G208" s="107" t="b">
        <v>0</v>
      </c>
      <c r="H208" s="107" t="b">
        <v>0</v>
      </c>
      <c r="I208" s="107" t="b">
        <v>0</v>
      </c>
      <c r="J208" s="107" t="b">
        <v>0</v>
      </c>
      <c r="K208" s="107" t="b">
        <v>0</v>
      </c>
      <c r="L208" s="107" t="b">
        <v>0</v>
      </c>
    </row>
    <row r="209" spans="1:12" ht="15">
      <c r="A209" s="87" t="s">
        <v>4009</v>
      </c>
      <c r="B209" s="107" t="s">
        <v>4179</v>
      </c>
      <c r="C209" s="107">
        <v>2</v>
      </c>
      <c r="D209" s="109">
        <v>0.0027702014146219174</v>
      </c>
      <c r="E209" s="109">
        <v>2.795184589682424</v>
      </c>
      <c r="F209" s="107" t="s">
        <v>3500</v>
      </c>
      <c r="G209" s="107" t="b">
        <v>0</v>
      </c>
      <c r="H209" s="107" t="b">
        <v>0</v>
      </c>
      <c r="I209" s="107" t="b">
        <v>0</v>
      </c>
      <c r="J209" s="107" t="b">
        <v>0</v>
      </c>
      <c r="K209" s="107" t="b">
        <v>0</v>
      </c>
      <c r="L209" s="107" t="b">
        <v>0</v>
      </c>
    </row>
    <row r="210" spans="1:12" ht="15">
      <c r="A210" s="87" t="s">
        <v>4310</v>
      </c>
      <c r="B210" s="107" t="s">
        <v>3682</v>
      </c>
      <c r="C210" s="107">
        <v>2</v>
      </c>
      <c r="D210" s="109">
        <v>0.0027702014146219174</v>
      </c>
      <c r="E210" s="109">
        <v>2.3972445810103866</v>
      </c>
      <c r="F210" s="107" t="s">
        <v>3500</v>
      </c>
      <c r="G210" s="107" t="b">
        <v>0</v>
      </c>
      <c r="H210" s="107" t="b">
        <v>0</v>
      </c>
      <c r="I210" s="107" t="b">
        <v>0</v>
      </c>
      <c r="J210" s="107" t="b">
        <v>0</v>
      </c>
      <c r="K210" s="107" t="b">
        <v>0</v>
      </c>
      <c r="L210" s="107" t="b">
        <v>0</v>
      </c>
    </row>
    <row r="211" spans="1:12" ht="15">
      <c r="A211" s="87" t="s">
        <v>3549</v>
      </c>
      <c r="B211" s="107" t="s">
        <v>3784</v>
      </c>
      <c r="C211" s="107">
        <v>2</v>
      </c>
      <c r="D211" s="109">
        <v>0.0031894632470230054</v>
      </c>
      <c r="E211" s="109">
        <v>1.56473566830415</v>
      </c>
      <c r="F211" s="107" t="s">
        <v>3500</v>
      </c>
      <c r="G211" s="107" t="b">
        <v>0</v>
      </c>
      <c r="H211" s="107" t="b">
        <v>0</v>
      </c>
      <c r="I211" s="107" t="b">
        <v>0</v>
      </c>
      <c r="J211" s="107" t="b">
        <v>0</v>
      </c>
      <c r="K211" s="107" t="b">
        <v>0</v>
      </c>
      <c r="L211" s="107" t="b">
        <v>0</v>
      </c>
    </row>
    <row r="212" spans="1:12" ht="15">
      <c r="A212" s="87" t="s">
        <v>3623</v>
      </c>
      <c r="B212" s="107" t="s">
        <v>4302</v>
      </c>
      <c r="C212" s="107">
        <v>2</v>
      </c>
      <c r="D212" s="109">
        <v>0.0031894632470230054</v>
      </c>
      <c r="E212" s="109">
        <v>2.6190933306267428</v>
      </c>
      <c r="F212" s="107" t="s">
        <v>3500</v>
      </c>
      <c r="G212" s="107" t="b">
        <v>0</v>
      </c>
      <c r="H212" s="107" t="b">
        <v>0</v>
      </c>
      <c r="I212" s="107" t="b">
        <v>0</v>
      </c>
      <c r="J212" s="107" t="b">
        <v>0</v>
      </c>
      <c r="K212" s="107" t="b">
        <v>0</v>
      </c>
      <c r="L212" s="107" t="b">
        <v>0</v>
      </c>
    </row>
    <row r="213" spans="1:12" ht="15">
      <c r="A213" s="87" t="s">
        <v>3701</v>
      </c>
      <c r="B213" s="107" t="s">
        <v>3910</v>
      </c>
      <c r="C213" s="107">
        <v>2</v>
      </c>
      <c r="D213" s="109">
        <v>0.0031894632470230054</v>
      </c>
      <c r="E213" s="109">
        <v>2.6190933306267428</v>
      </c>
      <c r="F213" s="107" t="s">
        <v>3500</v>
      </c>
      <c r="G213" s="107" t="b">
        <v>0</v>
      </c>
      <c r="H213" s="107" t="b">
        <v>0</v>
      </c>
      <c r="I213" s="107" t="b">
        <v>0</v>
      </c>
      <c r="J213" s="107" t="b">
        <v>0</v>
      </c>
      <c r="K213" s="107" t="b">
        <v>0</v>
      </c>
      <c r="L213" s="107" t="b">
        <v>0</v>
      </c>
    </row>
    <row r="214" spans="1:12" ht="15">
      <c r="A214" s="87" t="s">
        <v>3706</v>
      </c>
      <c r="B214" s="107" t="s">
        <v>3585</v>
      </c>
      <c r="C214" s="107">
        <v>2</v>
      </c>
      <c r="D214" s="109">
        <v>0.0031894632470230054</v>
      </c>
      <c r="E214" s="109">
        <v>2.0962145853464054</v>
      </c>
      <c r="F214" s="107" t="s">
        <v>3500</v>
      </c>
      <c r="G214" s="107" t="b">
        <v>0</v>
      </c>
      <c r="H214" s="107" t="b">
        <v>0</v>
      </c>
      <c r="I214" s="107" t="b">
        <v>0</v>
      </c>
      <c r="J214" s="107" t="b">
        <v>0</v>
      </c>
      <c r="K214" s="107" t="b">
        <v>0</v>
      </c>
      <c r="L214" s="107" t="b">
        <v>0</v>
      </c>
    </row>
    <row r="215" spans="1:12" ht="15">
      <c r="A215" s="87" t="s">
        <v>2731</v>
      </c>
      <c r="B215" s="107" t="s">
        <v>3859</v>
      </c>
      <c r="C215" s="107">
        <v>2</v>
      </c>
      <c r="D215" s="109">
        <v>0.0027702014146219174</v>
      </c>
      <c r="E215" s="109">
        <v>2.4430020715710614</v>
      </c>
      <c r="F215" s="107" t="s">
        <v>3500</v>
      </c>
      <c r="G215" s="107" t="b">
        <v>0</v>
      </c>
      <c r="H215" s="107" t="b">
        <v>0</v>
      </c>
      <c r="I215" s="107" t="b">
        <v>0</v>
      </c>
      <c r="J215" s="107" t="b">
        <v>0</v>
      </c>
      <c r="K215" s="107" t="b">
        <v>0</v>
      </c>
      <c r="L215" s="107" t="b">
        <v>0</v>
      </c>
    </row>
    <row r="216" spans="1:12" ht="15">
      <c r="A216" s="87" t="s">
        <v>4117</v>
      </c>
      <c r="B216" s="107" t="s">
        <v>3693</v>
      </c>
      <c r="C216" s="107">
        <v>2</v>
      </c>
      <c r="D216" s="109">
        <v>0.0031894632470230054</v>
      </c>
      <c r="E216" s="109">
        <v>2.3972445810103866</v>
      </c>
      <c r="F216" s="107" t="s">
        <v>3500</v>
      </c>
      <c r="G216" s="107" t="b">
        <v>0</v>
      </c>
      <c r="H216" s="107" t="b">
        <v>1</v>
      </c>
      <c r="I216" s="107" t="b">
        <v>0</v>
      </c>
      <c r="J216" s="107" t="b">
        <v>0</v>
      </c>
      <c r="K216" s="107" t="b">
        <v>0</v>
      </c>
      <c r="L216" s="107" t="b">
        <v>0</v>
      </c>
    </row>
    <row r="217" spans="1:12" ht="15">
      <c r="A217" s="87" t="s">
        <v>3786</v>
      </c>
      <c r="B217" s="107" t="s">
        <v>4247</v>
      </c>
      <c r="C217" s="107">
        <v>2</v>
      </c>
      <c r="D217" s="109">
        <v>0.0027702014146219174</v>
      </c>
      <c r="E217" s="109">
        <v>2.494154594018443</v>
      </c>
      <c r="F217" s="107" t="s">
        <v>3500</v>
      </c>
      <c r="G217" s="107" t="b">
        <v>0</v>
      </c>
      <c r="H217" s="107" t="b">
        <v>0</v>
      </c>
      <c r="I217" s="107" t="b">
        <v>0</v>
      </c>
      <c r="J217" s="107" t="b">
        <v>0</v>
      </c>
      <c r="K217" s="107" t="b">
        <v>0</v>
      </c>
      <c r="L217" s="107" t="b">
        <v>0</v>
      </c>
    </row>
    <row r="218" spans="1:12" ht="15">
      <c r="A218" s="87" t="s">
        <v>4340</v>
      </c>
      <c r="B218" s="107" t="s">
        <v>4234</v>
      </c>
      <c r="C218" s="107">
        <v>2</v>
      </c>
      <c r="D218" s="109">
        <v>0.0031894632470230054</v>
      </c>
      <c r="E218" s="109">
        <v>2.795184589682424</v>
      </c>
      <c r="F218" s="107" t="s">
        <v>3500</v>
      </c>
      <c r="G218" s="107" t="b">
        <v>0</v>
      </c>
      <c r="H218" s="107" t="b">
        <v>0</v>
      </c>
      <c r="I218" s="107" t="b">
        <v>0</v>
      </c>
      <c r="J218" s="107" t="b">
        <v>0</v>
      </c>
      <c r="K218" s="107" t="b">
        <v>0</v>
      </c>
      <c r="L218" s="107" t="b">
        <v>0</v>
      </c>
    </row>
    <row r="219" spans="1:12" ht="15">
      <c r="A219" s="87" t="s">
        <v>3879</v>
      </c>
      <c r="B219" s="107" t="s">
        <v>3754</v>
      </c>
      <c r="C219" s="107">
        <v>2</v>
      </c>
      <c r="D219" s="109">
        <v>0.0027702014146219174</v>
      </c>
      <c r="E219" s="109">
        <v>2.3180633349627615</v>
      </c>
      <c r="F219" s="107" t="s">
        <v>3500</v>
      </c>
      <c r="G219" s="107" t="b">
        <v>0</v>
      </c>
      <c r="H219" s="107" t="b">
        <v>0</v>
      </c>
      <c r="I219" s="107" t="b">
        <v>0</v>
      </c>
      <c r="J219" s="107" t="b">
        <v>0</v>
      </c>
      <c r="K219" s="107" t="b">
        <v>0</v>
      </c>
      <c r="L219" s="107" t="b">
        <v>0</v>
      </c>
    </row>
    <row r="220" spans="1:12" ht="15">
      <c r="A220" s="87" t="s">
        <v>2632</v>
      </c>
      <c r="B220" s="107" t="s">
        <v>2941</v>
      </c>
      <c r="C220" s="107">
        <v>2</v>
      </c>
      <c r="D220" s="109">
        <v>0.0027702014146219174</v>
      </c>
      <c r="E220" s="109">
        <v>2.0962145853464054</v>
      </c>
      <c r="F220" s="107" t="s">
        <v>3500</v>
      </c>
      <c r="G220" s="107" t="b">
        <v>1</v>
      </c>
      <c r="H220" s="107" t="b">
        <v>0</v>
      </c>
      <c r="I220" s="107" t="b">
        <v>0</v>
      </c>
      <c r="J220" s="107" t="b">
        <v>0</v>
      </c>
      <c r="K220" s="107" t="b">
        <v>0</v>
      </c>
      <c r="L220" s="107" t="b">
        <v>0</v>
      </c>
    </row>
    <row r="221" spans="1:12" ht="15">
      <c r="A221" s="87" t="s">
        <v>3549</v>
      </c>
      <c r="B221" s="107" t="s">
        <v>2881</v>
      </c>
      <c r="C221" s="107">
        <v>2</v>
      </c>
      <c r="D221" s="109">
        <v>0.0031894632470230054</v>
      </c>
      <c r="E221" s="109">
        <v>1.68967440491245</v>
      </c>
      <c r="F221" s="107" t="s">
        <v>3500</v>
      </c>
      <c r="G221" s="107" t="b">
        <v>0</v>
      </c>
      <c r="H221" s="107" t="b">
        <v>0</v>
      </c>
      <c r="I221" s="107" t="b">
        <v>0</v>
      </c>
      <c r="J221" s="107" t="b">
        <v>0</v>
      </c>
      <c r="K221" s="107" t="b">
        <v>0</v>
      </c>
      <c r="L221" s="107" t="b">
        <v>0</v>
      </c>
    </row>
    <row r="222" spans="1:12" ht="15">
      <c r="A222" s="87" t="s">
        <v>3614</v>
      </c>
      <c r="B222" s="107" t="s">
        <v>3541</v>
      </c>
      <c r="C222" s="107">
        <v>2</v>
      </c>
      <c r="D222" s="109">
        <v>0.0027702014146219174</v>
      </c>
      <c r="E222" s="109">
        <v>1.3038228958481513</v>
      </c>
      <c r="F222" s="107" t="s">
        <v>3500</v>
      </c>
      <c r="G222" s="107" t="b">
        <v>0</v>
      </c>
      <c r="H222" s="107" t="b">
        <v>1</v>
      </c>
      <c r="I222" s="107" t="b">
        <v>0</v>
      </c>
      <c r="J222" s="107" t="b">
        <v>0</v>
      </c>
      <c r="K222" s="107" t="b">
        <v>0</v>
      </c>
      <c r="L222" s="107" t="b">
        <v>0</v>
      </c>
    </row>
    <row r="223" spans="1:12" ht="15">
      <c r="A223" s="87" t="s">
        <v>3627</v>
      </c>
      <c r="B223" s="107" t="s">
        <v>4185</v>
      </c>
      <c r="C223" s="107">
        <v>2</v>
      </c>
      <c r="D223" s="109">
        <v>0.0031894632470230054</v>
      </c>
      <c r="E223" s="109">
        <v>2.2511165453321484</v>
      </c>
      <c r="F223" s="107" t="s">
        <v>3500</v>
      </c>
      <c r="G223" s="107" t="b">
        <v>0</v>
      </c>
      <c r="H223" s="107" t="b">
        <v>0</v>
      </c>
      <c r="I223" s="107" t="b">
        <v>0</v>
      </c>
      <c r="J223" s="107" t="b">
        <v>0</v>
      </c>
      <c r="K223" s="107" t="b">
        <v>0</v>
      </c>
      <c r="L223" s="107" t="b">
        <v>0</v>
      </c>
    </row>
    <row r="224" spans="1:12" ht="15">
      <c r="A224" s="87" t="s">
        <v>2785</v>
      </c>
      <c r="B224" s="107" t="s">
        <v>3594</v>
      </c>
      <c r="C224" s="107">
        <v>2</v>
      </c>
      <c r="D224" s="109">
        <v>0.0027702014146219174</v>
      </c>
      <c r="E224" s="109">
        <v>1.716003343634799</v>
      </c>
      <c r="F224" s="107" t="s">
        <v>3500</v>
      </c>
      <c r="G224" s="107" t="b">
        <v>1</v>
      </c>
      <c r="H224" s="107" t="b">
        <v>0</v>
      </c>
      <c r="I224" s="107" t="b">
        <v>0</v>
      </c>
      <c r="J224" s="107" t="b">
        <v>0</v>
      </c>
      <c r="K224" s="107" t="b">
        <v>0</v>
      </c>
      <c r="L224" s="107" t="b">
        <v>0</v>
      </c>
    </row>
    <row r="225" spans="1:12" ht="15">
      <c r="A225" s="87" t="s">
        <v>3598</v>
      </c>
      <c r="B225" s="107" t="s">
        <v>3812</v>
      </c>
      <c r="C225" s="107">
        <v>2</v>
      </c>
      <c r="D225" s="109">
        <v>0.0027702014146219174</v>
      </c>
      <c r="E225" s="109">
        <v>2.075025286276467</v>
      </c>
      <c r="F225" s="107" t="s">
        <v>3500</v>
      </c>
      <c r="G225" s="107" t="b">
        <v>0</v>
      </c>
      <c r="H225" s="107" t="b">
        <v>1</v>
      </c>
      <c r="I225" s="107" t="b">
        <v>0</v>
      </c>
      <c r="J225" s="107" t="b">
        <v>0</v>
      </c>
      <c r="K225" s="107" t="b">
        <v>0</v>
      </c>
      <c r="L225" s="107" t="b">
        <v>0</v>
      </c>
    </row>
    <row r="226" spans="1:12" ht="15">
      <c r="A226" s="87" t="s">
        <v>3624</v>
      </c>
      <c r="B226" s="107" t="s">
        <v>3544</v>
      </c>
      <c r="C226" s="107">
        <v>2</v>
      </c>
      <c r="D226" s="109">
        <v>0.0027702014146219174</v>
      </c>
      <c r="E226" s="109">
        <v>1.584331224367531</v>
      </c>
      <c r="F226" s="107" t="s">
        <v>3500</v>
      </c>
      <c r="G226" s="107" t="b">
        <v>0</v>
      </c>
      <c r="H226" s="107" t="b">
        <v>0</v>
      </c>
      <c r="I226" s="107" t="b">
        <v>0</v>
      </c>
      <c r="J226" s="107" t="b">
        <v>1</v>
      </c>
      <c r="K226" s="107" t="b">
        <v>0</v>
      </c>
      <c r="L226" s="107" t="b">
        <v>0</v>
      </c>
    </row>
    <row r="227" spans="1:12" ht="15">
      <c r="A227" s="87" t="s">
        <v>3545</v>
      </c>
      <c r="B227" s="107" t="s">
        <v>3584</v>
      </c>
      <c r="C227" s="107">
        <v>10</v>
      </c>
      <c r="D227" s="109">
        <v>0.008180830597133888</v>
      </c>
      <c r="E227" s="109">
        <v>1.8985961385096841</v>
      </c>
      <c r="F227" s="107" t="s">
        <v>3501</v>
      </c>
      <c r="G227" s="107" t="b">
        <v>0</v>
      </c>
      <c r="H227" s="107" t="b">
        <v>0</v>
      </c>
      <c r="I227" s="107" t="b">
        <v>0</v>
      </c>
      <c r="J227" s="107" t="b">
        <v>0</v>
      </c>
      <c r="K227" s="107" t="b">
        <v>0</v>
      </c>
      <c r="L227" s="107" t="b">
        <v>0</v>
      </c>
    </row>
    <row r="228" spans="1:12" ht="15">
      <c r="A228" s="87" t="s">
        <v>2785</v>
      </c>
      <c r="B228" s="107" t="s">
        <v>3568</v>
      </c>
      <c r="C228" s="107">
        <v>5</v>
      </c>
      <c r="D228" s="109">
        <v>0.00494703444320891</v>
      </c>
      <c r="E228" s="109">
        <v>1.6001283596103033</v>
      </c>
      <c r="F228" s="107" t="s">
        <v>3501</v>
      </c>
      <c r="G228" s="107" t="b">
        <v>1</v>
      </c>
      <c r="H228" s="107" t="b">
        <v>0</v>
      </c>
      <c r="I228" s="107" t="b">
        <v>0</v>
      </c>
      <c r="J228" s="107" t="b">
        <v>0</v>
      </c>
      <c r="K228" s="107" t="b">
        <v>0</v>
      </c>
      <c r="L228" s="107" t="b">
        <v>0</v>
      </c>
    </row>
    <row r="229" spans="1:12" ht="15">
      <c r="A229" s="87" t="s">
        <v>4292</v>
      </c>
      <c r="B229" s="107" t="s">
        <v>3832</v>
      </c>
      <c r="C229" s="107">
        <v>2</v>
      </c>
      <c r="D229" s="109">
        <v>0.0029170285482043945</v>
      </c>
      <c r="E229" s="109">
        <v>2.828015064223977</v>
      </c>
      <c r="F229" s="107" t="s">
        <v>3501</v>
      </c>
      <c r="G229" s="107" t="b">
        <v>0</v>
      </c>
      <c r="H229" s="107" t="b">
        <v>0</v>
      </c>
      <c r="I229" s="107" t="b">
        <v>0</v>
      </c>
      <c r="J229" s="107" t="b">
        <v>0</v>
      </c>
      <c r="K229" s="107" t="b">
        <v>0</v>
      </c>
      <c r="L229" s="107" t="b">
        <v>0</v>
      </c>
    </row>
    <row r="230" spans="1:12" ht="15">
      <c r="A230" s="87" t="s">
        <v>3590</v>
      </c>
      <c r="B230" s="107" t="s">
        <v>3571</v>
      </c>
      <c r="C230" s="107">
        <v>2</v>
      </c>
      <c r="D230" s="109">
        <v>0.0029170285482043945</v>
      </c>
      <c r="E230" s="109">
        <v>1.98291702420972</v>
      </c>
      <c r="F230" s="107" t="s">
        <v>3501</v>
      </c>
      <c r="G230" s="107" t="b">
        <v>0</v>
      </c>
      <c r="H230" s="107" t="b">
        <v>0</v>
      </c>
      <c r="I230" s="107" t="b">
        <v>0</v>
      </c>
      <c r="J230" s="107" t="b">
        <v>0</v>
      </c>
      <c r="K230" s="107" t="b">
        <v>0</v>
      </c>
      <c r="L230" s="107" t="b">
        <v>0</v>
      </c>
    </row>
    <row r="231" spans="1:12" ht="15">
      <c r="A231" s="87" t="s">
        <v>3611</v>
      </c>
      <c r="B231" s="107" t="s">
        <v>4330</v>
      </c>
      <c r="C231" s="107">
        <v>2</v>
      </c>
      <c r="D231" s="109">
        <v>0.0025129614399305943</v>
      </c>
      <c r="E231" s="109">
        <v>2.430075055551939</v>
      </c>
      <c r="F231" s="107" t="s">
        <v>3501</v>
      </c>
      <c r="G231" s="107" t="b">
        <v>0</v>
      </c>
      <c r="H231" s="107" t="b">
        <v>0</v>
      </c>
      <c r="I231" s="107" t="b">
        <v>0</v>
      </c>
      <c r="J231" s="107" t="b">
        <v>0</v>
      </c>
      <c r="K231" s="107" t="b">
        <v>0</v>
      </c>
      <c r="L231" s="107" t="b">
        <v>0</v>
      </c>
    </row>
    <row r="232" spans="1:12" ht="15">
      <c r="A232" s="87" t="s">
        <v>3703</v>
      </c>
      <c r="B232" s="107" t="s">
        <v>3560</v>
      </c>
      <c r="C232" s="107">
        <v>2</v>
      </c>
      <c r="D232" s="109">
        <v>0.0025129614399305943</v>
      </c>
      <c r="E232" s="109">
        <v>1.9115611156740517</v>
      </c>
      <c r="F232" s="107" t="s">
        <v>3501</v>
      </c>
      <c r="G232" s="107" t="b">
        <v>0</v>
      </c>
      <c r="H232" s="107" t="b">
        <v>0</v>
      </c>
      <c r="I232" s="107" t="b">
        <v>0</v>
      </c>
      <c r="J232" s="107" t="b">
        <v>0</v>
      </c>
      <c r="K232" s="107" t="b">
        <v>0</v>
      </c>
      <c r="L232" s="107" t="b">
        <v>0</v>
      </c>
    </row>
    <row r="233" spans="1:12" ht="15">
      <c r="A233" s="87" t="s">
        <v>3633</v>
      </c>
      <c r="B233" s="107" t="s">
        <v>3536</v>
      </c>
      <c r="C233" s="107">
        <v>2</v>
      </c>
      <c r="D233" s="109">
        <v>0.0025129614399305943</v>
      </c>
      <c r="E233" s="109">
        <v>1.6976812957289709</v>
      </c>
      <c r="F233" s="107" t="s">
        <v>3501</v>
      </c>
      <c r="G233" s="107" t="b">
        <v>0</v>
      </c>
      <c r="H233" s="107" t="b">
        <v>0</v>
      </c>
      <c r="I233" s="107" t="b">
        <v>0</v>
      </c>
      <c r="J233" s="107" t="b">
        <v>0</v>
      </c>
      <c r="K233" s="107" t="b">
        <v>0</v>
      </c>
      <c r="L233" s="107" t="b">
        <v>0</v>
      </c>
    </row>
    <row r="234" spans="1:12" ht="15">
      <c r="A234" s="87" t="s">
        <v>3666</v>
      </c>
      <c r="B234" s="107" t="s">
        <v>3992</v>
      </c>
      <c r="C234" s="107">
        <v>2</v>
      </c>
      <c r="D234" s="109">
        <v>0.0025129614399305943</v>
      </c>
      <c r="E234" s="109">
        <v>2.430075055551939</v>
      </c>
      <c r="F234" s="107" t="s">
        <v>3501</v>
      </c>
      <c r="G234" s="107" t="b">
        <v>0</v>
      </c>
      <c r="H234" s="107" t="b">
        <v>0</v>
      </c>
      <c r="I234" s="107" t="b">
        <v>0</v>
      </c>
      <c r="J234" s="107" t="b">
        <v>0</v>
      </c>
      <c r="K234" s="107" t="b">
        <v>0</v>
      </c>
      <c r="L234" s="107" t="b">
        <v>0</v>
      </c>
    </row>
    <row r="235" spans="1:12" ht="15">
      <c r="A235" s="87" t="s">
        <v>4294</v>
      </c>
      <c r="B235" s="107" t="s">
        <v>3547</v>
      </c>
      <c r="C235" s="107">
        <v>2</v>
      </c>
      <c r="D235" s="109">
        <v>0.0025129614399305943</v>
      </c>
      <c r="E235" s="109">
        <v>1.806825765154039</v>
      </c>
      <c r="F235" s="107" t="s">
        <v>3501</v>
      </c>
      <c r="G235" s="107" t="b">
        <v>0</v>
      </c>
      <c r="H235" s="107" t="b">
        <v>0</v>
      </c>
      <c r="I235" s="107" t="b">
        <v>0</v>
      </c>
      <c r="J235" s="107" t="b">
        <v>0</v>
      </c>
      <c r="K235" s="107" t="b">
        <v>0</v>
      </c>
      <c r="L235" s="107" t="b">
        <v>0</v>
      </c>
    </row>
    <row r="236" spans="1:12" ht="15">
      <c r="A236" s="87" t="s">
        <v>3869</v>
      </c>
      <c r="B236" s="107" t="s">
        <v>3714</v>
      </c>
      <c r="C236" s="107">
        <v>2</v>
      </c>
      <c r="D236" s="109">
        <v>0.0025129614399305943</v>
      </c>
      <c r="E236" s="109">
        <v>2.3508938095043144</v>
      </c>
      <c r="F236" s="107" t="s">
        <v>3501</v>
      </c>
      <c r="G236" s="107" t="b">
        <v>0</v>
      </c>
      <c r="H236" s="107" t="b">
        <v>0</v>
      </c>
      <c r="I236" s="107" t="b">
        <v>0</v>
      </c>
      <c r="J236" s="107" t="b">
        <v>0</v>
      </c>
      <c r="K236" s="107" t="b">
        <v>0</v>
      </c>
      <c r="L236" s="107" t="b">
        <v>0</v>
      </c>
    </row>
    <row r="237" spans="1:12" ht="15">
      <c r="A237" s="87" t="s">
        <v>3561</v>
      </c>
      <c r="B237" s="107" t="s">
        <v>3592</v>
      </c>
      <c r="C237" s="107">
        <v>2</v>
      </c>
      <c r="D237" s="109">
        <v>0.0029170285482043945</v>
      </c>
      <c r="E237" s="109">
        <v>1.5269850685599957</v>
      </c>
      <c r="F237" s="107" t="s">
        <v>3501</v>
      </c>
      <c r="G237" s="107" t="b">
        <v>0</v>
      </c>
      <c r="H237" s="107" t="b">
        <v>0</v>
      </c>
      <c r="I237" s="107" t="b">
        <v>0</v>
      </c>
      <c r="J237" s="107" t="b">
        <v>0</v>
      </c>
      <c r="K237" s="107" t="b">
        <v>0</v>
      </c>
      <c r="L237" s="107" t="b">
        <v>0</v>
      </c>
    </row>
    <row r="238" spans="1:12" ht="15">
      <c r="A238" s="87" t="s">
        <v>3646</v>
      </c>
      <c r="B238" s="107" t="s">
        <v>3565</v>
      </c>
      <c r="C238" s="107">
        <v>2</v>
      </c>
      <c r="D238" s="109">
        <v>0.0029170285482043945</v>
      </c>
      <c r="E238" s="109">
        <v>2.049863813840333</v>
      </c>
      <c r="F238" s="107" t="s">
        <v>3501</v>
      </c>
      <c r="G238" s="107" t="b">
        <v>0</v>
      </c>
      <c r="H238" s="107" t="b">
        <v>0</v>
      </c>
      <c r="I238" s="107" t="b">
        <v>0</v>
      </c>
      <c r="J238" s="107" t="b">
        <v>0</v>
      </c>
      <c r="K238" s="107" t="b">
        <v>0</v>
      </c>
      <c r="L238" s="107" t="b">
        <v>0</v>
      </c>
    </row>
    <row r="239" spans="1:12" ht="15">
      <c r="A239" s="87" t="s">
        <v>4075</v>
      </c>
      <c r="B239" s="107" t="s">
        <v>3545</v>
      </c>
      <c r="C239" s="107">
        <v>2</v>
      </c>
      <c r="D239" s="109">
        <v>0.0025129614399305943</v>
      </c>
      <c r="E239" s="109">
        <v>1.8502914589351291</v>
      </c>
      <c r="F239" s="107" t="s">
        <v>3501</v>
      </c>
      <c r="G239" s="107" t="b">
        <v>0</v>
      </c>
      <c r="H239" s="107" t="b">
        <v>0</v>
      </c>
      <c r="I239" s="107" t="b">
        <v>0</v>
      </c>
      <c r="J239" s="107" t="b">
        <v>0</v>
      </c>
      <c r="K239" s="107" t="b">
        <v>0</v>
      </c>
      <c r="L239" s="107" t="b">
        <v>0</v>
      </c>
    </row>
    <row r="240" spans="1:12" ht="15">
      <c r="A240" s="87" t="s">
        <v>3773</v>
      </c>
      <c r="B240" s="107" t="s">
        <v>3568</v>
      </c>
      <c r="C240" s="107">
        <v>2</v>
      </c>
      <c r="D240" s="109">
        <v>0.0025129614399305943</v>
      </c>
      <c r="E240" s="109">
        <v>1.83901044852544</v>
      </c>
      <c r="F240" s="107" t="s">
        <v>3501</v>
      </c>
      <c r="G240" s="107" t="b">
        <v>1</v>
      </c>
      <c r="H240" s="107" t="b">
        <v>0</v>
      </c>
      <c r="I240" s="107" t="b">
        <v>0</v>
      </c>
      <c r="J240" s="107" t="b">
        <v>0</v>
      </c>
      <c r="K240" s="107" t="b">
        <v>0</v>
      </c>
      <c r="L240" s="107" t="b">
        <v>0</v>
      </c>
    </row>
    <row r="241" spans="1:12" ht="15">
      <c r="A241" s="87" t="s">
        <v>3618</v>
      </c>
      <c r="B241" s="107" t="s">
        <v>3734</v>
      </c>
      <c r="C241" s="107">
        <v>2</v>
      </c>
      <c r="D241" s="109">
        <v>0.0029170285482043945</v>
      </c>
      <c r="E241" s="109">
        <v>1.98291702420972</v>
      </c>
      <c r="F241" s="107" t="s">
        <v>3501</v>
      </c>
      <c r="G241" s="107" t="b">
        <v>0</v>
      </c>
      <c r="H241" s="107" t="b">
        <v>0</v>
      </c>
      <c r="I241" s="107" t="b">
        <v>0</v>
      </c>
      <c r="J241" s="107" t="b">
        <v>0</v>
      </c>
      <c r="K241" s="107" t="b">
        <v>0</v>
      </c>
      <c r="L241" s="107" t="b">
        <v>0</v>
      </c>
    </row>
    <row r="242" spans="1:12" ht="15">
      <c r="A242" s="87" t="s">
        <v>3547</v>
      </c>
      <c r="B242" s="107" t="s">
        <v>3555</v>
      </c>
      <c r="C242" s="107">
        <v>2</v>
      </c>
      <c r="D242" s="109">
        <v>0.0029170285482043945</v>
      </c>
      <c r="E242" s="109">
        <v>1.2839470198737013</v>
      </c>
      <c r="F242" s="107" t="s">
        <v>3501</v>
      </c>
      <c r="G242" s="107" t="b">
        <v>0</v>
      </c>
      <c r="H242" s="107" t="b">
        <v>0</v>
      </c>
      <c r="I242" s="107" t="b">
        <v>0</v>
      </c>
      <c r="J242" s="107" t="b">
        <v>1</v>
      </c>
      <c r="K242" s="107" t="b">
        <v>0</v>
      </c>
      <c r="L242" s="107" t="b">
        <v>0</v>
      </c>
    </row>
    <row r="243" spans="1:12" ht="15">
      <c r="A243" s="87" t="s">
        <v>3600</v>
      </c>
      <c r="B243" s="107" t="s">
        <v>3536</v>
      </c>
      <c r="C243" s="107">
        <v>2</v>
      </c>
      <c r="D243" s="109">
        <v>0.0025129614399305943</v>
      </c>
      <c r="E243" s="109">
        <v>1.2717125634566897</v>
      </c>
      <c r="F243" s="107" t="s">
        <v>3501</v>
      </c>
      <c r="G243" s="107" t="b">
        <v>0</v>
      </c>
      <c r="H243" s="107" t="b">
        <v>0</v>
      </c>
      <c r="I243" s="107" t="b">
        <v>0</v>
      </c>
      <c r="J243" s="107" t="b">
        <v>0</v>
      </c>
      <c r="K243" s="107" t="b">
        <v>0</v>
      </c>
      <c r="L243" s="107" t="b">
        <v>0</v>
      </c>
    </row>
    <row r="244" spans="1:12" ht="15">
      <c r="A244" s="87" t="s">
        <v>3618</v>
      </c>
      <c r="B244" s="107" t="s">
        <v>3547</v>
      </c>
      <c r="C244" s="107">
        <v>2</v>
      </c>
      <c r="D244" s="109">
        <v>0.0025129614399305943</v>
      </c>
      <c r="E244" s="109">
        <v>1.262757720803763</v>
      </c>
      <c r="F244" s="107" t="s">
        <v>3501</v>
      </c>
      <c r="G244" s="107" t="b">
        <v>0</v>
      </c>
      <c r="H244" s="107" t="b">
        <v>0</v>
      </c>
      <c r="I244" s="107" t="b">
        <v>0</v>
      </c>
      <c r="J244" s="107" t="b">
        <v>0</v>
      </c>
      <c r="K244" s="107" t="b">
        <v>0</v>
      </c>
      <c r="L244" s="107" t="b">
        <v>0</v>
      </c>
    </row>
    <row r="245" spans="1:12" ht="15">
      <c r="A245" s="87" t="s">
        <v>3639</v>
      </c>
      <c r="B245" s="107" t="s">
        <v>3571</v>
      </c>
      <c r="C245" s="107">
        <v>2</v>
      </c>
      <c r="D245" s="109">
        <v>0.0025129614399305943</v>
      </c>
      <c r="E245" s="109">
        <v>1.7398789755234256</v>
      </c>
      <c r="F245" s="107" t="s">
        <v>3501</v>
      </c>
      <c r="G245" s="107" t="b">
        <v>0</v>
      </c>
      <c r="H245" s="107" t="b">
        <v>0</v>
      </c>
      <c r="I245" s="107" t="b">
        <v>0</v>
      </c>
      <c r="J245" s="107" t="b">
        <v>0</v>
      </c>
      <c r="K245" s="107" t="b">
        <v>0</v>
      </c>
      <c r="L245" s="107" t="b">
        <v>0</v>
      </c>
    </row>
    <row r="246" spans="1:12" ht="15">
      <c r="A246" s="87" t="s">
        <v>3538</v>
      </c>
      <c r="B246" s="107" t="s">
        <v>3635</v>
      </c>
      <c r="C246" s="107">
        <v>2</v>
      </c>
      <c r="D246" s="109">
        <v>0.0025129614399305943</v>
      </c>
      <c r="E246" s="109">
        <v>1.873772554784652</v>
      </c>
      <c r="F246" s="107" t="s">
        <v>3501</v>
      </c>
      <c r="G246" s="107" t="b">
        <v>0</v>
      </c>
      <c r="H246" s="107" t="b">
        <v>0</v>
      </c>
      <c r="I246" s="107" t="b">
        <v>0</v>
      </c>
      <c r="J246" s="107" t="b">
        <v>0</v>
      </c>
      <c r="K246" s="107" t="b">
        <v>0</v>
      </c>
      <c r="L246" s="107" t="b">
        <v>0</v>
      </c>
    </row>
    <row r="247" spans="1:12" ht="15">
      <c r="A247" s="87" t="s">
        <v>3561</v>
      </c>
      <c r="B247" s="107" t="s">
        <v>3611</v>
      </c>
      <c r="C247" s="107">
        <v>2</v>
      </c>
      <c r="D247" s="109">
        <v>0.0025129614399305943</v>
      </c>
      <c r="E247" s="109">
        <v>1.7311050512159205</v>
      </c>
      <c r="F247" s="107" t="s">
        <v>3501</v>
      </c>
      <c r="G247" s="107" t="b">
        <v>0</v>
      </c>
      <c r="H247" s="107" t="b">
        <v>0</v>
      </c>
      <c r="I247" s="107" t="b">
        <v>0</v>
      </c>
      <c r="J247" s="107" t="b">
        <v>0</v>
      </c>
      <c r="K247" s="107" t="b">
        <v>0</v>
      </c>
      <c r="L247" s="107" t="b">
        <v>0</v>
      </c>
    </row>
    <row r="248" spans="1:12" ht="15">
      <c r="A248" s="87" t="s">
        <v>3584</v>
      </c>
      <c r="B248" s="107" t="s">
        <v>3539</v>
      </c>
      <c r="C248" s="107">
        <v>2</v>
      </c>
      <c r="D248" s="109">
        <v>0.0025129614399305943</v>
      </c>
      <c r="E248" s="109">
        <v>1.087652374729733</v>
      </c>
      <c r="F248" s="107" t="s">
        <v>3501</v>
      </c>
      <c r="G248" s="107" t="b">
        <v>0</v>
      </c>
      <c r="H248" s="107" t="b">
        <v>0</v>
      </c>
      <c r="I248" s="107" t="b">
        <v>0</v>
      </c>
      <c r="J248" s="107" t="b">
        <v>0</v>
      </c>
      <c r="K248" s="107" t="b">
        <v>0</v>
      </c>
      <c r="L248" s="107" t="b">
        <v>0</v>
      </c>
    </row>
    <row r="249" spans="1:12" ht="15">
      <c r="A249" s="87" t="s">
        <v>2951</v>
      </c>
      <c r="B249" s="107" t="s">
        <v>3568</v>
      </c>
      <c r="C249" s="107">
        <v>2</v>
      </c>
      <c r="D249" s="109">
        <v>0.0025129614399305943</v>
      </c>
      <c r="E249" s="109">
        <v>1.6171616989090838</v>
      </c>
      <c r="F249" s="107" t="s">
        <v>3501</v>
      </c>
      <c r="G249" s="107" t="b">
        <v>1</v>
      </c>
      <c r="H249" s="107" t="b">
        <v>0</v>
      </c>
      <c r="I249" s="107" t="b">
        <v>0</v>
      </c>
      <c r="J249" s="107" t="b">
        <v>0</v>
      </c>
      <c r="K249" s="107" t="b">
        <v>0</v>
      </c>
      <c r="L249" s="107" t="b">
        <v>0</v>
      </c>
    </row>
    <row r="250" spans="1:12" ht="15">
      <c r="A250" s="87" t="s">
        <v>3537</v>
      </c>
      <c r="B250" s="107" t="s">
        <v>3600</v>
      </c>
      <c r="C250" s="107">
        <v>2</v>
      </c>
      <c r="D250" s="109">
        <v>0.0025129614399305943</v>
      </c>
      <c r="E250" s="109">
        <v>1.3731702042154668</v>
      </c>
      <c r="F250" s="107" t="s">
        <v>3501</v>
      </c>
      <c r="G250" s="107" t="b">
        <v>0</v>
      </c>
      <c r="H250" s="107" t="b">
        <v>0</v>
      </c>
      <c r="I250" s="107" t="b">
        <v>0</v>
      </c>
      <c r="J250" s="107" t="b">
        <v>0</v>
      </c>
      <c r="K250" s="107" t="b">
        <v>0</v>
      </c>
      <c r="L250" s="107" t="b">
        <v>0</v>
      </c>
    </row>
    <row r="251" spans="1:12" ht="15">
      <c r="A251" s="87" t="s">
        <v>3542</v>
      </c>
      <c r="B251" s="107" t="s">
        <v>3548</v>
      </c>
      <c r="C251" s="107">
        <v>4</v>
      </c>
      <c r="D251" s="109">
        <v>0.0036776108285949682</v>
      </c>
      <c r="E251" s="109">
        <v>1.7965743332104296</v>
      </c>
      <c r="F251" s="107" t="s">
        <v>3502</v>
      </c>
      <c r="G251" s="107" t="b">
        <v>0</v>
      </c>
      <c r="H251" s="107" t="b">
        <v>0</v>
      </c>
      <c r="I251" s="107" t="b">
        <v>0</v>
      </c>
      <c r="J251" s="107" t="b">
        <v>0</v>
      </c>
      <c r="K251" s="107" t="b">
        <v>0</v>
      </c>
      <c r="L251" s="107" t="b">
        <v>0</v>
      </c>
    </row>
    <row r="252" spans="1:12" ht="15">
      <c r="A252" s="87" t="s">
        <v>3553</v>
      </c>
      <c r="B252" s="107" t="s">
        <v>3686</v>
      </c>
      <c r="C252" s="107">
        <v>4</v>
      </c>
      <c r="D252" s="109">
        <v>0.004057075480404535</v>
      </c>
      <c r="E252" s="109">
        <v>2.143361819435086</v>
      </c>
      <c r="F252" s="107" t="s">
        <v>3502</v>
      </c>
      <c r="G252" s="107" t="b">
        <v>0</v>
      </c>
      <c r="H252" s="107" t="b">
        <v>0</v>
      </c>
      <c r="I252" s="107" t="b">
        <v>0</v>
      </c>
      <c r="J252" s="107" t="b">
        <v>0</v>
      </c>
      <c r="K252" s="107" t="b">
        <v>0</v>
      </c>
      <c r="L252" s="107" t="b">
        <v>0</v>
      </c>
    </row>
    <row r="253" spans="1:12" ht="15">
      <c r="A253" s="87" t="s">
        <v>2596</v>
      </c>
      <c r="B253" s="107" t="s">
        <v>3622</v>
      </c>
      <c r="C253" s="107">
        <v>3</v>
      </c>
      <c r="D253" s="109">
        <v>0.003042806610303401</v>
      </c>
      <c r="E253" s="109">
        <v>1.7685456096101861</v>
      </c>
      <c r="F253" s="107" t="s">
        <v>3502</v>
      </c>
      <c r="G253" s="107" t="b">
        <v>0</v>
      </c>
      <c r="H253" s="107" t="b">
        <v>0</v>
      </c>
      <c r="I253" s="107" t="b">
        <v>0</v>
      </c>
      <c r="J253" s="107" t="b">
        <v>0</v>
      </c>
      <c r="K253" s="107" t="b">
        <v>0</v>
      </c>
      <c r="L253" s="107" t="b">
        <v>0</v>
      </c>
    </row>
    <row r="254" spans="1:12" ht="15">
      <c r="A254" s="87" t="s">
        <v>3572</v>
      </c>
      <c r="B254" s="107" t="s">
        <v>3942</v>
      </c>
      <c r="C254" s="107">
        <v>3</v>
      </c>
      <c r="D254" s="109">
        <v>0.0034439256514325156</v>
      </c>
      <c r="E254" s="109">
        <v>2.143361819435086</v>
      </c>
      <c r="F254" s="107" t="s">
        <v>3502</v>
      </c>
      <c r="G254" s="107" t="b">
        <v>0</v>
      </c>
      <c r="H254" s="107" t="b">
        <v>0</v>
      </c>
      <c r="I254" s="107" t="b">
        <v>0</v>
      </c>
      <c r="J254" s="107" t="b">
        <v>0</v>
      </c>
      <c r="K254" s="107" t="b">
        <v>0</v>
      </c>
      <c r="L254" s="107" t="b">
        <v>0</v>
      </c>
    </row>
    <row r="255" spans="1:12" ht="15">
      <c r="A255" s="87" t="s">
        <v>3942</v>
      </c>
      <c r="B255" s="107" t="s">
        <v>3916</v>
      </c>
      <c r="C255" s="107">
        <v>2</v>
      </c>
      <c r="D255" s="109">
        <v>0.002295950434288344</v>
      </c>
      <c r="E255" s="109">
        <v>2.6204830741547487</v>
      </c>
      <c r="F255" s="107" t="s">
        <v>3502</v>
      </c>
      <c r="G255" s="107" t="b">
        <v>0</v>
      </c>
      <c r="H255" s="107" t="b">
        <v>0</v>
      </c>
      <c r="I255" s="107" t="b">
        <v>0</v>
      </c>
      <c r="J255" s="107" t="b">
        <v>0</v>
      </c>
      <c r="K255" s="107" t="b">
        <v>0</v>
      </c>
      <c r="L255" s="107" t="b">
        <v>0</v>
      </c>
    </row>
    <row r="256" spans="1:12" ht="15">
      <c r="A256" s="87" t="s">
        <v>3794</v>
      </c>
      <c r="B256" s="107" t="s">
        <v>3648</v>
      </c>
      <c r="C256" s="107">
        <v>2</v>
      </c>
      <c r="D256" s="109">
        <v>0.0027530954542792038</v>
      </c>
      <c r="E256" s="109">
        <v>2.4443918150990673</v>
      </c>
      <c r="F256" s="107" t="s">
        <v>3502</v>
      </c>
      <c r="G256" s="107" t="b">
        <v>0</v>
      </c>
      <c r="H256" s="107" t="b">
        <v>1</v>
      </c>
      <c r="I256" s="107" t="b">
        <v>0</v>
      </c>
      <c r="J256" s="107" t="b">
        <v>1</v>
      </c>
      <c r="K256" s="107" t="b">
        <v>0</v>
      </c>
      <c r="L256" s="107" t="b">
        <v>0</v>
      </c>
    </row>
    <row r="257" spans="1:12" ht="15">
      <c r="A257" s="87" t="s">
        <v>3537</v>
      </c>
      <c r="B257" s="107" t="s">
        <v>3794</v>
      </c>
      <c r="C257" s="107">
        <v>2</v>
      </c>
      <c r="D257" s="109">
        <v>0.0027530954542792038</v>
      </c>
      <c r="E257" s="109">
        <v>1.6204830741547485</v>
      </c>
      <c r="F257" s="107" t="s">
        <v>3502</v>
      </c>
      <c r="G257" s="107" t="b">
        <v>0</v>
      </c>
      <c r="H257" s="107" t="b">
        <v>0</v>
      </c>
      <c r="I257" s="107" t="b">
        <v>0</v>
      </c>
      <c r="J257" s="107" t="b">
        <v>0</v>
      </c>
      <c r="K257" s="107" t="b">
        <v>1</v>
      </c>
      <c r="L257" s="107" t="b">
        <v>0</v>
      </c>
    </row>
    <row r="258" spans="1:12" ht="15">
      <c r="A258" s="87" t="s">
        <v>4047</v>
      </c>
      <c r="B258" s="107" t="s">
        <v>4149</v>
      </c>
      <c r="C258" s="107">
        <v>2</v>
      </c>
      <c r="D258" s="109">
        <v>0.0027530954542792038</v>
      </c>
      <c r="E258" s="109">
        <v>2.7965743332104296</v>
      </c>
      <c r="F258" s="107" t="s">
        <v>3502</v>
      </c>
      <c r="G258" s="107" t="b">
        <v>0</v>
      </c>
      <c r="H258" s="107" t="b">
        <v>0</v>
      </c>
      <c r="I258" s="107" t="b">
        <v>0</v>
      </c>
      <c r="J258" s="107" t="b">
        <v>0</v>
      </c>
      <c r="K258" s="107" t="b">
        <v>0</v>
      </c>
      <c r="L258" s="107" t="b">
        <v>0</v>
      </c>
    </row>
    <row r="259" spans="1:12" ht="15">
      <c r="A259" s="87" t="s">
        <v>4286</v>
      </c>
      <c r="B259" s="107" t="s">
        <v>3570</v>
      </c>
      <c r="C259" s="107">
        <v>2</v>
      </c>
      <c r="D259" s="109">
        <v>0.0027530954542792038</v>
      </c>
      <c r="E259" s="109">
        <v>2.3194530784907674</v>
      </c>
      <c r="F259" s="107" t="s">
        <v>3502</v>
      </c>
      <c r="G259" s="107" t="b">
        <v>0</v>
      </c>
      <c r="H259" s="107" t="b">
        <v>0</v>
      </c>
      <c r="I259" s="107" t="b">
        <v>0</v>
      </c>
      <c r="J259" s="107" t="b">
        <v>1</v>
      </c>
      <c r="K259" s="107" t="b">
        <v>0</v>
      </c>
      <c r="L259" s="107" t="b">
        <v>0</v>
      </c>
    </row>
    <row r="260" spans="1:12" ht="15">
      <c r="A260" s="87" t="s">
        <v>3630</v>
      </c>
      <c r="B260" s="107" t="s">
        <v>4242</v>
      </c>
      <c r="C260" s="107">
        <v>2</v>
      </c>
      <c r="D260" s="109">
        <v>0.002295950434288344</v>
      </c>
      <c r="E260" s="109">
        <v>2.3194530784907674</v>
      </c>
      <c r="F260" s="107" t="s">
        <v>3502</v>
      </c>
      <c r="G260" s="107" t="b">
        <v>0</v>
      </c>
      <c r="H260" s="107" t="b">
        <v>0</v>
      </c>
      <c r="I260" s="107" t="b">
        <v>0</v>
      </c>
      <c r="J260" s="107" t="b">
        <v>0</v>
      </c>
      <c r="K260" s="107" t="b">
        <v>0</v>
      </c>
      <c r="L260" s="107" t="b">
        <v>0</v>
      </c>
    </row>
    <row r="261" spans="1:12" ht="15">
      <c r="A261" s="87" t="s">
        <v>3543</v>
      </c>
      <c r="B261" s="107" t="s">
        <v>4110</v>
      </c>
      <c r="C261" s="107">
        <v>2</v>
      </c>
      <c r="D261" s="109">
        <v>0.002295950434288344</v>
      </c>
      <c r="E261" s="109">
        <v>1.9836609765675741</v>
      </c>
      <c r="F261" s="107" t="s">
        <v>3502</v>
      </c>
      <c r="G261" s="107" t="b">
        <v>1</v>
      </c>
      <c r="H261" s="107" t="b">
        <v>0</v>
      </c>
      <c r="I261" s="107" t="b">
        <v>0</v>
      </c>
      <c r="J261" s="107" t="b">
        <v>0</v>
      </c>
      <c r="K261" s="107" t="b">
        <v>0</v>
      </c>
      <c r="L261" s="107" t="b">
        <v>0</v>
      </c>
    </row>
    <row r="262" spans="1:12" ht="15">
      <c r="A262" s="87" t="s">
        <v>4044</v>
      </c>
      <c r="B262" s="107" t="s">
        <v>4192</v>
      </c>
      <c r="C262" s="107">
        <v>2</v>
      </c>
      <c r="D262" s="109">
        <v>0.0027530954542792038</v>
      </c>
      <c r="E262" s="109">
        <v>2.7965743332104296</v>
      </c>
      <c r="F262" s="107" t="s">
        <v>3502</v>
      </c>
      <c r="G262" s="107" t="b">
        <v>0</v>
      </c>
      <c r="H262" s="107" t="b">
        <v>0</v>
      </c>
      <c r="I262" s="107" t="b">
        <v>0</v>
      </c>
      <c r="J262" s="107" t="b">
        <v>0</v>
      </c>
      <c r="K262" s="107" t="b">
        <v>0</v>
      </c>
      <c r="L262" s="107" t="b">
        <v>0</v>
      </c>
    </row>
    <row r="263" spans="1:12" ht="15">
      <c r="A263" s="87" t="s">
        <v>3651</v>
      </c>
      <c r="B263" s="107" t="s">
        <v>3835</v>
      </c>
      <c r="C263" s="107">
        <v>2</v>
      </c>
      <c r="D263" s="109">
        <v>0.0027530954542792038</v>
      </c>
      <c r="E263" s="109">
        <v>2.398634324538392</v>
      </c>
      <c r="F263" s="107" t="s">
        <v>3502</v>
      </c>
      <c r="G263" s="107" t="b">
        <v>0</v>
      </c>
      <c r="H263" s="107" t="b">
        <v>1</v>
      </c>
      <c r="I263" s="107" t="b">
        <v>0</v>
      </c>
      <c r="J263" s="107" t="b">
        <v>0</v>
      </c>
      <c r="K263" s="107" t="b">
        <v>0</v>
      </c>
      <c r="L263" s="107" t="b">
        <v>0</v>
      </c>
    </row>
    <row r="264" spans="1:12" ht="15">
      <c r="A264" s="87" t="s">
        <v>4128</v>
      </c>
      <c r="B264" s="107" t="s">
        <v>3670</v>
      </c>
      <c r="C264" s="107">
        <v>2</v>
      </c>
      <c r="D264" s="109">
        <v>0.0027530954542792038</v>
      </c>
      <c r="E264" s="109">
        <v>2.4955443375464483</v>
      </c>
      <c r="F264" s="107" t="s">
        <v>3502</v>
      </c>
      <c r="G264" s="107" t="b">
        <v>1</v>
      </c>
      <c r="H264" s="107" t="b">
        <v>0</v>
      </c>
      <c r="I264" s="107" t="b">
        <v>0</v>
      </c>
      <c r="J264" s="107" t="b">
        <v>1</v>
      </c>
      <c r="K264" s="107" t="b">
        <v>0</v>
      </c>
      <c r="L264" s="107" t="b">
        <v>0</v>
      </c>
    </row>
    <row r="265" spans="1:12" ht="15">
      <c r="A265" s="87" t="s">
        <v>3677</v>
      </c>
      <c r="B265" s="107" t="s">
        <v>3545</v>
      </c>
      <c r="C265" s="107">
        <v>2</v>
      </c>
      <c r="D265" s="109">
        <v>0.002295950434288344</v>
      </c>
      <c r="E265" s="109">
        <v>2.398634324538392</v>
      </c>
      <c r="F265" s="107" t="s">
        <v>3502</v>
      </c>
      <c r="G265" s="107" t="b">
        <v>0</v>
      </c>
      <c r="H265" s="107" t="b">
        <v>0</v>
      </c>
      <c r="I265" s="107" t="b">
        <v>0</v>
      </c>
      <c r="J265" s="107" t="b">
        <v>0</v>
      </c>
      <c r="K265" s="107" t="b">
        <v>0</v>
      </c>
      <c r="L265" s="107" t="b">
        <v>0</v>
      </c>
    </row>
    <row r="266" spans="1:12" ht="15">
      <c r="A266" s="87" t="s">
        <v>3594</v>
      </c>
      <c r="B266" s="107" t="s">
        <v>4212</v>
      </c>
      <c r="C266" s="107">
        <v>2</v>
      </c>
      <c r="D266" s="109">
        <v>0.0027530954542792038</v>
      </c>
      <c r="E266" s="109">
        <v>2.3194530784907674</v>
      </c>
      <c r="F266" s="107" t="s">
        <v>3502</v>
      </c>
      <c r="G266" s="107" t="b">
        <v>0</v>
      </c>
      <c r="H266" s="107" t="b">
        <v>0</v>
      </c>
      <c r="I266" s="107" t="b">
        <v>0</v>
      </c>
      <c r="J266" s="107" t="b">
        <v>0</v>
      </c>
      <c r="K266" s="107" t="b">
        <v>1</v>
      </c>
      <c r="L266" s="107" t="b">
        <v>0</v>
      </c>
    </row>
    <row r="267" spans="1:12" ht="15">
      <c r="A267" s="87" t="s">
        <v>3608</v>
      </c>
      <c r="B267" s="107" t="s">
        <v>3949</v>
      </c>
      <c r="C267" s="107">
        <v>2</v>
      </c>
      <c r="D267" s="109">
        <v>0.0027530954542792038</v>
      </c>
      <c r="E267" s="109">
        <v>1.9672705603794047</v>
      </c>
      <c r="F267" s="107" t="s">
        <v>3502</v>
      </c>
      <c r="G267" s="107" t="b">
        <v>0</v>
      </c>
      <c r="H267" s="107" t="b">
        <v>0</v>
      </c>
      <c r="I267" s="107" t="b">
        <v>0</v>
      </c>
      <c r="J267" s="107" t="b">
        <v>0</v>
      </c>
      <c r="K267" s="107" t="b">
        <v>0</v>
      </c>
      <c r="L267" s="107" t="b">
        <v>0</v>
      </c>
    </row>
    <row r="268" spans="1:12" ht="15">
      <c r="A268" s="87" t="s">
        <v>3748</v>
      </c>
      <c r="B268" s="107" t="s">
        <v>3940</v>
      </c>
      <c r="C268" s="107">
        <v>2</v>
      </c>
      <c r="D268" s="109">
        <v>0.0027530954542792038</v>
      </c>
      <c r="E268" s="109">
        <v>2.6204830741547487</v>
      </c>
      <c r="F268" s="107" t="s">
        <v>3502</v>
      </c>
      <c r="G268" s="107" t="b">
        <v>0</v>
      </c>
      <c r="H268" s="107" t="b">
        <v>0</v>
      </c>
      <c r="I268" s="107" t="b">
        <v>0</v>
      </c>
      <c r="J268" s="107" t="b">
        <v>0</v>
      </c>
      <c r="K268" s="107" t="b">
        <v>0</v>
      </c>
      <c r="L268" s="107" t="b">
        <v>0</v>
      </c>
    </row>
    <row r="269" spans="1:12" ht="15">
      <c r="A269" s="87" t="s">
        <v>3845</v>
      </c>
      <c r="B269" s="107" t="s">
        <v>3622</v>
      </c>
      <c r="C269" s="107">
        <v>2</v>
      </c>
      <c r="D269" s="109">
        <v>0.002295950434288344</v>
      </c>
      <c r="E269" s="109">
        <v>2.018423082826786</v>
      </c>
      <c r="F269" s="107" t="s">
        <v>3502</v>
      </c>
      <c r="G269" s="107" t="b">
        <v>0</v>
      </c>
      <c r="H269" s="107" t="b">
        <v>0</v>
      </c>
      <c r="I269" s="107" t="b">
        <v>0</v>
      </c>
      <c r="J269" s="107" t="b">
        <v>0</v>
      </c>
      <c r="K269" s="107" t="b">
        <v>0</v>
      </c>
      <c r="L269" s="107" t="b">
        <v>0</v>
      </c>
    </row>
    <row r="270" spans="1:12" ht="15">
      <c r="A270" s="87" t="s">
        <v>4063</v>
      </c>
      <c r="B270" s="107" t="s">
        <v>4303</v>
      </c>
      <c r="C270" s="107">
        <v>2</v>
      </c>
      <c r="D270" s="109">
        <v>0.0027530954542792038</v>
      </c>
      <c r="E270" s="109">
        <v>2.7965743332104296</v>
      </c>
      <c r="F270" s="107" t="s">
        <v>3502</v>
      </c>
      <c r="G270" s="107" t="b">
        <v>0</v>
      </c>
      <c r="H270" s="107" t="b">
        <v>0</v>
      </c>
      <c r="I270" s="107" t="b">
        <v>0</v>
      </c>
      <c r="J270" s="107" t="b">
        <v>0</v>
      </c>
      <c r="K270" s="107" t="b">
        <v>0</v>
      </c>
      <c r="L270" s="107" t="b">
        <v>0</v>
      </c>
    </row>
    <row r="271" spans="1:12" ht="15">
      <c r="A271" s="87" t="s">
        <v>3797</v>
      </c>
      <c r="B271" s="107" t="s">
        <v>3543</v>
      </c>
      <c r="C271" s="107">
        <v>2</v>
      </c>
      <c r="D271" s="109">
        <v>0.002295950434288344</v>
      </c>
      <c r="E271" s="109">
        <v>1.9836609765675741</v>
      </c>
      <c r="F271" s="107" t="s">
        <v>3502</v>
      </c>
      <c r="G271" s="107" t="b">
        <v>0</v>
      </c>
      <c r="H271" s="107" t="b">
        <v>0</v>
      </c>
      <c r="I271" s="107" t="b">
        <v>0</v>
      </c>
      <c r="J271" s="107" t="b">
        <v>1</v>
      </c>
      <c r="K271" s="107" t="b">
        <v>0</v>
      </c>
      <c r="L271" s="107" t="b">
        <v>0</v>
      </c>
    </row>
    <row r="272" spans="1:12" ht="15">
      <c r="A272" s="87" t="s">
        <v>3630</v>
      </c>
      <c r="B272" s="107" t="s">
        <v>4082</v>
      </c>
      <c r="C272" s="107">
        <v>2</v>
      </c>
      <c r="D272" s="109">
        <v>0.002295950434288344</v>
      </c>
      <c r="E272" s="109">
        <v>2.3194530784907674</v>
      </c>
      <c r="F272" s="107" t="s">
        <v>3502</v>
      </c>
      <c r="G272" s="107" t="b">
        <v>0</v>
      </c>
      <c r="H272" s="107" t="b">
        <v>0</v>
      </c>
      <c r="I272" s="107" t="b">
        <v>0</v>
      </c>
      <c r="J272" s="107" t="b">
        <v>0</v>
      </c>
      <c r="K272" s="107" t="b">
        <v>0</v>
      </c>
      <c r="L272" s="107" t="b">
        <v>0</v>
      </c>
    </row>
    <row r="273" spans="1:12" ht="15">
      <c r="A273" s="87" t="s">
        <v>3608</v>
      </c>
      <c r="B273" s="107" t="s">
        <v>3622</v>
      </c>
      <c r="C273" s="107">
        <v>2</v>
      </c>
      <c r="D273" s="109">
        <v>0.002295950434288344</v>
      </c>
      <c r="E273" s="109">
        <v>1.5413018281071236</v>
      </c>
      <c r="F273" s="107" t="s">
        <v>3502</v>
      </c>
      <c r="G273" s="107" t="b">
        <v>0</v>
      </c>
      <c r="H273" s="107" t="b">
        <v>0</v>
      </c>
      <c r="I273" s="107" t="b">
        <v>0</v>
      </c>
      <c r="J273" s="107" t="b">
        <v>0</v>
      </c>
      <c r="K273" s="107" t="b">
        <v>0</v>
      </c>
      <c r="L273" s="107" t="b">
        <v>0</v>
      </c>
    </row>
    <row r="274" spans="1:12" ht="15">
      <c r="A274" s="87" t="s">
        <v>3949</v>
      </c>
      <c r="B274" s="107" t="s">
        <v>3640</v>
      </c>
      <c r="C274" s="107">
        <v>2</v>
      </c>
      <c r="D274" s="109">
        <v>0.002295950434288344</v>
      </c>
      <c r="E274" s="109">
        <v>2.3194530784907674</v>
      </c>
      <c r="F274" s="107" t="s">
        <v>3502</v>
      </c>
      <c r="G274" s="107" t="b">
        <v>0</v>
      </c>
      <c r="H274" s="107" t="b">
        <v>0</v>
      </c>
      <c r="I274" s="107" t="b">
        <v>0</v>
      </c>
      <c r="J274" s="107" t="b">
        <v>0</v>
      </c>
      <c r="K274" s="107" t="b">
        <v>0</v>
      </c>
      <c r="L274" s="107" t="b">
        <v>0</v>
      </c>
    </row>
    <row r="275" spans="1:12" ht="15">
      <c r="A275" s="87" t="s">
        <v>2785</v>
      </c>
      <c r="B275" s="107" t="s">
        <v>3707</v>
      </c>
      <c r="C275" s="107">
        <v>2</v>
      </c>
      <c r="D275" s="109">
        <v>0.002295950434288344</v>
      </c>
      <c r="E275" s="109">
        <v>2.3194530784907674</v>
      </c>
      <c r="F275" s="107" t="s">
        <v>3502</v>
      </c>
      <c r="G275" s="107" t="b">
        <v>1</v>
      </c>
      <c r="H275" s="107" t="b">
        <v>0</v>
      </c>
      <c r="I275" s="107" t="b">
        <v>0</v>
      </c>
      <c r="J275" s="107" t="b">
        <v>0</v>
      </c>
      <c r="K275" s="107" t="b">
        <v>0</v>
      </c>
      <c r="L275" s="107" t="b">
        <v>0</v>
      </c>
    </row>
    <row r="276" spans="1:12" ht="15">
      <c r="A276" s="87" t="s">
        <v>3536</v>
      </c>
      <c r="B276" s="107" t="s">
        <v>3635</v>
      </c>
      <c r="C276" s="107">
        <v>2</v>
      </c>
      <c r="D276" s="109">
        <v>0.002295950434288344</v>
      </c>
      <c r="E276" s="109">
        <v>2.076415029804473</v>
      </c>
      <c r="F276" s="107" t="s">
        <v>3502</v>
      </c>
      <c r="G276" s="107" t="b">
        <v>0</v>
      </c>
      <c r="H276" s="107" t="b">
        <v>0</v>
      </c>
      <c r="I276" s="107" t="b">
        <v>0</v>
      </c>
      <c r="J276" s="107" t="b">
        <v>0</v>
      </c>
      <c r="K276" s="107" t="b">
        <v>0</v>
      </c>
      <c r="L276" s="107" t="b">
        <v>0</v>
      </c>
    </row>
    <row r="277" spans="1:12" ht="15">
      <c r="A277" s="87" t="s">
        <v>4159</v>
      </c>
      <c r="B277" s="107" t="s">
        <v>3594</v>
      </c>
      <c r="C277" s="107">
        <v>2</v>
      </c>
      <c r="D277" s="109">
        <v>0.0027530954542792038</v>
      </c>
      <c r="E277" s="109">
        <v>2.3194530784907674</v>
      </c>
      <c r="F277" s="107" t="s">
        <v>3502</v>
      </c>
      <c r="G277" s="107" t="b">
        <v>0</v>
      </c>
      <c r="H277" s="107" t="b">
        <v>0</v>
      </c>
      <c r="I277" s="107" t="b">
        <v>0</v>
      </c>
      <c r="J277" s="107" t="b">
        <v>0</v>
      </c>
      <c r="K277" s="107" t="b">
        <v>0</v>
      </c>
      <c r="L277" s="107" t="b">
        <v>0</v>
      </c>
    </row>
    <row r="278" spans="1:12" ht="15">
      <c r="A278" s="87" t="s">
        <v>3576</v>
      </c>
      <c r="B278" s="107" t="s">
        <v>4215</v>
      </c>
      <c r="C278" s="107">
        <v>2</v>
      </c>
      <c r="D278" s="109">
        <v>0.0027530954542792038</v>
      </c>
      <c r="E278" s="109">
        <v>2.252506288860154</v>
      </c>
      <c r="F278" s="107" t="s">
        <v>3502</v>
      </c>
      <c r="G278" s="107" t="b">
        <v>0</v>
      </c>
      <c r="H278" s="107" t="b">
        <v>0</v>
      </c>
      <c r="I278" s="107" t="b">
        <v>0</v>
      </c>
      <c r="J278" s="107" t="b">
        <v>0</v>
      </c>
      <c r="K278" s="107" t="b">
        <v>0</v>
      </c>
      <c r="L278" s="107" t="b">
        <v>0</v>
      </c>
    </row>
    <row r="279" spans="1:12" ht="15">
      <c r="A279" s="87" t="s">
        <v>3538</v>
      </c>
      <c r="B279" s="107" t="s">
        <v>3554</v>
      </c>
      <c r="C279" s="107">
        <v>11</v>
      </c>
      <c r="D279" s="109">
        <v>0.016052133673076965</v>
      </c>
      <c r="E279" s="109">
        <v>1.2473184686774121</v>
      </c>
      <c r="F279" s="107" t="s">
        <v>3503</v>
      </c>
      <c r="G279" s="107" t="b">
        <v>0</v>
      </c>
      <c r="H279" s="107" t="b">
        <v>0</v>
      </c>
      <c r="I279" s="107" t="b">
        <v>0</v>
      </c>
      <c r="J279" s="107" t="b">
        <v>0</v>
      </c>
      <c r="K279" s="107" t="b">
        <v>0</v>
      </c>
      <c r="L279" s="107" t="b">
        <v>0</v>
      </c>
    </row>
    <row r="280" spans="1:12" ht="15">
      <c r="A280" s="87" t="s">
        <v>3609</v>
      </c>
      <c r="B280" s="107" t="s">
        <v>3552</v>
      </c>
      <c r="C280" s="107">
        <v>9</v>
      </c>
      <c r="D280" s="109">
        <v>0.013891975360092746</v>
      </c>
      <c r="E280" s="109">
        <v>1.6830470382388496</v>
      </c>
      <c r="F280" s="107" t="s">
        <v>3503</v>
      </c>
      <c r="G280" s="107" t="b">
        <v>0</v>
      </c>
      <c r="H280" s="107" t="b">
        <v>0</v>
      </c>
      <c r="I280" s="107" t="b">
        <v>0</v>
      </c>
      <c r="J280" s="107" t="b">
        <v>0</v>
      </c>
      <c r="K280" s="107" t="b">
        <v>0</v>
      </c>
      <c r="L280" s="107" t="b">
        <v>0</v>
      </c>
    </row>
    <row r="281" spans="1:12" ht="15">
      <c r="A281" s="87" t="s">
        <v>3552</v>
      </c>
      <c r="B281" s="107" t="s">
        <v>3540</v>
      </c>
      <c r="C281" s="107">
        <v>9</v>
      </c>
      <c r="D281" s="109">
        <v>0.013891975360092746</v>
      </c>
      <c r="E281" s="109">
        <v>1.1187756078002868</v>
      </c>
      <c r="F281" s="107" t="s">
        <v>3503</v>
      </c>
      <c r="G281" s="107" t="b">
        <v>0</v>
      </c>
      <c r="H281" s="107" t="b">
        <v>0</v>
      </c>
      <c r="I281" s="107" t="b">
        <v>0</v>
      </c>
      <c r="J281" s="107" t="b">
        <v>0</v>
      </c>
      <c r="K281" s="107" t="b">
        <v>0</v>
      </c>
      <c r="L281" s="107" t="b">
        <v>0</v>
      </c>
    </row>
    <row r="282" spans="1:12" ht="15">
      <c r="A282" s="87" t="s">
        <v>3551</v>
      </c>
      <c r="B282" s="107" t="s">
        <v>3538</v>
      </c>
      <c r="C282" s="107">
        <v>7</v>
      </c>
      <c r="D282" s="109">
        <v>0.013074922787849488</v>
      </c>
      <c r="E282" s="109">
        <v>1.0687525904938755</v>
      </c>
      <c r="F282" s="107" t="s">
        <v>3503</v>
      </c>
      <c r="G282" s="107" t="b">
        <v>1</v>
      </c>
      <c r="H282" s="107" t="b">
        <v>0</v>
      </c>
      <c r="I282" s="107" t="b">
        <v>0</v>
      </c>
      <c r="J282" s="107" t="b">
        <v>0</v>
      </c>
      <c r="K282" s="107" t="b">
        <v>0</v>
      </c>
      <c r="L282" s="107" t="b">
        <v>0</v>
      </c>
    </row>
    <row r="283" spans="1:12" ht="15">
      <c r="A283" s="87" t="s">
        <v>3538</v>
      </c>
      <c r="B283" s="107" t="s">
        <v>3602</v>
      </c>
      <c r="C283" s="107">
        <v>7</v>
      </c>
      <c r="D283" s="109">
        <v>0.013074922787849488</v>
      </c>
      <c r="E283" s="109">
        <v>1.2851070295668119</v>
      </c>
      <c r="F283" s="107" t="s">
        <v>3503</v>
      </c>
      <c r="G283" s="107" t="b">
        <v>0</v>
      </c>
      <c r="H283" s="107" t="b">
        <v>0</v>
      </c>
      <c r="I283" s="107" t="b">
        <v>0</v>
      </c>
      <c r="J283" s="107" t="b">
        <v>0</v>
      </c>
      <c r="K283" s="107" t="b">
        <v>0</v>
      </c>
      <c r="L283" s="107" t="b">
        <v>0</v>
      </c>
    </row>
    <row r="284" spans="1:12" ht="15">
      <c r="A284" s="87" t="s">
        <v>3540</v>
      </c>
      <c r="B284" s="107" t="s">
        <v>3538</v>
      </c>
      <c r="C284" s="107">
        <v>6</v>
      </c>
      <c r="D284" s="109">
        <v>0.011207076675299561</v>
      </c>
      <c r="E284" s="109">
        <v>0.5624731070329997</v>
      </c>
      <c r="F284" s="107" t="s">
        <v>3503</v>
      </c>
      <c r="G284" s="107" t="b">
        <v>0</v>
      </c>
      <c r="H284" s="107" t="b">
        <v>0</v>
      </c>
      <c r="I284" s="107" t="b">
        <v>0</v>
      </c>
      <c r="J284" s="107" t="b">
        <v>0</v>
      </c>
      <c r="K284" s="107" t="b">
        <v>0</v>
      </c>
      <c r="L284" s="107" t="b">
        <v>0</v>
      </c>
    </row>
    <row r="285" spans="1:12" ht="15">
      <c r="A285" s="87" t="s">
        <v>3586</v>
      </c>
      <c r="B285" s="107" t="s">
        <v>3539</v>
      </c>
      <c r="C285" s="107">
        <v>5</v>
      </c>
      <c r="D285" s="109">
        <v>0.010068339642377857</v>
      </c>
      <c r="E285" s="109">
        <v>1.2236545504796188</v>
      </c>
      <c r="F285" s="107" t="s">
        <v>3503</v>
      </c>
      <c r="G285" s="107" t="b">
        <v>0</v>
      </c>
      <c r="H285" s="107" t="b">
        <v>0</v>
      </c>
      <c r="I285" s="107" t="b">
        <v>0</v>
      </c>
      <c r="J285" s="107" t="b">
        <v>0</v>
      </c>
      <c r="K285" s="107" t="b">
        <v>0</v>
      </c>
      <c r="L285" s="107" t="b">
        <v>0</v>
      </c>
    </row>
    <row r="286" spans="1:12" ht="15">
      <c r="A286" s="87" t="s">
        <v>3538</v>
      </c>
      <c r="B286" s="107" t="s">
        <v>3540</v>
      </c>
      <c r="C286" s="107">
        <v>3</v>
      </c>
      <c r="D286" s="109">
        <v>0.007266687484964594</v>
      </c>
      <c r="E286" s="109">
        <v>0.2437143444085868</v>
      </c>
      <c r="F286" s="107" t="s">
        <v>3503</v>
      </c>
      <c r="G286" s="107" t="b">
        <v>0</v>
      </c>
      <c r="H286" s="107" t="b">
        <v>0</v>
      </c>
      <c r="I286" s="107" t="b">
        <v>0</v>
      </c>
      <c r="J286" s="107" t="b">
        <v>0</v>
      </c>
      <c r="K286" s="107" t="b">
        <v>0</v>
      </c>
      <c r="L286" s="107" t="b">
        <v>0</v>
      </c>
    </row>
    <row r="287" spans="1:12" ht="15">
      <c r="A287" s="87" t="s">
        <v>2658</v>
      </c>
      <c r="B287" s="107" t="s">
        <v>3559</v>
      </c>
      <c r="C287" s="107">
        <v>3</v>
      </c>
      <c r="D287" s="109">
        <v>0.007266687484964594</v>
      </c>
      <c r="E287" s="109">
        <v>1.138978993888574</v>
      </c>
      <c r="F287" s="107" t="s">
        <v>3503</v>
      </c>
      <c r="G287" s="107" t="b">
        <v>0</v>
      </c>
      <c r="H287" s="107" t="b">
        <v>0</v>
      </c>
      <c r="I287" s="107" t="b">
        <v>0</v>
      </c>
      <c r="J287" s="107" t="b">
        <v>0</v>
      </c>
      <c r="K287" s="107" t="b">
        <v>0</v>
      </c>
      <c r="L287" s="107" t="b">
        <v>0</v>
      </c>
    </row>
    <row r="288" spans="1:12" ht="15">
      <c r="A288" s="87" t="s">
        <v>3561</v>
      </c>
      <c r="B288" s="107" t="s">
        <v>3564</v>
      </c>
      <c r="C288" s="107">
        <v>3</v>
      </c>
      <c r="D288" s="109">
        <v>0.007266687484964594</v>
      </c>
      <c r="E288" s="109">
        <v>1.3472549363156563</v>
      </c>
      <c r="F288" s="107" t="s">
        <v>3503</v>
      </c>
      <c r="G288" s="107" t="b">
        <v>0</v>
      </c>
      <c r="H288" s="107" t="b">
        <v>0</v>
      </c>
      <c r="I288" s="107" t="b">
        <v>0</v>
      </c>
      <c r="J288" s="107" t="b">
        <v>0</v>
      </c>
      <c r="K288" s="107" t="b">
        <v>0</v>
      </c>
      <c r="L288" s="107" t="b">
        <v>0</v>
      </c>
    </row>
    <row r="289" spans="1:12" ht="15">
      <c r="A289" s="87" t="s">
        <v>3586</v>
      </c>
      <c r="B289" s="107" t="s">
        <v>3561</v>
      </c>
      <c r="C289" s="107">
        <v>3</v>
      </c>
      <c r="D289" s="109">
        <v>0.007266687484964594</v>
      </c>
      <c r="E289" s="109">
        <v>1.5581083016305497</v>
      </c>
      <c r="F289" s="107" t="s">
        <v>3503</v>
      </c>
      <c r="G289" s="107" t="b">
        <v>0</v>
      </c>
      <c r="H289" s="107" t="b">
        <v>0</v>
      </c>
      <c r="I289" s="107" t="b">
        <v>0</v>
      </c>
      <c r="J289" s="107" t="b">
        <v>0</v>
      </c>
      <c r="K289" s="107" t="b">
        <v>0</v>
      </c>
      <c r="L289" s="107" t="b">
        <v>0</v>
      </c>
    </row>
    <row r="290" spans="1:12" ht="15">
      <c r="A290" s="87" t="s">
        <v>3616</v>
      </c>
      <c r="B290" s="107" t="s">
        <v>3710</v>
      </c>
      <c r="C290" s="107">
        <v>3</v>
      </c>
      <c r="D290" s="109">
        <v>0.007266687484964594</v>
      </c>
      <c r="E290" s="109">
        <v>1.9840770339028309</v>
      </c>
      <c r="F290" s="107" t="s">
        <v>3503</v>
      </c>
      <c r="G290" s="107" t="b">
        <v>0</v>
      </c>
      <c r="H290" s="107" t="b">
        <v>0</v>
      </c>
      <c r="I290" s="107" t="b">
        <v>0</v>
      </c>
      <c r="J290" s="107" t="b">
        <v>0</v>
      </c>
      <c r="K290" s="107" t="b">
        <v>0</v>
      </c>
      <c r="L290" s="107" t="b">
        <v>0</v>
      </c>
    </row>
    <row r="291" spans="1:12" ht="15">
      <c r="A291" s="87" t="s">
        <v>3902</v>
      </c>
      <c r="B291" s="107" t="s">
        <v>3540</v>
      </c>
      <c r="C291" s="107">
        <v>3</v>
      </c>
      <c r="D291" s="109">
        <v>0.007266687484964594</v>
      </c>
      <c r="E291" s="109">
        <v>1.164533098360962</v>
      </c>
      <c r="F291" s="107" t="s">
        <v>3503</v>
      </c>
      <c r="G291" s="107" t="b">
        <v>0</v>
      </c>
      <c r="H291" s="107" t="b">
        <v>0</v>
      </c>
      <c r="I291" s="107" t="b">
        <v>0</v>
      </c>
      <c r="J291" s="107" t="b">
        <v>0</v>
      </c>
      <c r="K291" s="107" t="b">
        <v>0</v>
      </c>
      <c r="L291" s="107" t="b">
        <v>0</v>
      </c>
    </row>
    <row r="292" spans="1:12" ht="15">
      <c r="A292" s="87" t="s">
        <v>2681</v>
      </c>
      <c r="B292" s="107" t="s">
        <v>2681</v>
      </c>
      <c r="C292" s="107">
        <v>3</v>
      </c>
      <c r="D292" s="109">
        <v>0.009902716516564939</v>
      </c>
      <c r="E292" s="109">
        <v>1.8591382972945307</v>
      </c>
      <c r="F292" s="107" t="s">
        <v>3503</v>
      </c>
      <c r="G292" s="107" t="b">
        <v>0</v>
      </c>
      <c r="H292" s="107" t="b">
        <v>1</v>
      </c>
      <c r="I292" s="107" t="b">
        <v>0</v>
      </c>
      <c r="J292" s="107" t="b">
        <v>0</v>
      </c>
      <c r="K292" s="107" t="b">
        <v>1</v>
      </c>
      <c r="L292" s="107" t="b">
        <v>0</v>
      </c>
    </row>
    <row r="293" spans="1:12" ht="15">
      <c r="A293" s="87" t="s">
        <v>3540</v>
      </c>
      <c r="B293" s="107" t="s">
        <v>3919</v>
      </c>
      <c r="C293" s="107">
        <v>3</v>
      </c>
      <c r="D293" s="109">
        <v>0.007266687484964594</v>
      </c>
      <c r="E293" s="109">
        <v>1.164533098360962</v>
      </c>
      <c r="F293" s="107" t="s">
        <v>3503</v>
      </c>
      <c r="G293" s="107" t="b">
        <v>0</v>
      </c>
      <c r="H293" s="107" t="b">
        <v>0</v>
      </c>
      <c r="I293" s="107" t="b">
        <v>0</v>
      </c>
      <c r="J293" s="107" t="b">
        <v>0</v>
      </c>
      <c r="K293" s="107" t="b">
        <v>0</v>
      </c>
      <c r="L293" s="107" t="b">
        <v>0</v>
      </c>
    </row>
    <row r="294" spans="1:12" ht="15">
      <c r="A294" s="87" t="s">
        <v>3538</v>
      </c>
      <c r="B294" s="107" t="s">
        <v>3564</v>
      </c>
      <c r="C294" s="107">
        <v>3</v>
      </c>
      <c r="D294" s="109">
        <v>0.007266687484964594</v>
      </c>
      <c r="E294" s="109">
        <v>0.6482849319796377</v>
      </c>
      <c r="F294" s="107" t="s">
        <v>3503</v>
      </c>
      <c r="G294" s="107" t="b">
        <v>0</v>
      </c>
      <c r="H294" s="107" t="b">
        <v>0</v>
      </c>
      <c r="I294" s="107" t="b">
        <v>0</v>
      </c>
      <c r="J294" s="107" t="b">
        <v>0</v>
      </c>
      <c r="K294" s="107" t="b">
        <v>0</v>
      </c>
      <c r="L294" s="107" t="b">
        <v>0</v>
      </c>
    </row>
    <row r="295" spans="1:12" ht="15">
      <c r="A295" s="87" t="s">
        <v>3854</v>
      </c>
      <c r="B295" s="107" t="s">
        <v>3902</v>
      </c>
      <c r="C295" s="107">
        <v>3</v>
      </c>
      <c r="D295" s="109">
        <v>0.007266687484964594</v>
      </c>
      <c r="E295" s="109">
        <v>2.205925783519187</v>
      </c>
      <c r="F295" s="107" t="s">
        <v>3503</v>
      </c>
      <c r="G295" s="107" t="b">
        <v>0</v>
      </c>
      <c r="H295" s="107" t="b">
        <v>0</v>
      </c>
      <c r="I295" s="107" t="b">
        <v>0</v>
      </c>
      <c r="J295" s="107" t="b">
        <v>0</v>
      </c>
      <c r="K295" s="107" t="b">
        <v>0</v>
      </c>
      <c r="L295" s="107" t="b">
        <v>0</v>
      </c>
    </row>
    <row r="296" spans="1:12" ht="15">
      <c r="A296" s="87" t="s">
        <v>3953</v>
      </c>
      <c r="B296" s="107" t="s">
        <v>3813</v>
      </c>
      <c r="C296" s="107">
        <v>3</v>
      </c>
      <c r="D296" s="109">
        <v>0.007266687484964594</v>
      </c>
      <c r="E296" s="109">
        <v>2.205925783519187</v>
      </c>
      <c r="F296" s="107" t="s">
        <v>3503</v>
      </c>
      <c r="G296" s="107" t="b">
        <v>0</v>
      </c>
      <c r="H296" s="107" t="b">
        <v>0</v>
      </c>
      <c r="I296" s="107" t="b">
        <v>0</v>
      </c>
      <c r="J296" s="107" t="b">
        <v>0</v>
      </c>
      <c r="K296" s="107" t="b">
        <v>0</v>
      </c>
      <c r="L296" s="107" t="b">
        <v>0</v>
      </c>
    </row>
    <row r="297" spans="1:12" ht="15">
      <c r="A297" s="87" t="s">
        <v>3540</v>
      </c>
      <c r="B297" s="107" t="s">
        <v>3616</v>
      </c>
      <c r="C297" s="107">
        <v>3</v>
      </c>
      <c r="D297" s="109">
        <v>0.007266687484964594</v>
      </c>
      <c r="E297" s="109">
        <v>0.9426843487446056</v>
      </c>
      <c r="F297" s="107" t="s">
        <v>3503</v>
      </c>
      <c r="G297" s="107" t="b">
        <v>0</v>
      </c>
      <c r="H297" s="107" t="b">
        <v>0</v>
      </c>
      <c r="I297" s="107" t="b">
        <v>0</v>
      </c>
      <c r="J297" s="107" t="b">
        <v>0</v>
      </c>
      <c r="K297" s="107" t="b">
        <v>0</v>
      </c>
      <c r="L297" s="107" t="b">
        <v>0</v>
      </c>
    </row>
    <row r="298" spans="1:12" ht="15">
      <c r="A298" s="87" t="s">
        <v>3540</v>
      </c>
      <c r="B298" s="107" t="s">
        <v>3953</v>
      </c>
      <c r="C298" s="107">
        <v>3</v>
      </c>
      <c r="D298" s="109">
        <v>0.007266687484964594</v>
      </c>
      <c r="E298" s="109">
        <v>1.164533098360962</v>
      </c>
      <c r="F298" s="107" t="s">
        <v>3503</v>
      </c>
      <c r="G298" s="107" t="b">
        <v>0</v>
      </c>
      <c r="H298" s="107" t="b">
        <v>0</v>
      </c>
      <c r="I298" s="107" t="b">
        <v>0</v>
      </c>
      <c r="J298" s="107" t="b">
        <v>0</v>
      </c>
      <c r="K298" s="107" t="b">
        <v>0</v>
      </c>
      <c r="L298" s="107" t="b">
        <v>0</v>
      </c>
    </row>
    <row r="299" spans="1:12" ht="15">
      <c r="A299" s="87" t="s">
        <v>3559</v>
      </c>
      <c r="B299" s="107" t="s">
        <v>3559</v>
      </c>
      <c r="C299" s="107">
        <v>2</v>
      </c>
      <c r="D299" s="109">
        <v>0.005493044912833417</v>
      </c>
      <c r="E299" s="109">
        <v>0.8079857748471495</v>
      </c>
      <c r="F299" s="107" t="s">
        <v>3503</v>
      </c>
      <c r="G299" s="107" t="b">
        <v>0</v>
      </c>
      <c r="H299" s="107" t="b">
        <v>0</v>
      </c>
      <c r="I299" s="107" t="b">
        <v>0</v>
      </c>
      <c r="J299" s="107" t="b">
        <v>0</v>
      </c>
      <c r="K299" s="107" t="b">
        <v>0</v>
      </c>
      <c r="L299" s="107" t="b">
        <v>0</v>
      </c>
    </row>
    <row r="300" spans="1:12" ht="15">
      <c r="A300" s="87" t="s">
        <v>3653</v>
      </c>
      <c r="B300" s="107" t="s">
        <v>3569</v>
      </c>
      <c r="C300" s="107">
        <v>2</v>
      </c>
      <c r="D300" s="109">
        <v>0.006601811011043293</v>
      </c>
      <c r="E300" s="109">
        <v>1.8379489982245927</v>
      </c>
      <c r="F300" s="107" t="s">
        <v>3503</v>
      </c>
      <c r="G300" s="107" t="b">
        <v>0</v>
      </c>
      <c r="H300" s="107" t="b">
        <v>0</v>
      </c>
      <c r="I300" s="107" t="b">
        <v>0</v>
      </c>
      <c r="J300" s="107" t="b">
        <v>0</v>
      </c>
      <c r="K300" s="107" t="b">
        <v>0</v>
      </c>
      <c r="L300" s="107" t="b">
        <v>0</v>
      </c>
    </row>
    <row r="301" spans="1:12" ht="15">
      <c r="A301" s="87" t="s">
        <v>4194</v>
      </c>
      <c r="B301" s="107" t="s">
        <v>3991</v>
      </c>
      <c r="C301" s="107">
        <v>2</v>
      </c>
      <c r="D301" s="109">
        <v>0.006601811011043293</v>
      </c>
      <c r="E301" s="109">
        <v>2.3820170425748683</v>
      </c>
      <c r="F301" s="107" t="s">
        <v>3503</v>
      </c>
      <c r="G301" s="107" t="b">
        <v>0</v>
      </c>
      <c r="H301" s="107" t="b">
        <v>0</v>
      </c>
      <c r="I301" s="107" t="b">
        <v>0</v>
      </c>
      <c r="J301" s="107" t="b">
        <v>0</v>
      </c>
      <c r="K301" s="107" t="b">
        <v>0</v>
      </c>
      <c r="L301" s="107" t="b">
        <v>0</v>
      </c>
    </row>
    <row r="302" spans="1:12" ht="15">
      <c r="A302" s="87" t="s">
        <v>3564</v>
      </c>
      <c r="B302" s="107" t="s">
        <v>3586</v>
      </c>
      <c r="C302" s="107">
        <v>2</v>
      </c>
      <c r="D302" s="109">
        <v>0.005493044912833417</v>
      </c>
      <c r="E302" s="109">
        <v>0.9928509582103359</v>
      </c>
      <c r="F302" s="107" t="s">
        <v>3503</v>
      </c>
      <c r="G302" s="107" t="b">
        <v>0</v>
      </c>
      <c r="H302" s="107" t="b">
        <v>0</v>
      </c>
      <c r="I302" s="107" t="b">
        <v>0</v>
      </c>
      <c r="J302" s="107" t="b">
        <v>0</v>
      </c>
      <c r="K302" s="107" t="b">
        <v>0</v>
      </c>
      <c r="L302" s="107" t="b">
        <v>0</v>
      </c>
    </row>
    <row r="303" spans="1:12" ht="15">
      <c r="A303" s="87" t="s">
        <v>3559</v>
      </c>
      <c r="B303" s="107" t="s">
        <v>4084</v>
      </c>
      <c r="C303" s="107">
        <v>2</v>
      </c>
      <c r="D303" s="109">
        <v>0.005493044912833417</v>
      </c>
      <c r="E303" s="109">
        <v>1.6830470382388496</v>
      </c>
      <c r="F303" s="107" t="s">
        <v>3503</v>
      </c>
      <c r="G303" s="107" t="b">
        <v>0</v>
      </c>
      <c r="H303" s="107" t="b">
        <v>0</v>
      </c>
      <c r="I303" s="107" t="b">
        <v>0</v>
      </c>
      <c r="J303" s="107" t="b">
        <v>0</v>
      </c>
      <c r="K303" s="107" t="b">
        <v>1</v>
      </c>
      <c r="L303" s="107" t="b">
        <v>0</v>
      </c>
    </row>
    <row r="304" spans="1:12" ht="15">
      <c r="A304" s="87" t="s">
        <v>3699</v>
      </c>
      <c r="B304" s="107" t="s">
        <v>3538</v>
      </c>
      <c r="C304" s="107">
        <v>2</v>
      </c>
      <c r="D304" s="109">
        <v>0.005493044912833417</v>
      </c>
      <c r="E304" s="109">
        <v>1.0018058008632624</v>
      </c>
      <c r="F304" s="107" t="s">
        <v>3503</v>
      </c>
      <c r="G304" s="107" t="b">
        <v>0</v>
      </c>
      <c r="H304" s="107" t="b">
        <v>0</v>
      </c>
      <c r="I304" s="107" t="b">
        <v>0</v>
      </c>
      <c r="J304" s="107" t="b">
        <v>0</v>
      </c>
      <c r="K304" s="107" t="b">
        <v>0</v>
      </c>
      <c r="L304" s="107" t="b">
        <v>0</v>
      </c>
    </row>
    <row r="305" spans="1:12" ht="15">
      <c r="A305" s="87" t="s">
        <v>3665</v>
      </c>
      <c r="B305" s="107" t="s">
        <v>3540</v>
      </c>
      <c r="C305" s="107">
        <v>2</v>
      </c>
      <c r="D305" s="109">
        <v>0.005493044912833417</v>
      </c>
      <c r="E305" s="109">
        <v>0.9884418393052808</v>
      </c>
      <c r="F305" s="107" t="s">
        <v>3503</v>
      </c>
      <c r="G305" s="107" t="b">
        <v>0</v>
      </c>
      <c r="H305" s="107" t="b">
        <v>0</v>
      </c>
      <c r="I305" s="107" t="b">
        <v>0</v>
      </c>
      <c r="J305" s="107" t="b">
        <v>0</v>
      </c>
      <c r="K305" s="107" t="b">
        <v>0</v>
      </c>
      <c r="L305" s="107" t="b">
        <v>0</v>
      </c>
    </row>
    <row r="306" spans="1:12" ht="15">
      <c r="A306" s="87" t="s">
        <v>3554</v>
      </c>
      <c r="B306" s="107" t="s">
        <v>3676</v>
      </c>
      <c r="C306" s="107">
        <v>2</v>
      </c>
      <c r="D306" s="109">
        <v>0.006601811011043293</v>
      </c>
      <c r="E306" s="109">
        <v>1.3820170425748683</v>
      </c>
      <c r="F306" s="107" t="s">
        <v>3503</v>
      </c>
      <c r="G306" s="107" t="b">
        <v>0</v>
      </c>
      <c r="H306" s="107" t="b">
        <v>0</v>
      </c>
      <c r="I306" s="107" t="b">
        <v>0</v>
      </c>
      <c r="J306" s="107" t="b">
        <v>0</v>
      </c>
      <c r="K306" s="107" t="b">
        <v>0</v>
      </c>
      <c r="L306" s="107" t="b">
        <v>0</v>
      </c>
    </row>
    <row r="307" spans="1:12" ht="15">
      <c r="A307" s="87" t="s">
        <v>3991</v>
      </c>
      <c r="B307" s="107" t="s">
        <v>4090</v>
      </c>
      <c r="C307" s="107">
        <v>2</v>
      </c>
      <c r="D307" s="109">
        <v>0.006601811011043293</v>
      </c>
      <c r="E307" s="109">
        <v>2.3820170425748683</v>
      </c>
      <c r="F307" s="107" t="s">
        <v>3503</v>
      </c>
      <c r="G307" s="107" t="b">
        <v>0</v>
      </c>
      <c r="H307" s="107" t="b">
        <v>0</v>
      </c>
      <c r="I307" s="107" t="b">
        <v>0</v>
      </c>
      <c r="J307" s="107" t="b">
        <v>0</v>
      </c>
      <c r="K307" s="107" t="b">
        <v>0</v>
      </c>
      <c r="L307" s="107" t="b">
        <v>0</v>
      </c>
    </row>
    <row r="308" spans="1:12" ht="15">
      <c r="A308" s="87" t="s">
        <v>3676</v>
      </c>
      <c r="B308" s="107" t="s">
        <v>3551</v>
      </c>
      <c r="C308" s="107">
        <v>2</v>
      </c>
      <c r="D308" s="109">
        <v>0.005493044912833417</v>
      </c>
      <c r="E308" s="109">
        <v>1.2516832740798622</v>
      </c>
      <c r="F308" s="107" t="s">
        <v>3503</v>
      </c>
      <c r="G308" s="107" t="b">
        <v>0</v>
      </c>
      <c r="H308" s="107" t="b">
        <v>0</v>
      </c>
      <c r="I308" s="107" t="b">
        <v>0</v>
      </c>
      <c r="J308" s="107" t="b">
        <v>1</v>
      </c>
      <c r="K308" s="107" t="b">
        <v>0</v>
      </c>
      <c r="L308" s="107" t="b">
        <v>0</v>
      </c>
    </row>
    <row r="309" spans="1:12" ht="15">
      <c r="A309" s="87" t="s">
        <v>3540</v>
      </c>
      <c r="B309" s="107" t="s">
        <v>3569</v>
      </c>
      <c r="C309" s="107">
        <v>2</v>
      </c>
      <c r="D309" s="109">
        <v>0.005493044912833417</v>
      </c>
      <c r="E309" s="109">
        <v>0.6204650540106864</v>
      </c>
      <c r="F309" s="107" t="s">
        <v>3503</v>
      </c>
      <c r="G309" s="107" t="b">
        <v>0</v>
      </c>
      <c r="H309" s="107" t="b">
        <v>0</v>
      </c>
      <c r="I309" s="107" t="b">
        <v>0</v>
      </c>
      <c r="J309" s="107" t="b">
        <v>0</v>
      </c>
      <c r="K309" s="107" t="b">
        <v>0</v>
      </c>
      <c r="L309" s="107" t="b">
        <v>0</v>
      </c>
    </row>
    <row r="310" spans="1:12" ht="15">
      <c r="A310" s="87" t="s">
        <v>3540</v>
      </c>
      <c r="B310" s="107" t="s">
        <v>3820</v>
      </c>
      <c r="C310" s="107">
        <v>2</v>
      </c>
      <c r="D310" s="109">
        <v>0.006601811011043293</v>
      </c>
      <c r="E310" s="109">
        <v>0.9884418393052808</v>
      </c>
      <c r="F310" s="107" t="s">
        <v>3503</v>
      </c>
      <c r="G310" s="107" t="b">
        <v>0</v>
      </c>
      <c r="H310" s="107" t="b">
        <v>0</v>
      </c>
      <c r="I310" s="107" t="b">
        <v>0</v>
      </c>
      <c r="J310" s="107" t="b">
        <v>0</v>
      </c>
      <c r="K310" s="107" t="b">
        <v>0</v>
      </c>
      <c r="L310" s="107" t="b">
        <v>0</v>
      </c>
    </row>
    <row r="311" spans="1:12" ht="15">
      <c r="A311" s="87" t="s">
        <v>3540</v>
      </c>
      <c r="B311" s="107" t="s">
        <v>3676</v>
      </c>
      <c r="C311" s="107">
        <v>2</v>
      </c>
      <c r="D311" s="109">
        <v>0.005493044912833417</v>
      </c>
      <c r="E311" s="109">
        <v>0.7665930896889245</v>
      </c>
      <c r="F311" s="107" t="s">
        <v>3503</v>
      </c>
      <c r="G311" s="107" t="b">
        <v>0</v>
      </c>
      <c r="H311" s="107" t="b">
        <v>0</v>
      </c>
      <c r="I311" s="107" t="b">
        <v>0</v>
      </c>
      <c r="J311" s="107" t="b">
        <v>0</v>
      </c>
      <c r="K311" s="107" t="b">
        <v>0</v>
      </c>
      <c r="L311" s="107" t="b">
        <v>0</v>
      </c>
    </row>
    <row r="312" spans="1:12" ht="15">
      <c r="A312" s="87" t="s">
        <v>4090</v>
      </c>
      <c r="B312" s="107" t="s">
        <v>3540</v>
      </c>
      <c r="C312" s="107">
        <v>2</v>
      </c>
      <c r="D312" s="109">
        <v>0.006601811011043293</v>
      </c>
      <c r="E312" s="109">
        <v>1.164533098360962</v>
      </c>
      <c r="F312" s="107" t="s">
        <v>3503</v>
      </c>
      <c r="G312" s="107" t="b">
        <v>0</v>
      </c>
      <c r="H312" s="107" t="b">
        <v>0</v>
      </c>
      <c r="I312" s="107" t="b">
        <v>0</v>
      </c>
      <c r="J312" s="107" t="b">
        <v>0</v>
      </c>
      <c r="K312" s="107" t="b">
        <v>0</v>
      </c>
      <c r="L312" s="107" t="b">
        <v>0</v>
      </c>
    </row>
    <row r="313" spans="1:12" ht="15">
      <c r="A313" s="87" t="s">
        <v>3813</v>
      </c>
      <c r="B313" s="107" t="s">
        <v>2658</v>
      </c>
      <c r="C313" s="107">
        <v>2</v>
      </c>
      <c r="D313" s="109">
        <v>0.005493044912833417</v>
      </c>
      <c r="E313" s="109">
        <v>1.7288045287995248</v>
      </c>
      <c r="F313" s="107" t="s">
        <v>3503</v>
      </c>
      <c r="G313" s="107" t="b">
        <v>0</v>
      </c>
      <c r="H313" s="107" t="b">
        <v>0</v>
      </c>
      <c r="I313" s="107" t="b">
        <v>0</v>
      </c>
      <c r="J313" s="107" t="b">
        <v>0</v>
      </c>
      <c r="K313" s="107" t="b">
        <v>0</v>
      </c>
      <c r="L313" s="107" t="b">
        <v>0</v>
      </c>
    </row>
    <row r="314" spans="1:12" ht="15">
      <c r="A314" s="87" t="s">
        <v>3667</v>
      </c>
      <c r="B314" s="107" t="s">
        <v>3564</v>
      </c>
      <c r="C314" s="107">
        <v>2</v>
      </c>
      <c r="D314" s="109">
        <v>0.006601811011043293</v>
      </c>
      <c r="E314" s="109">
        <v>1.5691036859320127</v>
      </c>
      <c r="F314" s="107" t="s">
        <v>3503</v>
      </c>
      <c r="G314" s="107" t="b">
        <v>0</v>
      </c>
      <c r="H314" s="107" t="b">
        <v>0</v>
      </c>
      <c r="I314" s="107" t="b">
        <v>0</v>
      </c>
      <c r="J314" s="107" t="b">
        <v>0</v>
      </c>
      <c r="K314" s="107" t="b">
        <v>0</v>
      </c>
      <c r="L314" s="107" t="b">
        <v>0</v>
      </c>
    </row>
    <row r="315" spans="1:12" ht="15">
      <c r="A315" s="87" t="s">
        <v>3602</v>
      </c>
      <c r="B315" s="107" t="s">
        <v>3539</v>
      </c>
      <c r="C315" s="107">
        <v>2</v>
      </c>
      <c r="D315" s="109">
        <v>0.005493044912833417</v>
      </c>
      <c r="E315" s="109">
        <v>1.0298345244635059</v>
      </c>
      <c r="F315" s="107" t="s">
        <v>3503</v>
      </c>
      <c r="G315" s="107" t="b">
        <v>0</v>
      </c>
      <c r="H315" s="107" t="b">
        <v>0</v>
      </c>
      <c r="I315" s="107" t="b">
        <v>0</v>
      </c>
      <c r="J315" s="107" t="b">
        <v>0</v>
      </c>
      <c r="K315" s="107" t="b">
        <v>0</v>
      </c>
      <c r="L315" s="107" t="b">
        <v>0</v>
      </c>
    </row>
    <row r="316" spans="1:12" ht="15">
      <c r="A316" s="87" t="s">
        <v>3564</v>
      </c>
      <c r="B316" s="107" t="s">
        <v>3539</v>
      </c>
      <c r="C316" s="107">
        <v>2</v>
      </c>
      <c r="D316" s="109">
        <v>0.005493044912833417</v>
      </c>
      <c r="E316" s="109">
        <v>0.5826764931212867</v>
      </c>
      <c r="F316" s="107" t="s">
        <v>3503</v>
      </c>
      <c r="G316" s="107" t="b">
        <v>0</v>
      </c>
      <c r="H316" s="107" t="b">
        <v>0</v>
      </c>
      <c r="I316" s="107" t="b">
        <v>0</v>
      </c>
      <c r="J316" s="107" t="b">
        <v>0</v>
      </c>
      <c r="K316" s="107" t="b">
        <v>0</v>
      </c>
      <c r="L316" s="107" t="b">
        <v>0</v>
      </c>
    </row>
    <row r="317" spans="1:12" ht="15">
      <c r="A317" s="87" t="s">
        <v>3542</v>
      </c>
      <c r="B317" s="107" t="s">
        <v>3548</v>
      </c>
      <c r="C317" s="107">
        <v>6</v>
      </c>
      <c r="D317" s="109">
        <v>0.01763335378002519</v>
      </c>
      <c r="E317" s="109">
        <v>1.3206654666652977</v>
      </c>
      <c r="F317" s="107" t="s">
        <v>3504</v>
      </c>
      <c r="G317" s="107" t="b">
        <v>0</v>
      </c>
      <c r="H317" s="107" t="b">
        <v>0</v>
      </c>
      <c r="I317" s="107" t="b">
        <v>0</v>
      </c>
      <c r="J317" s="107" t="b">
        <v>0</v>
      </c>
      <c r="K317" s="107" t="b">
        <v>0</v>
      </c>
      <c r="L317" s="107" t="b">
        <v>0</v>
      </c>
    </row>
    <row r="318" spans="1:12" ht="15">
      <c r="A318" s="87" t="s">
        <v>3577</v>
      </c>
      <c r="B318" s="107" t="s">
        <v>3644</v>
      </c>
      <c r="C318" s="107">
        <v>3</v>
      </c>
      <c r="D318" s="109">
        <v>0.013572038232733483</v>
      </c>
      <c r="E318" s="109">
        <v>1.1445742076096164</v>
      </c>
      <c r="F318" s="107" t="s">
        <v>3504</v>
      </c>
      <c r="G318" s="107" t="b">
        <v>0</v>
      </c>
      <c r="H318" s="107" t="b">
        <v>0</v>
      </c>
      <c r="I318" s="107" t="b">
        <v>0</v>
      </c>
      <c r="J318" s="107" t="b">
        <v>0</v>
      </c>
      <c r="K318" s="107" t="b">
        <v>0</v>
      </c>
      <c r="L318" s="107" t="b">
        <v>0</v>
      </c>
    </row>
    <row r="319" spans="1:12" ht="15">
      <c r="A319" s="87" t="s">
        <v>3644</v>
      </c>
      <c r="B319" s="107" t="s">
        <v>3577</v>
      </c>
      <c r="C319" s="107">
        <v>3</v>
      </c>
      <c r="D319" s="109">
        <v>0.013572038232733483</v>
      </c>
      <c r="E319" s="109">
        <v>1.2414842206176728</v>
      </c>
      <c r="F319" s="107" t="s">
        <v>3504</v>
      </c>
      <c r="G319" s="107" t="b">
        <v>0</v>
      </c>
      <c r="H319" s="107" t="b">
        <v>0</v>
      </c>
      <c r="I319" s="107" t="b">
        <v>0</v>
      </c>
      <c r="J319" s="107" t="b">
        <v>0</v>
      </c>
      <c r="K319" s="107" t="b">
        <v>0</v>
      </c>
      <c r="L319" s="107" t="b">
        <v>0</v>
      </c>
    </row>
    <row r="320" spans="1:12" ht="15">
      <c r="A320" s="87" t="s">
        <v>4014</v>
      </c>
      <c r="B320" s="107" t="s">
        <v>3644</v>
      </c>
      <c r="C320" s="107">
        <v>2</v>
      </c>
      <c r="D320" s="109">
        <v>0.00904802548848899</v>
      </c>
      <c r="E320" s="109">
        <v>1.7466341989375789</v>
      </c>
      <c r="F320" s="107" t="s">
        <v>3504</v>
      </c>
      <c r="G320" s="107" t="b">
        <v>0</v>
      </c>
      <c r="H320" s="107" t="b">
        <v>1</v>
      </c>
      <c r="I320" s="107" t="b">
        <v>0</v>
      </c>
      <c r="J320" s="107" t="b">
        <v>0</v>
      </c>
      <c r="K320" s="107" t="b">
        <v>0</v>
      </c>
      <c r="L320" s="107" t="b">
        <v>0</v>
      </c>
    </row>
    <row r="321" spans="1:12" ht="15">
      <c r="A321" s="87" t="s">
        <v>3711</v>
      </c>
      <c r="B321" s="107" t="s">
        <v>3536</v>
      </c>
      <c r="C321" s="107">
        <v>2</v>
      </c>
      <c r="D321" s="109">
        <v>0.007047826181751572</v>
      </c>
      <c r="E321" s="109">
        <v>1.3664229572259727</v>
      </c>
      <c r="F321" s="107" t="s">
        <v>3504</v>
      </c>
      <c r="G321" s="107" t="b">
        <v>1</v>
      </c>
      <c r="H321" s="107" t="b">
        <v>0</v>
      </c>
      <c r="I321" s="107" t="b">
        <v>0</v>
      </c>
      <c r="J321" s="107" t="b">
        <v>0</v>
      </c>
      <c r="K321" s="107" t="b">
        <v>0</v>
      </c>
      <c r="L321" s="107" t="b">
        <v>0</v>
      </c>
    </row>
    <row r="322" spans="1:12" ht="15">
      <c r="A322" s="87" t="s">
        <v>3732</v>
      </c>
      <c r="B322" s="107" t="s">
        <v>3571</v>
      </c>
      <c r="C322" s="107">
        <v>2</v>
      </c>
      <c r="D322" s="109">
        <v>0.00904802548848899</v>
      </c>
      <c r="E322" s="109">
        <v>1.7923916894982537</v>
      </c>
      <c r="F322" s="107" t="s">
        <v>3504</v>
      </c>
      <c r="G322" s="107" t="b">
        <v>0</v>
      </c>
      <c r="H322" s="107" t="b">
        <v>0</v>
      </c>
      <c r="I322" s="107" t="b">
        <v>0</v>
      </c>
      <c r="J322" s="107" t="b">
        <v>0</v>
      </c>
      <c r="K322" s="107" t="b">
        <v>0</v>
      </c>
      <c r="L322" s="107" t="b">
        <v>0</v>
      </c>
    </row>
    <row r="323" spans="1:12" ht="15">
      <c r="A323" s="87" t="s">
        <v>4245</v>
      </c>
      <c r="B323" s="107" t="s">
        <v>3711</v>
      </c>
      <c r="C323" s="107">
        <v>2</v>
      </c>
      <c r="D323" s="109">
        <v>0.00904802548848899</v>
      </c>
      <c r="E323" s="109">
        <v>1.968482948553935</v>
      </c>
      <c r="F323" s="107" t="s">
        <v>3504</v>
      </c>
      <c r="G323" s="107" t="b">
        <v>0</v>
      </c>
      <c r="H323" s="107" t="b">
        <v>0</v>
      </c>
      <c r="I323" s="107" t="b">
        <v>0</v>
      </c>
      <c r="J323" s="107" t="b">
        <v>1</v>
      </c>
      <c r="K323" s="107" t="b">
        <v>0</v>
      </c>
      <c r="L323" s="107" t="b">
        <v>0</v>
      </c>
    </row>
    <row r="324" spans="1:12" ht="15">
      <c r="A324" s="87" t="s">
        <v>3593</v>
      </c>
      <c r="B324" s="107" t="s">
        <v>3732</v>
      </c>
      <c r="C324" s="107">
        <v>2</v>
      </c>
      <c r="D324" s="109">
        <v>0.00904802548848899</v>
      </c>
      <c r="E324" s="109">
        <v>1.4913616938342726</v>
      </c>
      <c r="F324" s="107" t="s">
        <v>3504</v>
      </c>
      <c r="G324" s="107" t="b">
        <v>0</v>
      </c>
      <c r="H324" s="107" t="b">
        <v>0</v>
      </c>
      <c r="I324" s="107" t="b">
        <v>0</v>
      </c>
      <c r="J324" s="107" t="b">
        <v>0</v>
      </c>
      <c r="K324" s="107" t="b">
        <v>0</v>
      </c>
      <c r="L324" s="107" t="b">
        <v>0</v>
      </c>
    </row>
    <row r="325" spans="1:12" ht="15">
      <c r="A325" s="87" t="s">
        <v>3586</v>
      </c>
      <c r="B325" s="107" t="s">
        <v>3539</v>
      </c>
      <c r="C325" s="107">
        <v>2</v>
      </c>
      <c r="D325" s="109">
        <v>0.007047826181751572</v>
      </c>
      <c r="E325" s="109">
        <v>1.7923916894982537</v>
      </c>
      <c r="F325" s="107" t="s">
        <v>3504</v>
      </c>
      <c r="G325" s="107" t="b">
        <v>0</v>
      </c>
      <c r="H325" s="107" t="b">
        <v>0</v>
      </c>
      <c r="I325" s="107" t="b">
        <v>0</v>
      </c>
      <c r="J325" s="107" t="b">
        <v>0</v>
      </c>
      <c r="K325" s="107" t="b">
        <v>0</v>
      </c>
      <c r="L325" s="107" t="b">
        <v>0</v>
      </c>
    </row>
    <row r="326" spans="1:12" ht="15">
      <c r="A326" s="87" t="s">
        <v>3548</v>
      </c>
      <c r="B326" s="107" t="s">
        <v>3641</v>
      </c>
      <c r="C326" s="107">
        <v>2</v>
      </c>
      <c r="D326" s="109">
        <v>0.007047826181751572</v>
      </c>
      <c r="E326" s="109">
        <v>1.5425142162816539</v>
      </c>
      <c r="F326" s="107" t="s">
        <v>3504</v>
      </c>
      <c r="G326" s="107" t="b">
        <v>0</v>
      </c>
      <c r="H326" s="107" t="b">
        <v>0</v>
      </c>
      <c r="I326" s="107" t="b">
        <v>0</v>
      </c>
      <c r="J326" s="107" t="b">
        <v>0</v>
      </c>
      <c r="K326" s="107" t="b">
        <v>0</v>
      </c>
      <c r="L326" s="107" t="b">
        <v>0</v>
      </c>
    </row>
    <row r="327" spans="1:12" ht="15">
      <c r="A327" s="87" t="s">
        <v>3538</v>
      </c>
      <c r="B327" s="107" t="s">
        <v>3548</v>
      </c>
      <c r="C327" s="107">
        <v>2</v>
      </c>
      <c r="D327" s="109">
        <v>0.007047826181751572</v>
      </c>
      <c r="E327" s="109">
        <v>1.5425142162816539</v>
      </c>
      <c r="F327" s="107" t="s">
        <v>3504</v>
      </c>
      <c r="G327" s="107" t="b">
        <v>0</v>
      </c>
      <c r="H327" s="107" t="b">
        <v>0</v>
      </c>
      <c r="I327" s="107" t="b">
        <v>0</v>
      </c>
      <c r="J327" s="107" t="b">
        <v>0</v>
      </c>
      <c r="K327" s="107" t="b">
        <v>0</v>
      </c>
      <c r="L327" s="107" t="b">
        <v>0</v>
      </c>
    </row>
    <row r="328" spans="1:12" ht="15">
      <c r="A328" s="87" t="s">
        <v>4061</v>
      </c>
      <c r="B328" s="107" t="s">
        <v>3542</v>
      </c>
      <c r="C328" s="107">
        <v>2</v>
      </c>
      <c r="D328" s="109">
        <v>0.007047826181751572</v>
      </c>
      <c r="E328" s="109">
        <v>1.4456042032735976</v>
      </c>
      <c r="F328" s="107" t="s">
        <v>3504</v>
      </c>
      <c r="G328" s="107" t="b">
        <v>0</v>
      </c>
      <c r="H328" s="107" t="b">
        <v>0</v>
      </c>
      <c r="I328" s="107" t="b">
        <v>0</v>
      </c>
      <c r="J328" s="107" t="b">
        <v>0</v>
      </c>
      <c r="K328" s="107" t="b">
        <v>0</v>
      </c>
      <c r="L328" s="107" t="b">
        <v>0</v>
      </c>
    </row>
    <row r="329" spans="1:12" ht="15">
      <c r="A329" s="87" t="s">
        <v>4175</v>
      </c>
      <c r="B329" s="107" t="s">
        <v>3593</v>
      </c>
      <c r="C329" s="107">
        <v>2</v>
      </c>
      <c r="D329" s="109">
        <v>0.00904802548848899</v>
      </c>
      <c r="E329" s="109">
        <v>1.6674529528899538</v>
      </c>
      <c r="F329" s="107" t="s">
        <v>3504</v>
      </c>
      <c r="G329" s="107" t="b">
        <v>0</v>
      </c>
      <c r="H329" s="107" t="b">
        <v>0</v>
      </c>
      <c r="I329" s="107" t="b">
        <v>0</v>
      </c>
      <c r="J329" s="107" t="b">
        <v>0</v>
      </c>
      <c r="K329" s="107" t="b">
        <v>0</v>
      </c>
      <c r="L329" s="107" t="b">
        <v>0</v>
      </c>
    </row>
    <row r="330" spans="1:12" ht="15">
      <c r="A330" s="87" t="s">
        <v>4151</v>
      </c>
      <c r="B330" s="107" t="s">
        <v>3542</v>
      </c>
      <c r="C330" s="107">
        <v>2</v>
      </c>
      <c r="D330" s="109">
        <v>0.00904802548848899</v>
      </c>
      <c r="E330" s="109">
        <v>1.4456042032735976</v>
      </c>
      <c r="F330" s="107" t="s">
        <v>3504</v>
      </c>
      <c r="G330" s="107" t="b">
        <v>0</v>
      </c>
      <c r="H330" s="107" t="b">
        <v>0</v>
      </c>
      <c r="I330" s="107" t="b">
        <v>0</v>
      </c>
      <c r="J330" s="107" t="b">
        <v>0</v>
      </c>
      <c r="K330" s="107" t="b">
        <v>0</v>
      </c>
      <c r="L330" s="107" t="b">
        <v>0</v>
      </c>
    </row>
    <row r="331" spans="1:12" ht="15">
      <c r="A331" s="87" t="s">
        <v>3538</v>
      </c>
      <c r="B331" s="107" t="s">
        <v>3601</v>
      </c>
      <c r="C331" s="107">
        <v>6</v>
      </c>
      <c r="D331" s="109">
        <v>0.021258033572432063</v>
      </c>
      <c r="E331" s="109">
        <v>1.274927193099776</v>
      </c>
      <c r="F331" s="107" t="s">
        <v>3506</v>
      </c>
      <c r="G331" s="107" t="b">
        <v>0</v>
      </c>
      <c r="H331" s="107" t="b">
        <v>0</v>
      </c>
      <c r="I331" s="107" t="b">
        <v>0</v>
      </c>
      <c r="J331" s="107" t="b">
        <v>0</v>
      </c>
      <c r="K331" s="107" t="b">
        <v>0</v>
      </c>
      <c r="L331" s="107" t="b">
        <v>0</v>
      </c>
    </row>
    <row r="332" spans="1:12" ht="15">
      <c r="A332" s="87" t="s">
        <v>3601</v>
      </c>
      <c r="B332" s="107" t="s">
        <v>3954</v>
      </c>
      <c r="C332" s="107">
        <v>2</v>
      </c>
      <c r="D332" s="109">
        <v>0.011941333701520063</v>
      </c>
      <c r="E332" s="109">
        <v>1.354108439147401</v>
      </c>
      <c r="F332" s="107" t="s">
        <v>3506</v>
      </c>
      <c r="G332" s="107" t="b">
        <v>0</v>
      </c>
      <c r="H332" s="107" t="b">
        <v>0</v>
      </c>
      <c r="I332" s="107" t="b">
        <v>0</v>
      </c>
      <c r="J332" s="107" t="b">
        <v>0</v>
      </c>
      <c r="K332" s="107" t="b">
        <v>0</v>
      </c>
      <c r="L332" s="107" t="b">
        <v>0</v>
      </c>
    </row>
    <row r="333" spans="1:12" ht="15">
      <c r="A333" s="87" t="s">
        <v>4349</v>
      </c>
      <c r="B333" s="107" t="s">
        <v>3556</v>
      </c>
      <c r="C333" s="107">
        <v>2</v>
      </c>
      <c r="D333" s="109">
        <v>0.025155894150811604</v>
      </c>
      <c r="E333" s="109">
        <v>0.7403626894942439</v>
      </c>
      <c r="F333" s="107" t="s">
        <v>3509</v>
      </c>
      <c r="G333" s="107" t="b">
        <v>0</v>
      </c>
      <c r="H333" s="107" t="b">
        <v>0</v>
      </c>
      <c r="I333" s="107" t="b">
        <v>0</v>
      </c>
      <c r="J333" s="107" t="b">
        <v>0</v>
      </c>
      <c r="K333" s="107" t="b">
        <v>0</v>
      </c>
      <c r="L333" s="10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BC5245-B2B0-4BD0-8BA9-15D79F5BA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2023-09-18T07:40:44Z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