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801"/>
  <workbookPr codeName="ThisWorkbook" defaultThemeVersion="124226"/>
  <bookViews>
    <workbookView xWindow="28680"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<sst xmlns="http://schemas.openxmlformats.org/spreadsheetml/2006/main" count="4372" uniqueCount="1027">
  <si>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</si>
  <si>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</si>
  <si>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</si>
  <si>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</si>
  <si>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</si>
  <si>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</si>
  <si>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</si>
  <si>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</si>
  <si>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</si>
  <si>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</si>
  <si>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</si>
  <si>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</si>
  <si>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</si>
  <si>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</si>
  <si>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</si>
  <si>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</si>
  <si>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</si>
  <si>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</si>
  <si>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</si>
  <si>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</si>
  <si>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</si>
  <si>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</si>
  <si>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</si>
  <si>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</si>
  <si>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</si>
  <si>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</si>
  <si>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</si>
  <si>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</si>
  <si>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</si>
  <si>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</si>
  <si>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</si>
  <si>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</si>
  <si>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</si>
  <si>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</si>
  <si>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</si>
  <si>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</si>
  <si>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</si>
  <si>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</si>
  <si>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</si>
  <si>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</si>
  <si>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</si>
  <si>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</si>
  <si>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</si>
  <si>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</si>
  <si>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</si>
  <si>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</si>
  <si>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</si>
  <si>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</si>
  <si>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</si>
  <si>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</si>
  <si>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</si>
  <si>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</si>
  <si>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</si>
  <si>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</si>
  <si>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</si>
  <si>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</si>
  <si>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</si>
  <si>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</si>
  <si>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</si>
  <si>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</si>
  <si>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</si>
  <si>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</si>
  <si>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</si>
  <si>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</si>
  <si>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</si>
  <si>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</si>
  <si>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</si>
  <si>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</si>
  <si>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</si>
  <si>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</si>
  <si>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</si>
  <si>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</si>
  <si>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</si>
  <si>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</si>
  <si>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</si>
  <si>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</si>
  <si>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</si>
  <si>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</si>
  <si>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</si>
  <si>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</si>
  <si>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</si>
  <si>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</si>
  <si>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</si>
  <si>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</si>
  <si>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</si>
  <si>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</si>
  <si>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</si>
  <si>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</si>
  <si>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</si>
  <si>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</si>
  <si>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</si>
  <si>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</si>
  <si>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</si>
  <si>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</si>
  <si>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</si>
  <si>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</si>
  <si>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</si>
  <si>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</si>
  <si>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</si>
  <si>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</si>
  <si>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</si>
  <si>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</si>
  <si>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</si>
  <si>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</si>
  <si>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</si>
  <si>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</si>
  <si>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</si>
  <si>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</si>
  <si>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</si>
  <si>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</si>
  <si>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</si>
  <si>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</si>
  <si>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</si>
  <si>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</si>
  <si>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</si>
  <si>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</si>
  <si>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</si>
  <si>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</si>
  <si>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</si>
  <si>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</si>
  <si>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</si>
  <si>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</si>
  <si>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</si>
  <si>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</si>
  <si>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</si>
  <si>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</si>
  <si>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</si>
  <si>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</si>
  <si>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</si>
  <si>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</si>
  <si>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</si>
  <si>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</si>
  <si>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</si>
  <si>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</si>
  <si>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</si>
  <si>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</si>
  <si>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</si>
  <si>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</si>
  <si>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</si>
  <si>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</si>
  <si>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</si>
  <si>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</si>
  <si>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</si>
  <si>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</si>
  <si>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</si>
  <si>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</si>
  <si>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</si>
  <si>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</si>
  <si>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</si>
  <si>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</si>
  <si>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</si>
  <si>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</si>
  <si>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</si>
  <si>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</si>
  <si>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</si>
  <si>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</si>
  <si>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</si>
  <si>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</si>
  <si>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</si>
  <si>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</si>
  <si>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</si>
  <si>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</si>
  <si>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</si>
  <si>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</si>
  <si>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</si>
  <si>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</si>
  <si>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</si>
  <si>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</si>
  <si>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</si>
  <si>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</si>
  <si>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</si>
  <si>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</si>
  <si>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</si>
  <si>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</si>
  <si>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</si>
  <si>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</si>
  <si>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</si>
  <si>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</si>
  <si>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</si>
  <si>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</si>
  <si>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</si>
  <si>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</si>
  <si>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</si>
  <si>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</si>
  <si>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</si>
  <si>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</si>
  <si>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</si>
  <si>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</si>
  <si>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</si>
  <si>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</si>
  <si>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 xml:space="preserve">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</si>
  <si>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Workbook Settings Cell Count</t>
  </si>
  <si>
    <t>Directed</t>
  </si>
  <si>
    <t xml:space="preserve">&lt;?xml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&lt;value&gt;http://www.connectedaction.net/wp-content/uploads/2009/11/2009-Connected-Action-Logo.png&lt;/value&gt;
      &lt;/setting&gt;
    &lt;/ExportDataUserSettings&gt;
    &lt;PlugInUserSettings&gt;
      &lt;setting name="PlugInFolderPath" serializeAs="String"&gt;
      </t>
  </si>
  <si>
    <t xml:space="preserve">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t>
  </si>
  <si>
    <t>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t>
  </si>
  <si>
    <t>="SmtpHost"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t>
  </si>
  <si>
    <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t>
  </si>
  <si>
    <t>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t>
  </si>
  <si>
    <t>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t>
  </si>
  <si>
    <t>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t>
  </si>
  <si>
    <t>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t>
  </si>
  <si>
    <t>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t>
  </si>
  <si>
    <t>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t>
  </si>
  <si>
    <t>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t>
  </si>
  <si>
    <t>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t>
  </si>
  <si>
    <t>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t>
  </si>
  <si>
    <t>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t>
  </si>
  <si>
    <t xml:space="preserve">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</si>
  <si>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</si>
  <si>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</si>
  <si>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</si>
  <si>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</si>
  <si>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</si>
  <si>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</si>
  <si>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</si>
  <si>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</si>
  <si>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</si>
  <si>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</si>
  <si>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</si>
  <si>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</si>
  <si>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</si>
  <si>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</si>
  <si>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</si>
  <si>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</si>
  <si>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</si>
  <si>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</si>
  <si>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</si>
  <si>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</si>
  <si>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</si>
  <si>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</si>
  <si>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</si>
  <si>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</si>
  <si>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</si>
  <si>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</si>
  <si>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</si>
  <si>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</si>
  <si>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</si>
  <si>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</si>
  <si>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</si>
  <si>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</si>
  <si>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</si>
  <si>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</si>
  <si>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</si>
  <si>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</si>
  <si>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</si>
  <si>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</si>
  <si>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</si>
  <si>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</si>
  <si>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</si>
  <si>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</si>
  <si>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captainswoop1</t>
  </si>
  <si>
    <t>robstewauthor</t>
  </si>
  <si>
    <t>pearnsr</t>
  </si>
  <si>
    <t>alisterrussell</t>
  </si>
  <si>
    <t>louisapassfield</t>
  </si>
  <si>
    <t>cwef13</t>
  </si>
  <si>
    <t>dodlink</t>
  </si>
  <si>
    <t>avriljw</t>
  </si>
  <si>
    <t>19averil</t>
  </si>
  <si>
    <t>ancienthiker</t>
  </si>
  <si>
    <t>indysilverfox</t>
  </si>
  <si>
    <t>gary4463150386</t>
  </si>
  <si>
    <t>tess1959</t>
  </si>
  <si>
    <t>russellengland</t>
  </si>
  <si>
    <t>viclfc</t>
  </si>
  <si>
    <t>juliemo46777750</t>
  </si>
  <si>
    <t>margaridafawke</t>
  </si>
  <si>
    <t>ambleexile</t>
  </si>
  <si>
    <t>daphneh236</t>
  </si>
  <si>
    <t>mrsmoviefan</t>
  </si>
  <si>
    <t>robhughes4</t>
  </si>
  <si>
    <t>sarahpegg9</t>
  </si>
  <si>
    <t>jakbar1</t>
  </si>
  <si>
    <t>arniesma</t>
  </si>
  <si>
    <t>weesnowie</t>
  </si>
  <si>
    <t>donaldfart8</t>
  </si>
  <si>
    <t>libiroberts</t>
  </si>
  <si>
    <t>bridgetcraig17</t>
  </si>
  <si>
    <t>georgehotchki14</t>
  </si>
  <si>
    <t>juliejohnson7</t>
  </si>
  <si>
    <t>john210750</t>
  </si>
  <si>
    <t>seanmcd4464</t>
  </si>
  <si>
    <t>billacres2</t>
  </si>
  <si>
    <t>lubylou64th</t>
  </si>
  <si>
    <t>mikek1956</t>
  </si>
  <si>
    <t>nglwaug</t>
  </si>
  <si>
    <t>raffertycarol</t>
  </si>
  <si>
    <t>paulbayliss9</t>
  </si>
  <si>
    <t>euanstrachanorr</t>
  </si>
  <si>
    <t>rcgpac</t>
  </si>
  <si>
    <t>sajidjavid</t>
  </si>
  <si>
    <t>doctor_oxford</t>
  </si>
  <si>
    <t>clickoncopy</t>
  </si>
  <si>
    <t>johntonks</t>
  </si>
  <si>
    <t>moonstoneclare</t>
  </si>
  <si>
    <t>interestedbys10</t>
  </si>
  <si>
    <t>barbarasutton15</t>
  </si>
  <si>
    <t>witandwhiz</t>
  </si>
  <si>
    <t>leftgrassroots</t>
  </si>
  <si>
    <t>sportmarketing1</t>
  </si>
  <si>
    <t>geoff_mcgivern</t>
  </si>
  <si>
    <t>Mentions</t>
  </si>
  <si>
    <t>Replies to</t>
  </si>
  <si>
    <t>@euanstrachanorr @Geoff_McGivern @sajidjavid @RCGPAC Why would you expect anything else?</t>
  </si>
  <si>
    <t>@weesnowie @arniesma @euanstrachanorr @doctor_oxford @sajidjavid @RCGPAC Like Sunak</t>
  </si>
  <si>
    <t>@euanstrachanorr @sajidjavid @RCGPAC https://t.co/gwa1TYWmJK</t>
  </si>
  <si>
    <t>@euanstrachanorr @sajidjavid @RCGPAC It's a deliberate insult.</t>
  </si>
  <si>
    <t>@euanstrachanorr @sajidjavid @RCGPAC Or running scared as he knows what reception he may get.</t>
  </si>
  <si>
    <t>@euanstrachanorr @doctor_oxford @sajidjavid @RCGPAC We are governed by a bunch of ostriches</t>
  </si>
  <si>
    <t>@euanstrachanorr @sajidjavid @RCGPAC GP sees and cares about people who have health issues often worsened by social conditions. @sajidjavid and co see numbers not names. Looking for opportunities to monetise not improve lives. #nastyparty</t>
  </si>
  <si>
    <t>@daphneh236 @euanstrachanorr @doctor_oxford @sajidjavid @RCGPAC He knows! It's just one part of the ongoing strategy to undermine the NHS and soften the public up for more overt privatisation (it's going on my stealth right now). 
Defund
Demoralise
Denigrate
Denationalise
It's easy to see if you open your eyes. 
#SaveOurNHS</t>
  </si>
  <si>
    <t>@euanstrachanorr @sajidjavid @RCGPAC Bad sign that he has gone on the attack rather than engaging</t>
  </si>
  <si>
    <t>@euanstrachanorr @doctor_oxford @sajidjavid @RCGPAC They just don’t give a dam</t>
  </si>
  <si>
    <t>@euanstrachanorr @bridgetCraig17 @sajidjavid @RCGPAC Out of touch is too kind
This is anti-democratic, scrutiny-evading, corrupt disregard for actually doing the job</t>
  </si>
  <si>
    <t>@euanstrachanorr @doctor_oxford @sajidjavid @RCGPAC #ToriesDontCare</t>
  </si>
  <si>
    <t>@sarahpegg9 @euanstrachanorr @doctor_oxford @sajidjavid @RCGPAC In which he was really very poor</t>
  </si>
  <si>
    <t>@euanstrachanorr @clickoncopy @sajidjavid @RCGPAC And talking of hypocrisy
https://t.co/m8bPBy9cbP</t>
  </si>
  <si>
    <t>@euanstrachanorr @clickoncopy @sajidjavid @RCGPAC Funny how he tells GPs to have more face to face appointments on the same day he cancels his face to face appointment with GPs</t>
  </si>
  <si>
    <t>@euanstrachanorr @sajidjavid @RCGPAC They follow the religion of Mammon. They care not for the public...they want to commodify health... They use the media to convince the public..who blame us!! Whilst our leaders protect their jobs in silence...they should resign en masse and become heroes ...</t>
  </si>
  <si>
    <t>@euanstrachanorr @JohnTonks @sajidjavid @RCGPAC He admitted this morning he hasn't even read the Covid report</t>
  </si>
  <si>
    <t>@euanstrachanorr @MoonStoneClare @sajidjavid @RCGPAC They're all afraid of any F2F, that's what happens when you're guilty as hell.</t>
  </si>
  <si>
    <t>@euanstrachanorr @doctor_oxford @sajidjavid @RCGPAC Expected tactical move part of “privatisation by back door” strategy. Javid sought Harvard advice on how to fix our NHS it’s another brick on the Lansley foundations opening up market competition for health service providers… it’ll gain momentum as long as Tories rule_xD83E__xDD26_‍♂️</t>
  </si>
  <si>
    <t>@euanstrachanorr @doctor_oxford @sajidjavid @RCGPAC surely health secretary has missed an opportunity to find out what the issues are in healthcare ?-surely he should at least listen before criticising those who actually deliver healthcare in a pandemic in the winter - truth is HS didn't want to hear it or change his NHS cuts plan</t>
  </si>
  <si>
    <t>@euanstrachanorr @sajidjavid @RCGPAC Theyre not ‘out of touch’ with the crisis. They are deliberately fuelling the crisis.</t>
  </si>
  <si>
    <t>@euanstrachanorr @sajidjavid @RCGPAC _xD83D__xDC13__xD83D__xDC13__xD83D__xDC13__xD83D__xDC13__xD83D__xDC13__xD83D__xDC13__xD83D__xDC13__xD83D__xDC13__xD83D__xDC13__xD83D__xDC13__xD83D__xDC13__xD83D__xDC13__xD83D__xDC13__xD83D__xDC13__xD83D__xDC13__xD83D__xDC13__xD83D__xDC13_ _xD83D__xDC13_</t>
  </si>
  <si>
    <t>@euanstrachanorr @doctor_oxford @sajidjavid @RCGPAC But he did have time to do the media rounds this morning!</t>
  </si>
  <si>
    <t>@euanstrachanorr @interestedbys10 @sajidjavid @RCGPAC Did he give a reason for cancelling? Shocking</t>
  </si>
  <si>
    <t>@euanstrachanorr @doctor_oxford @sajidjavid @RCGPAC Running scared ?</t>
  </si>
  <si>
    <t>@arniesma @euanstrachanorr @doctor_oxford @sajidjavid @RCGPAC Or simply disinterested in GPs.  I guess he doesn’t care a jot.
He is a banker. A money man.
No interest in medicine or care.  Until he can sell them off.</t>
  </si>
  <si>
    <t>@euanstrachanorr @sajidjavid @RCGPAC They’re not ‘out of touch’.
They caused it deliberately.
Their aim, since the NHS was established, has been to drive it down and sell it to their friends (for friends read ‘anyone with a big bung ready’)</t>
  </si>
  <si>
    <t>@euanstrachanorr @doctor_oxford @sajidjavid @RCGPAC Not just general practice tbh</t>
  </si>
  <si>
    <t>@euanstrachanorr @Tappers1231 @sajidjavid @RCGPAC Frightened by the prospect of booing</t>
  </si>
  <si>
    <t>@euanstrachanorr @BarbaraSutton15 @sajidjavid @RCGPAC Not out of touch with the crisis, fuelling it encouraging it and furthering privatisation through it.</t>
  </si>
  <si>
    <t>@euanstrachanorr @sajidjavid @RCGPAC He is afraid of hearing the truth.</t>
  </si>
  <si>
    <t>@euanstrachanorr @witandwhiz @sajidjavid @RCGPAC not out of touch this is wilful underfunding</t>
  </si>
  <si>
    <t>@euanstrachanorr @sajidjavid @RCGPAC Well said</t>
  </si>
  <si>
    <t>@euanstrachanorr @sajidjavid @RCGPAC When you put a banker in charge of our health service…</t>
  </si>
  <si>
    <t>@euanstrachanorr @doctor_oxford @sajidjavid @RCGPAC Always words, but no action.</t>
  </si>
  <si>
    <t>@euanstrachanorr @LeftGrassroots @sajidjavid @RCGPAC Surprised ................not.</t>
  </si>
  <si>
    <t>@euanstrachanorr @sportmarketing1 @sajidjavid @RCGPAC …but they’re seeking to address that with herd immunity!</t>
  </si>
  <si>
    <t>@euanstrachanorr @sportmarketing1 @sajidjavid @RCGPAC …not just General Practice. This government is totally out of touch with how most of the country survive!</t>
  </si>
  <si>
    <t>@euanstrachanorr @doctor_oxford @sajidjavid @RCGPAC Moved Heaven and _xD83C__xDF0F_ not to be there</t>
  </si>
  <si>
    <t>@euanstrachanorr @doctor_oxford @sajidjavid @RCGPAC They only deal in slogans. No substance to what the Government say and do.</t>
  </si>
  <si>
    <t>Javid could have attended face to face, or even remotely. He has not. GP is open, it always has been. What is clear is the governments door is closed, and they have no interest in listening to the concerns and needs of General Practice from those who know best - on the ground GPs</t>
  </si>
  <si>
    <t>twitter.com</t>
  </si>
  <si>
    <t>nastyparty</t>
  </si>
  <si>
    <t>saveournhs</t>
  </si>
  <si>
    <t>toriesdontcare</t>
  </si>
  <si>
    <t>20:10:57</t>
  </si>
  <si>
    <t>09:24:05</t>
  </si>
  <si>
    <t>02:00:24</t>
  </si>
  <si>
    <t>21:18:38</t>
  </si>
  <si>
    <t>12:05:44</t>
  </si>
  <si>
    <t>14:10:10</t>
  </si>
  <si>
    <t>10:26:07</t>
  </si>
  <si>
    <t>15:04:02</t>
  </si>
  <si>
    <t>09:16:12</t>
  </si>
  <si>
    <t>10:57:35</t>
  </si>
  <si>
    <t>10:07:51</t>
  </si>
  <si>
    <t>12:06:49</t>
  </si>
  <si>
    <t>11:39:00</t>
  </si>
  <si>
    <t>06:03:57</t>
  </si>
  <si>
    <t>06:02:48</t>
  </si>
  <si>
    <t>12:36:11</t>
  </si>
  <si>
    <t>11:00:35</t>
  </si>
  <si>
    <t>12:54:33</t>
  </si>
  <si>
    <t>10:05:37</t>
  </si>
  <si>
    <t>09:05:45</t>
  </si>
  <si>
    <t>18:10:44</t>
  </si>
  <si>
    <t>10:18:48</t>
  </si>
  <si>
    <t>08:58:42</t>
  </si>
  <si>
    <t>21:41:33</t>
  </si>
  <si>
    <t>08:56:26</t>
  </si>
  <si>
    <t>09:02:34</t>
  </si>
  <si>
    <t>09:00:26</t>
  </si>
  <si>
    <t>09:11:46</t>
  </si>
  <si>
    <t>10:00:16</t>
  </si>
  <si>
    <t>09:02:30</t>
  </si>
  <si>
    <t>17:20:48</t>
  </si>
  <si>
    <t>16:44:11</t>
  </si>
  <si>
    <t>16:16:54</t>
  </si>
  <si>
    <t>07:40:39</t>
  </si>
  <si>
    <t>09:01:10</t>
  </si>
  <si>
    <t>08:58:53</t>
  </si>
  <si>
    <t>09:47:17</t>
  </si>
  <si>
    <t>09:46:33</t>
  </si>
  <si>
    <t>10:57:51</t>
  </si>
  <si>
    <t>08:57:59</t>
  </si>
  <si>
    <t>08:15:55</t>
  </si>
  <si>
    <t>1448743147912278018</t>
  </si>
  <si>
    <t>1448580358103080960</t>
  </si>
  <si>
    <t>1448831089301233669</t>
  </si>
  <si>
    <t>1448760181010092037</t>
  </si>
  <si>
    <t>1448621037579653124</t>
  </si>
  <si>
    <t>1448652355428179979</t>
  </si>
  <si>
    <t>1448595969822625794</t>
  </si>
  <si>
    <t>1448665909560631303</t>
  </si>
  <si>
    <t>1448578376013320194</t>
  </si>
  <si>
    <t>1448603889482280960</t>
  </si>
  <si>
    <t>1448591371841966086</t>
  </si>
  <si>
    <t>1448621312558211081</t>
  </si>
  <si>
    <t>1448614309597175814</t>
  </si>
  <si>
    <t>1448892382175453188</t>
  </si>
  <si>
    <t>1448892092068028448</t>
  </si>
  <si>
    <t>1448628700254191616</t>
  </si>
  <si>
    <t>1448604644914122763</t>
  </si>
  <si>
    <t>1448633325682315269</t>
  </si>
  <si>
    <t>1448590812418293762</t>
  </si>
  <si>
    <t>1448575746755137537</t>
  </si>
  <si>
    <t>1448712895769026560</t>
  </si>
  <si>
    <t>1448594129273954306</t>
  </si>
  <si>
    <t>1448573971453128704</t>
  </si>
  <si>
    <t>1448765950170439682</t>
  </si>
  <si>
    <t>1448573401111666688</t>
  </si>
  <si>
    <t>1448574942140841986</t>
  </si>
  <si>
    <t>1448574405790023680</t>
  </si>
  <si>
    <t>1448577258353004545</t>
  </si>
  <si>
    <t>1448589464146690051</t>
  </si>
  <si>
    <t>1448574929172054020</t>
  </si>
  <si>
    <t>1448700330422767622</t>
  </si>
  <si>
    <t>1448691112860950540</t>
  </si>
  <si>
    <t>1448684246286077952</t>
  </si>
  <si>
    <t>1448916717586075650</t>
  </si>
  <si>
    <t>1448574593430691843</t>
  </si>
  <si>
    <t>1448574018962051074</t>
  </si>
  <si>
    <t>1448586195282366464</t>
  </si>
  <si>
    <t>1448586014302347268</t>
  </si>
  <si>
    <t>1448603955089584130</t>
  </si>
  <si>
    <t>1448573789709668354</t>
  </si>
  <si>
    <t>1448563204653735937</t>
  </si>
  <si>
    <t>1448561913630236674</t>
  </si>
  <si>
    <t>2287071415</t>
  </si>
  <si>
    <t>489682036</t>
  </si>
  <si>
    <t>920686272464785408</t>
  </si>
  <si>
    <t>3347476660</t>
  </si>
  <si>
    <t>19483392</t>
  </si>
  <si>
    <t>511953478</t>
  </si>
  <si>
    <t>453325229</t>
  </si>
  <si>
    <t>en</t>
  </si>
  <si>
    <t>und</t>
  </si>
  <si>
    <t/>
  </si>
  <si>
    <t>1448827515565486092</t>
  </si>
  <si>
    <t>1448577058943143937</t>
  </si>
  <si>
    <t>Twitter Web App</t>
  </si>
  <si>
    <t>Twitter for iPhone</t>
  </si>
  <si>
    <t>Twitter for Android</t>
  </si>
  <si>
    <t>Twitter for iPad</t>
  </si>
  <si>
    <t>-2.2430171,51.4100624 
-2.1723001,51.4100624 
-2.1723001,51.4413875 
-2.2430171,51.4413875</t>
  </si>
  <si>
    <t>-2.284883,52.357583 
-2.216515,52.357583 
-2.216515,52.404553 
-2.284883,52.404553</t>
  </si>
  <si>
    <t>-3.008791,53.36489 
-2.822063,53.36489 
-2.822063,53.474867 
-3.008791,53.474867</t>
  </si>
  <si>
    <t>United Kingdom</t>
  </si>
  <si>
    <t>GB</t>
  </si>
  <si>
    <t>Corsham, England</t>
  </si>
  <si>
    <t>Kidderminster, England</t>
  </si>
  <si>
    <t>Liverpool, England</t>
  </si>
  <si>
    <t>6798d62af4d977a5</t>
  </si>
  <si>
    <t>3f81e4ab7f76195f</t>
  </si>
  <si>
    <t>151b9e91272233d1</t>
  </si>
  <si>
    <t>Corsham</t>
  </si>
  <si>
    <t>Kidderminster</t>
  </si>
  <si>
    <t>Liverpool</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</si>
  <si>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</si>
  <si>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</si>
  <si>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</si>
  <si>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</si>
  <si>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</si>
  <si>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</si>
  <si>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</si>
  <si>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</si>
  <si>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</si>
  <si>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</si>
  <si>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</si>
  <si>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</si>
  <si>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</si>
  <si>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</si>
  <si>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</si>
  <si>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</si>
  <si>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</si>
  <si>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</si>
  <si>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</si>
  <si>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</si>
  <si>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</si>
  <si>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</si>
  <si>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</si>
  <si>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Geoff McGivern</t>
  </si>
  <si>
    <t>RCGP Annual Primary Care Conference</t>
  </si>
  <si>
    <t>Sajid Javid</t>
  </si>
  <si>
    <t>Euan Strachan-Orr</t>
  </si>
  <si>
    <t>Rob Stewart</t>
  </si>
  <si>
    <t>Rachel Clarke</t>
  </si>
  <si>
    <t>Janet Borland</t>
  </si>
  <si>
    <t>James_xD83C__xDFF4__xDB40__xDC67__xDB40__xDC62__xDB40__xDC73__xDB40__xDC63__xDB40__xDC74__xDB40__xDC7F_ independence for Scotland</t>
  </si>
  <si>
    <t>Seb Pearn 〓〓</t>
  </si>
  <si>
    <t>Alister Russell_xD83C__xDFF4__xDB40__xDC67__xDB40__xDC62__xDB40__xDC73__xDB40__xDC63__xDB40__xDC74__xDB40__xDC7F__xD83C__xDDEA__xD83C__xDDFA_</t>
  </si>
  <si>
    <t>Louisa Passfield</t>
  </si>
  <si>
    <t>CWEF</t>
  </si>
  <si>
    <t>Delphine Houlton _xD83D__xDC99_</t>
  </si>
  <si>
    <t>Avril Washington _xD83D__xDC99_</t>
  </si>
  <si>
    <t>DH _xD83D__xDC99__xD83D__xDC69_‍_xD83E__xDDB0_</t>
  </si>
  <si>
    <t>Dame Averil Cameron</t>
  </si>
  <si>
    <t>shaun</t>
  </si>
  <si>
    <t>IndySilverfox</t>
  </si>
  <si>
    <t>bridget Craig</t>
  </si>
  <si>
    <t>Gary</t>
  </si>
  <si>
    <t>Teresa</t>
  </si>
  <si>
    <t>Sarah Pegg_xD83C__xDFF4__xDB40__xDC67__xDB40__xDC62__xDB40__xDC73__xDB40__xDC63__xDB40__xDC74__xDB40__xDC7F_#ScottishIndependence</t>
  </si>
  <si>
    <t>Russell England</t>
  </si>
  <si>
    <t>Chris Gough</t>
  </si>
  <si>
    <t>DrVic</t>
  </si>
  <si>
    <t>Julie Moore _xD83D__xDC99_ #NeverTrustATory #FBPPR</t>
  </si>
  <si>
    <t>Tonksey. #Antifa #WOKE #FBPE #WearAMask</t>
  </si>
  <si>
    <t>No, I'm not embracing brexit #FBPE #FBPA_xD83D__xDCAB__xD83D__xDC99_</t>
  </si>
  <si>
    <t>Clare &amp; the Cats #FBPE #JohnsonVariant</t>
  </si>
  <si>
    <t>Crumblecake _xD83D__xDC99_</t>
  </si>
  <si>
    <t>Rob Hughes</t>
  </si>
  <si>
    <t>Jackie Barningham</t>
  </si>
  <si>
    <t>interestedbystander, FY37+, #ProEU</t>
  </si>
  <si>
    <t>Fred Bloggs</t>
  </si>
  <si>
    <t>ElisabethRo</t>
  </si>
  <si>
    <t>George Hotchkiss _xD83D__xDCDA__xD83D__xDE4F__xD83D__xDC15_‍_xD83E__xDDBA__xD83E__xDD43__xD83C__xDDEF__xD83C__xDDF2__xD83C__xDFF4__xDB40__xDC67__xDB40__xDC62__xDB40__xDC73__xDB40__xDC63__xDB40__xDC74__xDB40__xDC7F_</t>
  </si>
  <si>
    <t>Barbara</t>
  </si>
  <si>
    <t>Julie Johnson</t>
  </si>
  <si>
    <t>John E +</t>
  </si>
  <si>
    <t>Bill P _xD83D__xDC99_NHS</t>
  </si>
  <si>
    <t>Sean McDonald</t>
  </si>
  <si>
    <t>Bill Acres</t>
  </si>
  <si>
    <t>Julie</t>
  </si>
  <si>
    <t>Michael Kelly</t>
  </si>
  <si>
    <t>‘Left Grassroots</t>
  </si>
  <si>
    <t>nigel waugh_xD83D__xDC99_</t>
  </si>
  <si>
    <t>alan seymour</t>
  </si>
  <si>
    <t>carol rafferty</t>
  </si>
  <si>
    <t>Paul Bayliss</t>
  </si>
  <si>
    <t>Andrew Ross</t>
  </si>
  <si>
    <t>878291073226993664</t>
  </si>
  <si>
    <t>4724393176</t>
  </si>
  <si>
    <t>20052899</t>
  </si>
  <si>
    <t>1147183038641651712</t>
  </si>
  <si>
    <t>3383159573</t>
  </si>
  <si>
    <t>1387052624285880329</t>
  </si>
  <si>
    <t>15122688</t>
  </si>
  <si>
    <t>2763933533</t>
  </si>
  <si>
    <t>1070829653722611713</t>
  </si>
  <si>
    <t>38233550</t>
  </si>
  <si>
    <t>520590699</t>
  </si>
  <si>
    <t>1530767479</t>
  </si>
  <si>
    <t>499960875</t>
  </si>
  <si>
    <t>2727387410</t>
  </si>
  <si>
    <t>1356245326143901697</t>
  </si>
  <si>
    <t>367000939</t>
  </si>
  <si>
    <t>39831495</t>
  </si>
  <si>
    <t>2171907357</t>
  </si>
  <si>
    <t>157299449</t>
  </si>
  <si>
    <t>1197939911472619523</t>
  </si>
  <si>
    <t>352182320</t>
  </si>
  <si>
    <t>1171010757275918339</t>
  </si>
  <si>
    <t>83664223</t>
  </si>
  <si>
    <t>251692338</t>
  </si>
  <si>
    <t>972616425084018688</t>
  </si>
  <si>
    <t>308650615</t>
  </si>
  <si>
    <t>210422459</t>
  </si>
  <si>
    <t>1245069205298446337</t>
  </si>
  <si>
    <t>1348028121233154053</t>
  </si>
  <si>
    <t>103015030</t>
  </si>
  <si>
    <t>1371082042339946501</t>
  </si>
  <si>
    <t>2452853334</t>
  </si>
  <si>
    <t>293139384</t>
  </si>
  <si>
    <t>965945523499950081</t>
  </si>
  <si>
    <t>789911318128103424</t>
  </si>
  <si>
    <t>1154956105</t>
  </si>
  <si>
    <t>78647466</t>
  </si>
  <si>
    <t>1551547482</t>
  </si>
  <si>
    <t>424968929</t>
  </si>
  <si>
    <t>283706081</t>
  </si>
  <si>
    <t>27426996</t>
  </si>
  <si>
    <t>450781910</t>
  </si>
  <si>
    <t>1061392458</t>
  </si>
  <si>
    <t>935079461300719616</t>
  </si>
  <si>
    <t>Uncle Geoff in 'Back'(All4). Ford Prefect in 'The Hitchhiker's Guide to the Galaxy'(BBCSounds). Vince's Dad. Agent: @emmaengers. Voice agent: @AntheaRepresent.</t>
  </si>
  <si>
    <t>Latest updates on the RCGP Annual Primary Care Conference &amp; Exhibition - for GPs and the primary care team. Join us in Liverpool 14-15 October 2021 #RCGPAC</t>
  </si>
  <si>
    <t>Member of Parliament for Bromsgrove &amp; Secretary of State for Health and Social Care</t>
  </si>
  <si>
    <t>29, GP Registrar in Liverpool. @theBMA GP Trainees Committee Chair. Lanarkshire born &amp; bred, @UofGlasgow trained. ⚽️ - @Everton STH. All views my own</t>
  </si>
  <si>
    <t>Writer/art/music/techno enthusiast. Ever hopeful that greed will fade to grey.
Book available at https://t.co/DRMPmvBvbi
#AddIct</t>
  </si>
  <si>
    <t>Palliative care doctor _xD83D__xDC69__xD83C__xDFFB_‍⚕️ Writer _xD83D__xDCDA_ Loves our NHS _xD83D__xDC99_ Rep: @AitkenAlexander _xD83D__xDCDD_ Pub: @LittleBrownUK _xD83E__xDE7A_ Books: Your Life in My Hands, Dear Life, Breathtaking</t>
  </si>
  <si>
    <t>Mum to grown up ? twins &amp; Arnie the dog ! Lost my cared for after 33 years. His wings were ready, my heart was not _xD83D__xDC94__xD83C__xDF39_xx</t>
  </si>
  <si>
    <t>retired after 35 years working in third sector - supports independence for Scotland - increasingly disgusted by Tories - retweets not necessarily an endorsement</t>
  </si>
  <si>
    <t>The struggle is real. 
Photography. Books. Films. Standing stones. Philology. History. Politics. 80s music. Travel. 
♉_xD83D__xDD36__xD83D__xDCF7__xD83D__xDCDA_☕_xD83C__xDFE5__xD83C__xDF08__xD83E__xDDAE__xD83C__xDFCA__xD83D__xDEB6__xD83D__xDC99_
〓〓Cornwall/Kernow〓〓</t>
  </si>
  <si>
    <t>Just muddling through and coaching those that endure. Proud to be Scotland's only TriSutto Coach</t>
  </si>
  <si>
    <t>ACT in a fantastic independent community pharmacy, married with furkids. Main interests - reading, current affairs, animal welfare, photography.</t>
  </si>
  <si>
    <t>Passionate about people and PR. Raising awareness of CSM with https://t.co/zV9nHbAfNx. Freelance PR. Seeking truth at all times. Wannabe poet.</t>
  </si>
  <si>
    <t>⚖️justice for all-supporter of women/children/underdog-NO rude tweets-British,Northern Irish &amp; European. Former NHS nurse/HV &amp; big NHS supporter_xD83D__xDC99_</t>
  </si>
  <si>
    <t>Late antiquity and Byzantium. From Leek, FirstGen, mum and granny. Opinions my own.</t>
  </si>
  <si>
    <t>Deeply disgusted by WM Govt &amp; its media. Confident for iScotland. Both Votes Yes. Saor Alba</t>
  </si>
  <si>
    <t>Rejoiner NHS supporter_xD83D__xDC99_rejoined twitter after account disappeared !#Johnson out</t>
  </si>
  <si>
    <t>The only thing necessary for the triumph of evil, is for good men to do nothing.           St. Helens RL..     Azzurri..    Ferrari..</t>
  </si>
  <si>
    <t>Liverpool supporting cat loving GP.</t>
  </si>
  <si>
    <t>A recent escapee from East Sussex to Edinburgh.  Proud to call myself an English Scot.</t>
  </si>
  <si>
    <t>Moodle / Totara / PHP developer
Love travelling (41 countries so far), silly jokes and Marmite
Brummie, Remoaner, bit of a nomad, fact finder
Wear a mask</t>
  </si>
  <si>
    <t>ancient former copywriter, old lefty, hardline EU fan, oblique strategist, Stade Toulousain supporter, not drawing or painting enough, li'l ol' wine-drinking me</t>
  </si>
  <si>
    <t>UK Muslim Doctor, interests Diabetes and Primary Care Management.  ❤ LFC . Likes and RT's are not always endorsements...but food for thought</t>
  </si>
  <si>
    <t>_xD83C__xDF0A_Nomad, now in lovely Dorset, Ex-military, Ex-Barra'boy, Ex-pletives _xD83D__xDC99_#Palestine. #FBPE #FollowBack #FBR #FBTF, #FBPPR #NHS, #ClimateCrisis, #BLM, no DMs</t>
  </si>
  <si>
    <t>Woman/Mother/European
Learning to die with covid in _xD83C__xDDEC__xD83C__xDDE7_ 
#RejoinEU #MasksInSchools #ToriesOut #BrexitHasFailed #UnelectedLordFrost  #BrexitKills _xD83C__xDDE6__xD83C__xDDF4__xD83C__xDDF5__xD83C__xDDF9__xD83C__xDF0E__xD83C__xDF40_</t>
  </si>
  <si>
    <t>I was an EU citizen. I live in Fort William, which is great with the mountains &amp; sea not for demos, I make resin jewellery. https://t.co/SQw2oXuvHW</t>
  </si>
  <si>
    <t>Northumbrian at heart while living doon sooth I'm a masochistic toon fan... forever the delusional optimist</t>
  </si>
  <si>
    <t>Movie loving, health working, runner</t>
  </si>
  <si>
    <t>semi retired Head of English now working with alternative provision students. Love my job but hate political games by Govt. Addicted to F1 and Team LH44</t>
  </si>
  <si>
    <t>_xD83C__xDDEA__xD83C__xDDFA_#NotMyPM _xD83D__xDE37_Gives a Monkey’s Dad Husband lover of life Brummie#ProEU #FBPA  #FBPPR _xD83D__xDC99_C-19 worker likes retweet’s no endorsement Hates Tories #JohnsonOut</t>
  </si>
  <si>
    <t>Old and Crabby</t>
  </si>
  <si>
    <t>Danmark _xD83C__xDDE9__xD83C__xDDF0_</t>
  </si>
  <si>
    <t>Dad of 2 great sons, married,retired from FE. Bit lefty (getting more so). Foodie. Dog lover. Looking to be open to a range of ideas. History curious. He.</t>
  </si>
  <si>
    <t>South Londoner/Socialist not a Starmer supporter blocked by Tom Watson Therese Coffey Alastair Stewart &amp; Kirstie Allsopp no DM's</t>
  </si>
  <si>
    <t>Book lover. Retired librarian, European, Wife,Mum,Nan._xD83D__xDC99_</t>
  </si>
  <si>
    <t>Now a fully retired care worker, Love photography, animals, wanting equality for all. _xD83C__xDDE8__xD83C__xDDEE_  _xD83C__xDFF4__xDB40__xDC67__xDB40__xDC62__xDB40__xDC73__xDB40__xDC63__xDB40__xDC74__xDB40__xDC7F_</t>
  </si>
  <si>
    <t>Every day is a school day. People matter most. Incite insight.... INFJ. Ex Labour Member..until a change of lead
YNWA  #GTTO. 4DayWeekCampaign.
#PeaceandJustice</t>
  </si>
  <si>
    <t>Supply chain consultant, project manager, lecturer and trainer, fanatical Saints fan, canal boater, genial genealogist, tree lover, husband and parent.</t>
  </si>
  <si>
    <t>Leicester City Supporter.
Love _xD83D__xDC31_ &amp; _xD83D__xDC15_ &amp; _xD83C__xDF77_
 _xD83D__xDC99__xD83D__xDC99__xD83D__xDC99__xD83D__xDC99__xD83D__xDC99__xD83D__xDC99_</t>
  </si>
  <si>
    <t>A polymath...... I do lots of sums but without always getting the right answer. Leftie, eco concerned retired Grumpy grandad.</t>
  </si>
  <si>
    <t>Democratic Socialism, Anti Austerity, Green New Deal, Workers Rights, Human Rights, International Solidarity + Giving You a Voice ✊️_xD83C__xDF39_</t>
  </si>
  <si>
    <t>#JohnsonOut</t>
  </si>
  <si>
    <t>University Lecturer Consultant in Sports Marketing -Conference/Social Media @FOSConf MCIPR- Liverpool Supporter-Future of Sport Radio host #Remainer #Author ❤EU</t>
  </si>
  <si>
    <t>CEO Dentherapy Ltd / Dental Hygienist /Toothboost Oral Mist</t>
  </si>
  <si>
    <t>Love Betting on Football and other sports. Mostly Football though!! Kidderminster Harriers Supporter. Retweets doesn't mean agreement necessarily.</t>
  </si>
  <si>
    <t>Hello.</t>
  </si>
  <si>
    <t>London, England</t>
  </si>
  <si>
    <t>Bromsgrove</t>
  </si>
  <si>
    <t>The NHS (VMO)</t>
  </si>
  <si>
    <t>The town where Boris IS MP _xD83D__xDE22_</t>
  </si>
  <si>
    <t>Central Scotland</t>
  </si>
  <si>
    <t xml:space="preserve">Camborne </t>
  </si>
  <si>
    <t>Edinburghish, Scotland</t>
  </si>
  <si>
    <t>South Wales, expat Cornish</t>
  </si>
  <si>
    <t>Tunbridge Wells UK</t>
  </si>
  <si>
    <t>Glasgow, Scotland</t>
  </si>
  <si>
    <t>South East, England</t>
  </si>
  <si>
    <t>Liverpool.   U.K.</t>
  </si>
  <si>
    <t>Telford, England</t>
  </si>
  <si>
    <t>Edinburgh, Scotland</t>
  </si>
  <si>
    <t>Worcester, England</t>
  </si>
  <si>
    <t>Toulouse, France</t>
  </si>
  <si>
    <t>Lebanon,Singas,WI,Fr,D,Turkey</t>
  </si>
  <si>
    <t>Wales, United Kingdom</t>
  </si>
  <si>
    <t>Fort William</t>
  </si>
  <si>
    <t xml:space="preserve">Worcestershire </t>
  </si>
  <si>
    <t>Scotland, United Kingdom</t>
  </si>
  <si>
    <t>Cheshire,England</t>
  </si>
  <si>
    <t>North West, England</t>
  </si>
  <si>
    <t>Warwickshire, UK</t>
  </si>
  <si>
    <t>Salford, United Kingdom</t>
  </si>
  <si>
    <t>UK</t>
  </si>
  <si>
    <t>Cambridge, England</t>
  </si>
  <si>
    <t>Hither and Yon.</t>
  </si>
  <si>
    <t>Open Twitter Page for This Person</t>
  </si>
  <si>
    <t xml:space="preserve">geoff_mcgivern
</t>
  </si>
  <si>
    <t xml:space="preserve">rcgpac
</t>
  </si>
  <si>
    <t xml:space="preserve">sajidjavid
</t>
  </si>
  <si>
    <t>euanstrachanorr
Javid could have attended face
to face, or even remotely. He has
not. GP is open, it always has
been. What is clear is the governments
door is closed, and they have no
interest in listening to the concerns
and needs of General Practice from
those who know best - on the ground
GPs</t>
  </si>
  <si>
    <t>robstewauthor
@weesnowie @arniesma @euanstrachanorr
@doctor_oxford @sajidjavid @RCGPAC
Like Sunak</t>
  </si>
  <si>
    <t xml:space="preserve">doctor_oxford
</t>
  </si>
  <si>
    <t>arniesma
@euanstrachanorr @doctor_oxford
@sajidjavid @RCGPAC Running scared
?</t>
  </si>
  <si>
    <t>weesnowie
@arniesma @euanstrachanorr @doctor_oxford
@sajidjavid @RCGPAC Or simply disinterested
in GPs. I guess he doesn’t care
a jot. He is a banker. A money
man. No interest in medicine or
care. Until he can sell them off.</t>
  </si>
  <si>
    <t>pearnsr
@euanstrachanorr @sajidjavid @RCGPAC
https://t.co/gwa1TYWmJK</t>
  </si>
  <si>
    <t>alisterrussell
@euanstrachanorr @sajidjavid @RCGPAC
It's a deliberate insult.</t>
  </si>
  <si>
    <t>louisapassfield
@euanstrachanorr @sajidjavid @RCGPAC
Or running scared as he knows what
reception he may get.</t>
  </si>
  <si>
    <t>cwef13
@euanstrachanorr @doctor_oxford
@sajidjavid @RCGPAC We are governed
by a bunch of ostriches</t>
  </si>
  <si>
    <t>dodlink
@euanstrachanorr @sajidjavid @RCGPAC
GP sees and cares about people
who have health issues often worsened
by social conditions. @sajidjavid
and co see numbers not names. Looking
for opportunities to monetise not
improve lives. #nastyparty</t>
  </si>
  <si>
    <t>avriljw
@daphneh236 @euanstrachanorr @doctor_oxford
@sajidjavid @RCGPAC He knows! It's
just one part of the ongoing strategy
to undermine the NHS and soften
the public up for more overt privatisation
(it's going on my stealth right
now). Defund Demoralise Denigrate
Denationalise It's easy to see
if you open your eyes. #SaveOurNHS</t>
  </si>
  <si>
    <t>daphneh236
@euanstrachanorr @doctor_oxford
@sajidjavid @RCGPAC surely health
secretary has missed an opportunity
to find out what the issues are
in healthcare ?-surely he should
at least listen before criticising
those who actually deliver healthcare
in a pandemic in the winter - truth
is HS didn't want to hear it or
change his NHS cuts plan</t>
  </si>
  <si>
    <t>19averil
@euanstrachanorr @sajidjavid @RCGPAC
Bad sign that he has gone on the
attack rather than engaging</t>
  </si>
  <si>
    <t>ancienthiker
@euanstrachanorr @doctor_oxford
@sajidjavid @RCGPAC They just don’t
give a dam</t>
  </si>
  <si>
    <t>indysilverfox
@euanstrachanorr @bridgetCraig17
@sajidjavid @RCGPAC Out of touch
is too kind This is anti-democratic,
scrutiny-evading, corrupt disregard
for actually doing the job</t>
  </si>
  <si>
    <t>bridgetcraig17
@euanstrachanorr @Tappers1231 @sajidjavid
@RCGPAC Frightened by the prospect
of booing</t>
  </si>
  <si>
    <t>gary4463150386
@euanstrachanorr @doctor_oxford
@sajidjavid @RCGPAC #ToriesDontCare</t>
  </si>
  <si>
    <t>tess1959
@sarahpegg9 @euanstrachanorr @doctor_oxford
@sajidjavid @RCGPAC In which he
was really very poor</t>
  </si>
  <si>
    <t>sarahpegg9
@euanstrachanorr @doctor_oxford
@sajidjavid @RCGPAC But he did
have time to do the media rounds
this morning!</t>
  </si>
  <si>
    <t>russellengland
@euanstrachanorr @clickoncopy @sajidjavid
@RCGPAC Funny how he tells GPs
to have more face to face appointments
on the same day he cancels his
face to face appointment with GPs</t>
  </si>
  <si>
    <t xml:space="preserve">clickoncopy
</t>
  </si>
  <si>
    <t>viclfc
@euanstrachanorr @sajidjavid @RCGPAC
They follow the religion of Mammon.
They care not for the public...they
want to commodify health... They
use the media to convince the public..who
blame us!! Whilst our leaders protect
their jobs in silence...they should
resign en masse and become heroes
...</t>
  </si>
  <si>
    <t>juliemo46777750
@euanstrachanorr @JohnTonks @sajidjavid
@RCGPAC He admitted this morning
he hasn't even read the Covid report</t>
  </si>
  <si>
    <t xml:space="preserve">johntonks
</t>
  </si>
  <si>
    <t>margaridafawke
@euanstrachanorr @MoonStoneClare
@sajidjavid @RCGPAC They're all
afraid of any F2F, that's what
happens when you're guilty as hell.</t>
  </si>
  <si>
    <t xml:space="preserve">moonstoneclare
</t>
  </si>
  <si>
    <t>ambleexile
@euanstrachanorr @doctor_oxford
@sajidjavid @RCGPAC Expected tactical
move part of “privatisation by
back door” strategy. Javid sought
Harvard advice on how to fix our
NHS it’s another brick on the Lansley
foundations opening up market competition
for health service providers… it’ll
gain momentum as long as Tories
rule_xD83E__xDD26_‍♂️</t>
  </si>
  <si>
    <t>mrsmoviefan
@euanstrachanorr @sajidjavid @RCGPAC
Theyre not ‘out of touch’ with
the crisis. They are deliberately
fuelling the crisis.</t>
  </si>
  <si>
    <t>robhughes4
@euanstrachanorr @sajidjavid @RCGPAC
_xD83D__xDC13__xD83D__xDC13__xD83D__xDC13__xD83D__xDC13__xD83D__xDC13__xD83D__xDC13__xD83D__xDC13__xD83D__xDC13__xD83D__xDC13__xD83D__xDC13__xD83D__xDC13__xD83D__xDC13__xD83D__xDC13__xD83D__xDC13__xD83D__xDC13__xD83D__xDC13__xD83D__xDC13_
_xD83D__xDC13_</t>
  </si>
  <si>
    <t>jakbar1
@euanstrachanorr @interestedbys10
@sajidjavid @RCGPAC Did he give
a reason for cancelling? Shocking</t>
  </si>
  <si>
    <t xml:space="preserve">interestedbys10
</t>
  </si>
  <si>
    <t>donaldfart8
@euanstrachanorr @sajidjavid @RCGPAC
They’re not ‘out of touch’. They
caused it deliberately. Their aim,
since the NHS was established,
has been to drive it down and sell
it to their friends (for friends
read ‘anyone with a big bung ready’)</t>
  </si>
  <si>
    <t>libiroberts
@euanstrachanorr @doctor_oxford
@sajidjavid @RCGPAC Not just general
practice tbh</t>
  </si>
  <si>
    <t>georgehotchki14
@euanstrachanorr @BarbaraSutton15
@sajidjavid @RCGPAC Not out of
touch with the crisis, fuelling
it encouraging it and furthering
privatisation through it.</t>
  </si>
  <si>
    <t xml:space="preserve">barbarasutton15
</t>
  </si>
  <si>
    <t>juliejohnson7
@euanstrachanorr @sajidjavid @RCGPAC
He is afraid of hearing the truth.</t>
  </si>
  <si>
    <t>john210750
@euanstrachanorr @witandwhiz @sajidjavid
@RCGPAC not out of touch this is
wilful underfunding</t>
  </si>
  <si>
    <t xml:space="preserve">witandwhiz
</t>
  </si>
  <si>
    <t>seanmcd4464
@euanstrachanorr @sajidjavid @RCGPAC
Well said</t>
  </si>
  <si>
    <t>billacres2
@euanstrachanorr @sajidjavid @RCGPAC
When you put a banker in charge
of our health service…</t>
  </si>
  <si>
    <t>lubylou64th
@euanstrachanorr @doctor_oxford
@sajidjavid @RCGPAC Always words,
but no action.</t>
  </si>
  <si>
    <t>mikek1956
@euanstrachanorr @LeftGrassroots
@sajidjavid @RCGPAC Surprised ................not.</t>
  </si>
  <si>
    <t xml:space="preserve">leftgrassroots
</t>
  </si>
  <si>
    <t>nglwaug
@euanstrachanorr @sportmarketing1
@sajidjavid @RCGPAC …not just General
Practice. This government is totally
out of touch with how most of the
country survive!</t>
  </si>
  <si>
    <t xml:space="preserve">sportmarketing1
</t>
  </si>
  <si>
    <t>raffertycarol
@euanstrachanorr @doctor_oxford
@sajidjavid @RCGPAC Moved Heaven
and _xD83C__xDF0F_ not to be there</t>
  </si>
  <si>
    <t>paulbayliss9
@euanstrachanorr @doctor_oxford
@sajidjavid @RCGPAC They only deal
in slogans. No substance to what
the Government say and do.</t>
  </si>
  <si>
    <t>captainswoop1
@euanstrachanorr @Geoff_McGivern
@sajidjavid @RCGPAC Why would you
expect anything else?</t>
  </si>
  <si>
    <t>Edge Weight</t>
  </si>
  <si>
    <t>G1</t>
  </si>
  <si>
    <t>G2</t>
  </si>
  <si>
    <t>G3</t>
  </si>
  <si>
    <t>G4</t>
  </si>
  <si>
    <t>0, 12, 96</t>
  </si>
  <si>
    <t>0, 136, 227</t>
  </si>
  <si>
    <t>0, 100, 50</t>
  </si>
  <si>
    <t>0, 176, 22</t>
  </si>
  <si>
    <t>Vertex Group</t>
  </si>
  <si>
    <t>Vertex 1 Group</t>
  </si>
  <si>
    <t>Vertex 2 Group</t>
  </si>
  <si>
    <t>Top URLs in Tweet in Entire Graph</t>
  </si>
  <si>
    <t>https://twitter.com/PlanetZuma/status/1448577058943143937</t>
  </si>
  <si>
    <t>https://twitter.com/PearnSR/status/1448827515565486092?s=20</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</si>
  <si>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</si>
  <si>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</si>
  <si>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</si>
  <si>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</si>
  <si>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</si>
  <si>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</si>
  <si>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</si>
  <si>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</si>
  <si>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</si>
  <si>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</si>
  <si>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</si>
  <si>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</si>
  <si>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</si>
  <si>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</si>
  <si>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</si>
  <si>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</si>
  <si>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</si>
  <si>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</si>
  <si>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</si>
  <si>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</si>
  <si>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</si>
  <si>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</si>
  <si>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toriesdontcare saveournhs</t>
  </si>
  <si>
    <t>Top Words in Tweet in Entire Graph</t>
  </si>
  <si>
    <t>out</t>
  </si>
  <si>
    <t>touch</t>
  </si>
  <si>
    <t>face</t>
  </si>
  <si>
    <t>health</t>
  </si>
  <si>
    <t>nhs</t>
  </si>
  <si>
    <t>gps</t>
  </si>
  <si>
    <t>Top Words in Tweet in G1</t>
  </si>
  <si>
    <t>crisis</t>
  </si>
  <si>
    <t>government</t>
  </si>
  <si>
    <t>javid</t>
  </si>
  <si>
    <t>Top Words in Tweet in G2</t>
  </si>
  <si>
    <t>surely</t>
  </si>
  <si>
    <t>healthcare</t>
  </si>
  <si>
    <t>care</t>
  </si>
  <si>
    <t>Top Words in Tweet in G3</t>
  </si>
  <si>
    <t>Top Words in Tweet in G4</t>
  </si>
  <si>
    <t>Top Words in Tweet</t>
  </si>
  <si>
    <t>sajidjavid euanstrachanorr rcgpac out touch doctor_oxford health crisis government javid</t>
  </si>
  <si>
    <t>euanstrachanorr doctor_oxford sajidjavid rcgpac surely healthcare nhs arniesma care</t>
  </si>
  <si>
    <t>face euanstrachanorr clickoncopy sajidjavid rcgpac gps</t>
  </si>
  <si>
    <t>Top Word Pairs in Tweet in Entire Graph</t>
  </si>
  <si>
    <t>sajidjavid,rcgpac</t>
  </si>
  <si>
    <t>euanstrachanorr,doctor_oxford</t>
  </si>
  <si>
    <t>doctor_oxford,sajidjavid</t>
  </si>
  <si>
    <t>euanstrachanorr,sajidjavid</t>
  </si>
  <si>
    <t>out,touch</t>
  </si>
  <si>
    <t>general,practice</t>
  </si>
  <si>
    <t>rcgpac,out</t>
  </si>
  <si>
    <t>face,face</t>
  </si>
  <si>
    <t>euanstrachanorr,sportmarketing1</t>
  </si>
  <si>
    <t>sportmarketing1,sajidjavid</t>
  </si>
  <si>
    <t>Top Word Pairs in Tweet in G1</t>
  </si>
  <si>
    <t>rcgpac,re</t>
  </si>
  <si>
    <t>Top Word Pairs in Tweet in G2</t>
  </si>
  <si>
    <t>arniesma,euanstrachanorr</t>
  </si>
  <si>
    <t>Top Word Pairs in Tweet in G3</t>
  </si>
  <si>
    <t>euanstrachanorr,clickoncopy</t>
  </si>
  <si>
    <t>clickoncopy,sajidjavid</t>
  </si>
  <si>
    <t>Top Word Pairs in Tweet in G4</t>
  </si>
  <si>
    <t>Top Word Pairs in Tweet</t>
  </si>
  <si>
    <t>sajidjavid,rcgpac  euanstrachanorr,sajidjavid  out,touch  euanstrachanorr,doctor_oxford  doctor_oxford,sajidjavid  rcgpac,out  general,practice  euanstrachanorr,sportmarketing1  sportmarketing1,sajidjavid  rcgpac,re</t>
  </si>
  <si>
    <t>euanstrachanorr,doctor_oxford  doctor_oxford,sajidjavid  sajidjavid,rcgpac  arniesma,euanstrachanorr</t>
  </si>
  <si>
    <t>euanstrachanorr,clickoncopy  clickoncopy,sajidjavid  sajidjavid,rcgpac  face,face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</si>
  <si>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</si>
  <si>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</si>
  <si>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</si>
  <si>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</si>
  <si>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</si>
  <si>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</si>
  <si>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</si>
  <si>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</si>
  <si>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</si>
  <si>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</si>
  <si>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</si>
  <si>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euanstrachanorr sarahpegg9 daphneh236 arniesma weesnowie</t>
  </si>
  <si>
    <t>Top Mentioned in Tweet</t>
  </si>
  <si>
    <t>sajidjavid rcgpac doctor_oxford sportmarketing1 leftgrassroots witandwhiz barbarasutton15 interestedbys10 moonstoneclare johntonks</t>
  </si>
  <si>
    <t>doctor_oxford sajidjavid rcgpac euanstrachanorr arniesma</t>
  </si>
  <si>
    <t>clickoncopy sajidjavid rcgpac</t>
  </si>
  <si>
    <t>geoff_mcgivern sajidjavid rcgpac</t>
  </si>
  <si>
    <t>Top Tweeters in Entire Graph</t>
  </si>
  <si>
    <t>Top Tweeters in G1</t>
  </si>
  <si>
    <t>Top Tweeters in G2</t>
  </si>
  <si>
    <t>Top Tweeters in G3</t>
  </si>
  <si>
    <t>Top Tweeters in G4</t>
  </si>
  <si>
    <t>Top Tweeters</t>
  </si>
  <si>
    <t>leftgrassroots john210750 sportmarketing1 nglwaug barbarasutton15 margaridafawke indysilverfox witandwhiz 19averil paulbayliss9</t>
  </si>
  <si>
    <t>tess1959 sarahpegg9 gary4463150386 doctor_oxford arniesma weesnowie avriljw daphneh236 raffertycarol robstewauthor</t>
  </si>
  <si>
    <t>clickoncopy russellengland</t>
  </si>
  <si>
    <t>geoff_mcgivern captainswoop1</t>
  </si>
  <si>
    <t>Top URLs in Tweet by Count</t>
  </si>
  <si>
    <t>Top URLs in Tweet by Salience</t>
  </si>
  <si>
    <t>Top Domains in Tweet by Count</t>
  </si>
  <si>
    <t>Top Domains in Tweet by Salience</t>
  </si>
  <si>
    <t>Top Hashtags in Tweet by Count</t>
  </si>
  <si>
    <t>Top Hashtags in Tweet by Salience</t>
  </si>
  <si>
    <t>Top Words in Tweet by Count</t>
  </si>
  <si>
    <t>euanstrachanorr geoff_mcgivern sajidjavid rcgpac expect anything</t>
  </si>
  <si>
    <t>face javid attended even remotely gp open always clear governments</t>
  </si>
  <si>
    <t>weesnowie arniesma euanstrachanorr doctor_oxford sajidjavid rcgpac sunak</t>
  </si>
  <si>
    <t>euanstrachanorr doctor_oxford sajidjavid rcgpac running scared</t>
  </si>
  <si>
    <t>care arniesma euanstrachanorr doctor_oxford sajidjavid rcgpac simply disinterested gps guess</t>
  </si>
  <si>
    <t>euanstrachanorr sajidjavid rcgpac</t>
  </si>
  <si>
    <t>euanstrachanorr sajidjavid rcgpac deliberate insult</t>
  </si>
  <si>
    <t>euanstrachanorr sajidjavid rcgpac running scared knows reception</t>
  </si>
  <si>
    <t>euanstrachanorr doctor_oxford sajidjavid rcgpac governed bunch ostriches</t>
  </si>
  <si>
    <t>sajidjavid euanstrachanorr rcgpac gp sees cares people health issues worsened</t>
  </si>
  <si>
    <t>daphneh236 euanstrachanorr doctor_oxford sajidjavid rcgpac knows one part ongoing strategy</t>
  </si>
  <si>
    <t>surely healthcare euanstrachanorr doctor_oxford sajidjavid rcgpac health secretary missed opportunity</t>
  </si>
  <si>
    <t>euanstrachanorr sajidjavid rcgpac bad sign gone attack engaging</t>
  </si>
  <si>
    <t>euanstrachanorr doctor_oxford sajidjavid rcgpac don t give dam</t>
  </si>
  <si>
    <t>euanstrachanorr bridgetcraig17 sajidjavid rcgpac out touch kind anti democratic scrutiny</t>
  </si>
  <si>
    <t>euanstrachanorr tappers1231 sajidjavid rcgpac frightened prospect booing</t>
  </si>
  <si>
    <t>euanstrachanorr doctor_oxford sajidjavid rcgpac #toriesdontcare</t>
  </si>
  <si>
    <t>sarahpegg9 euanstrachanorr doctor_oxford sajidjavid rcgpac really very poor</t>
  </si>
  <si>
    <t>euanstrachanorr doctor_oxford sajidjavid rcgpac time media rounds morning</t>
  </si>
  <si>
    <t>face euanstrachanorr clickoncopy sajidjavid rcgpac gps funny tells more appointments</t>
  </si>
  <si>
    <t>public euanstrachanorr sajidjavid rcgpac follow religion mammon care want commodify</t>
  </si>
  <si>
    <t>euanstrachanorr johntonks sajidjavid rcgpac admitted morning even read covid report</t>
  </si>
  <si>
    <t>euanstrachanorr moonstoneclare sajidjavid rcgpac afraid f2f happens guilty hell</t>
  </si>
  <si>
    <t>euanstrachanorr doctor_oxford sajidjavid rcgpac expected tactical move part privatisation back</t>
  </si>
  <si>
    <t>crisis euanstrachanorr sajidjavid rcgpac theyre out touch deliberately fuelling</t>
  </si>
  <si>
    <t>euanstrachanorr interestedbys10 sajidjavid rcgpac give reason cancelling shocking</t>
  </si>
  <si>
    <t>friends euanstrachanorr sajidjavid rcgpac re out touch caused deliberately aim</t>
  </si>
  <si>
    <t>euanstrachanorr doctor_oxford sajidjavid rcgpac general practice tbh</t>
  </si>
  <si>
    <t>euanstrachanorr barbarasutton15 sajidjavid rcgpac out touch crisis fuelling encouraging furthering</t>
  </si>
  <si>
    <t>euanstrachanorr sajidjavid rcgpac afraid hearing truth</t>
  </si>
  <si>
    <t>euanstrachanorr witandwhiz sajidjavid rcgpac out touch wilful underfunding</t>
  </si>
  <si>
    <t>euanstrachanorr sajidjavid rcgpac well</t>
  </si>
  <si>
    <t>euanstrachanorr sajidjavid rcgpac put banker charge health service</t>
  </si>
  <si>
    <t>euanstrachanorr doctor_oxford sajidjavid rcgpac always words action</t>
  </si>
  <si>
    <t>euanstrachanorr leftgrassroots sajidjavid rcgpac surprised</t>
  </si>
  <si>
    <t>euanstrachanorr sportmarketing1 sajidjavid rcgpac general practice government totally out touch</t>
  </si>
  <si>
    <t>euanstrachanorr doctor_oxford sajidjavid rcgpac moved heaven</t>
  </si>
  <si>
    <t>euanstrachanorr doctor_oxford sajidjavid rcgpac deal slogans substance government</t>
  </si>
  <si>
    <t>Top Words in Tweet by Salience</t>
  </si>
  <si>
    <t>face gps funny tells more appointments same day cancels appointment</t>
  </si>
  <si>
    <t>general practice government totally out touch country survive re seeking</t>
  </si>
  <si>
    <t>Top Word Pairs in Tweet by Count</t>
  </si>
  <si>
    <t>euanstrachanorr,geoff_mcgivern  geoff_mcgivern,sajidjavid  sajidjavid,rcgpac  rcgpac,expect  expect,anything</t>
  </si>
  <si>
    <t>javid,attended  attended,face  face,face  face,even  even,remotely  remotely,gp  gp,open  open,always  always,clear  clear,governments</t>
  </si>
  <si>
    <t>weesnowie,arniesma  arniesma,euanstrachanorr  euanstrachanorr,doctor_oxford  doctor_oxford,sajidjavid  sajidjavid,rcgpac  rcgpac,sunak</t>
  </si>
  <si>
    <t>euanstrachanorr,doctor_oxford  doctor_oxford,sajidjavid  sajidjavid,rcgpac  rcgpac,running  running,scared</t>
  </si>
  <si>
    <t>arniesma,euanstrachanorr  euanstrachanorr,doctor_oxford  doctor_oxford,sajidjavid  sajidjavid,rcgpac  rcgpac,simply  simply,disinterested  disinterested,gps  gps,guess  guess,doesn  doesn,t</t>
  </si>
  <si>
    <t>euanstrachanorr,sajidjavid  sajidjavid,rcgpac</t>
  </si>
  <si>
    <t>euanstrachanorr,sajidjavid  sajidjavid,rcgpac  rcgpac,deliberate  deliberate,insult</t>
  </si>
  <si>
    <t>euanstrachanorr,sajidjavid  sajidjavid,rcgpac  rcgpac,running  running,scared  scared,knows  knows,reception</t>
  </si>
  <si>
    <t>euanstrachanorr,doctor_oxford  doctor_oxford,sajidjavid  sajidjavid,rcgpac  rcgpac,governed  governed,bunch  bunch,ostriches</t>
  </si>
  <si>
    <t>euanstrachanorr,sajidjavid  sajidjavid,rcgpac  rcgpac,gp  gp,sees  sees,cares  cares,people  people,health  health,issues  issues,worsened  worsened,social</t>
  </si>
  <si>
    <t>daphneh236,euanstrachanorr  euanstrachanorr,doctor_oxford  doctor_oxford,sajidjavid  sajidjavid,rcgpac  rcgpac,knows  knows,one  one,part  part,ongoing  ongoing,strategy  strategy,undermine</t>
  </si>
  <si>
    <t>euanstrachanorr,doctor_oxford  doctor_oxford,sajidjavid  sajidjavid,rcgpac  rcgpac,surely  surely,health  health,secretary  secretary,missed  missed,opportunity  opportunity,find  find,out</t>
  </si>
  <si>
    <t>euanstrachanorr,sajidjavid  sajidjavid,rcgpac  rcgpac,bad  bad,sign  sign,gone  gone,attack  attack,engaging</t>
  </si>
  <si>
    <t>euanstrachanorr,doctor_oxford  doctor_oxford,sajidjavid  sajidjavid,rcgpac  rcgpac,don  don,t  t,give  give,dam</t>
  </si>
  <si>
    <t>euanstrachanorr,bridgetcraig17  bridgetcraig17,sajidjavid  sajidjavid,rcgpac  rcgpac,out  out,touch  touch,kind  kind,anti  anti,democratic  democratic,scrutiny  scrutiny,evading</t>
  </si>
  <si>
    <t>euanstrachanorr,tappers1231  tappers1231,sajidjavid  sajidjavid,rcgpac  rcgpac,frightened  frightened,prospect  prospect,booing</t>
  </si>
  <si>
    <t>euanstrachanorr,doctor_oxford  doctor_oxford,sajidjavid  sajidjavid,rcgpac  rcgpac,#toriesdontcare</t>
  </si>
  <si>
    <t>sarahpegg9,euanstrachanorr  euanstrachanorr,doctor_oxford  doctor_oxford,sajidjavid  sajidjavid,rcgpac  rcgpac,really  really,very  very,poor</t>
  </si>
  <si>
    <t>euanstrachanorr,doctor_oxford  doctor_oxford,sajidjavid  sajidjavid,rcgpac  rcgpac,time  time,media  media,rounds  rounds,morning</t>
  </si>
  <si>
    <t>euanstrachanorr,clickoncopy  clickoncopy,sajidjavid  sajidjavid,rcgpac  face,face  rcgpac,funny  funny,tells  tells,gps  gps,more  more,face  face,appointments</t>
  </si>
  <si>
    <t>euanstrachanorr,sajidjavid  sajidjavid,rcgpac  rcgpac,follow  follow,religion  religion,mammon  mammon,care  care,public  public,want  want,commodify  commodify,health</t>
  </si>
  <si>
    <t>euanstrachanorr,johntonks  johntonks,sajidjavid  sajidjavid,rcgpac  rcgpac,admitted  admitted,morning  morning,even  even,read  read,covid  covid,report</t>
  </si>
  <si>
    <t>euanstrachanorr,moonstoneclare  moonstoneclare,sajidjavid  sajidjavid,rcgpac  rcgpac,afraid  afraid,f2f  f2f,happens  happens,guilty  guilty,hell</t>
  </si>
  <si>
    <t>euanstrachanorr,doctor_oxford  doctor_oxford,sajidjavid  sajidjavid,rcgpac  rcgpac,expected  expected,tactical  tactical,move  move,part  part,privatisation  privatisation,back  back,door</t>
  </si>
  <si>
    <t>euanstrachanorr,sajidjavid  sajidjavid,rcgpac  rcgpac,theyre  theyre,out  out,touch  touch,crisis  crisis,deliberately  deliberately,fuelling  fuelling,crisis</t>
  </si>
  <si>
    <t>euanstrachanorr,interestedbys10  interestedbys10,sajidjavid  sajidjavid,rcgpac  rcgpac,give  give,reason  reason,cancelling  cancelling,shocking</t>
  </si>
  <si>
    <t>euanstrachanorr,sajidjavid  sajidjavid,rcgpac  rcgpac,re  re,out  out,touch  touch,caused  caused,deliberately  deliberately,aim  aim,nhs  nhs,established</t>
  </si>
  <si>
    <t>euanstrachanorr,doctor_oxford  doctor_oxford,sajidjavid  sajidjavid,rcgpac  rcgpac,general  general,practice  practice,tbh</t>
  </si>
  <si>
    <t>euanstrachanorr,barbarasutton15  barbarasutton15,sajidjavid  sajidjavid,rcgpac  rcgpac,out  out,touch  touch,crisis  crisis,fuelling  fuelling,encouraging  encouraging,furthering  furthering,privatisation</t>
  </si>
  <si>
    <t>euanstrachanorr,sajidjavid  sajidjavid,rcgpac  rcgpac,afraid  afraid,hearing  hearing,truth</t>
  </si>
  <si>
    <t>euanstrachanorr,witandwhiz  witandwhiz,sajidjavid  sajidjavid,rcgpac  rcgpac,out  out,touch  touch,wilful  wilful,underfunding</t>
  </si>
  <si>
    <t>euanstrachanorr,sajidjavid  sajidjavid,rcgpac  rcgpac,well</t>
  </si>
  <si>
    <t>euanstrachanorr,sajidjavid  sajidjavid,rcgpac  rcgpac,put  put,banker  banker,charge  charge,health  health,service</t>
  </si>
  <si>
    <t>euanstrachanorr,doctor_oxford  doctor_oxford,sajidjavid  sajidjavid,rcgpac  rcgpac,always  always,words  words,action</t>
  </si>
  <si>
    <t>euanstrachanorr,leftgrassroots  leftgrassroots,sajidjavid  sajidjavid,rcgpac  rcgpac,surprised</t>
  </si>
  <si>
    <t>euanstrachanorr,sportmarketing1  sportmarketing1,sajidjavid  sajidjavid,rcgpac  rcgpac,general  general,practice  practice,government  government,totally  totally,out  out,touch  touch,country</t>
  </si>
  <si>
    <t>euanstrachanorr,doctor_oxford  doctor_oxford,sajidjavid  sajidjavid,rcgpac  rcgpac,moved  moved,heaven</t>
  </si>
  <si>
    <t>euanstrachanorr,doctor_oxford  doctor_oxford,sajidjavid  sajidjavid,rcgpac  rcgpac,deal  deal,slogans  slogans,substance  substance,government</t>
  </si>
  <si>
    <t>Top Word Pairs in Tweet by Salience</t>
  </si>
  <si>
    <t>face,face  rcgpac,funny  funny,tells  tells,gps  gps,more  more,face  face,appointments  appointments,same  same,day  day,cancels</t>
  </si>
  <si>
    <t>rcgpac,general  general,practice  practice,government  government,totally  totally,out  out,touch  touch,country  country,survive  rcgpac,re  re,seeking</t>
  </si>
  <si>
    <t>Word</t>
  </si>
  <si>
    <t>Sentiment List#1</t>
  </si>
  <si>
    <t>Sentiment List#2</t>
  </si>
  <si>
    <t>Sentiment List#3</t>
  </si>
  <si>
    <t>Words in Sentiment List#1</t>
  </si>
  <si>
    <t>Words in Sentiment List#2</t>
  </si>
  <si>
    <t>Words in Sentiment List#3</t>
  </si>
  <si>
    <t>Non-categorized Words</t>
  </si>
  <si>
    <t>Total Words</t>
  </si>
  <si>
    <t>general</t>
  </si>
  <si>
    <t>practice</t>
  </si>
  <si>
    <t>privatisation</t>
  </si>
  <si>
    <t>public</t>
  </si>
  <si>
    <t>re</t>
  </si>
  <si>
    <t>always</t>
  </si>
  <si>
    <t>banker</t>
  </si>
  <si>
    <t>service</t>
  </si>
  <si>
    <t>afraid</t>
  </si>
  <si>
    <t>truth</t>
  </si>
  <si>
    <t>fuelling</t>
  </si>
  <si>
    <t>deliberately</t>
  </si>
  <si>
    <t>sell</t>
  </si>
  <si>
    <t>friends</t>
  </si>
  <si>
    <t>read</t>
  </si>
  <si>
    <t>give</t>
  </si>
  <si>
    <t>part</t>
  </si>
  <si>
    <t>door</t>
  </si>
  <si>
    <t>strategy</t>
  </si>
  <si>
    <t>up</t>
  </si>
  <si>
    <t>morning</t>
  </si>
  <si>
    <t>even</t>
  </si>
  <si>
    <t>want</t>
  </si>
  <si>
    <t>media</t>
  </si>
  <si>
    <t>more</t>
  </si>
  <si>
    <t>actually</t>
  </si>
  <si>
    <t>t</t>
  </si>
  <si>
    <t>issues</t>
  </si>
  <si>
    <t>those</t>
  </si>
  <si>
    <t>knows</t>
  </si>
  <si>
    <t>see</t>
  </si>
  <si>
    <t>open</t>
  </si>
  <si>
    <t>gp</t>
  </si>
  <si>
    <t>running</t>
  </si>
  <si>
    <t>scared</t>
  </si>
  <si>
    <t>interest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</si>
  <si>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</si>
  <si>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</si>
  <si>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</si>
  <si>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</si>
  <si>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</si>
  <si>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</si>
  <si>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</si>
  <si>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</si>
  <si>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</si>
  <si>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</si>
  <si>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</si>
  <si>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</si>
  <si>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</si>
  <si>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</si>
  <si>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</si>
  <si>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</si>
  <si>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</si>
  <si>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</si>
  <si>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</si>
  <si>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</si>
  <si>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</si>
  <si>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</si>
  <si>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</si>
  <si>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</si>
  <si>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</si>
  <si>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</si>
  <si>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</si>
  <si>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</si>
  <si>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</si>
  <si>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</si>
  <si>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</si>
  <si>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</si>
  <si>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</si>
  <si>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</si>
  <si>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</si>
  <si>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</si>
  <si>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</si>
  <si>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</si>
  <si>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</si>
  <si>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</si>
  <si>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</si>
  <si>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</si>
  <si>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</si>
  <si>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</si>
  <si>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</si>
  <si>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</si>
  <si>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</si>
  <si>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</si>
  <si>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</si>
  <si>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</si>
  <si>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</si>
  <si>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</si>
  <si>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</si>
  <si>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</si>
  <si>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</si>
  <si>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</si>
  <si>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</si>
  <si>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</si>
  <si>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</si>
  <si>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http://www.connectedaction.net/wp-content/uploads/2009/11/2009-Connected-Action-Logo.png</t>
  </si>
  <si>
    <t>http://connectedaction.net</t>
  </si>
  <si>
    <t>#NodeXL</t>
  </si>
  <si>
    <t>Top 10 Vertices, Ranked by Betweenness Centrality</t>
  </si>
  <si>
    <t>Green</t>
  </si>
  <si>
    <t>Red</t>
  </si>
  <si>
    <t>G1: sajidjavid euanstrachanorr rcgpac out touch doctor_oxford health crisis government javid</t>
  </si>
  <si>
    <t>G2: euanstrachanorr doctor_oxford sajidjavid rcgpac surely healthcare nhs arniesma care</t>
  </si>
  <si>
    <t>G3: face euanstrachanorr clickoncopy sajidjavid rcgpac gps</t>
  </si>
  <si>
    <t>Edge Weight▓1▓2▓0▓True▓Green▓Red▓▓Edge Weight▓1▓1▓0▓3▓10▓False▓Edge Weight▓1▓2▓0▓32▓6▓False▓▓0▓0▓0▓True▓Black▓Black▓▓Followers▓3▓44825▓0▓162▓1000▓False▓Followers▓3▓257501▓0▓100▓70▓False▓▓0▓0▓0▓0▓0▓False▓▓0▓0▓0▓0▓0▓False</t>
  </si>
  <si>
    <t>Subgraph</t>
  </si>
  <si>
    <t>GraphSource░TwitterIDList▓GraphTerm░Replies to euanstrachanorr tweet▓ImportDescription░The graph represents a network of 51 Twitter users whose recent tweets were included in a list (Replies to euanstrachanorr tweet) of 41 tweet IDs,  or who were replied to or mentioned in those tweets.  41 out of 41 tweets were collected.  The network was obtained from Twitter on Thursday, 21 October 2021 at 15:04 UTC.
The tweets in the network were tweeted over the 23-hour, 24-minute period from Thursday, 14 October 2021 at 08:15 UTC to Friday, 15 October 2021 at 07:40 UTC.
There is an edge for each "replies-to" relationship in a tweet, an edge for each "mentions" relationship in a tweet, and a self-loop edge for each tweet that is not a "replies-to" or "mentions".▓ImportSuggestedTitle░NodeXL Twitter Replies to euanstrachanorr tweet Thursday, 21 October 2021 at 15:04 UTC▓ImportSuggestedFileNameNoExtension░2021-10-21 15-04-06 NodeXL Replies to euanstrachanorr tweet▓GroupingDescription░The graph's vertices were grouped by cluster using the Clauset-Newman-Moore cluster algorithm.▓LayoutAlgorithm░The graph was laid out using the Harel-Koren Fast Multiscale layout algorithm.▓GraphDirectedness░The graph is directed.</t>
  </si>
  <si>
    <t>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&lt;value&gt;0.22&lt;/value&gt;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t>
  </si>
  <si>
    <t>TwitterIDList</t>
  </si>
  <si>
    <t>Replies to euanstrachanorr tweet</t>
  </si>
  <si>
    <t>The graph represents a network of 51 Twitter users whose recent tweets were included in a list (Replies to euanstrachanorr tweet) of 41 tweet IDs,  or who were replied to or mentioned in those tweets.  41 out of 41 tweets were collected.  The network was obtained from Twitter on Thursday, 21 October 2021 at 15:04 UTC.
The tweets in the network were tweeted over the 23-hour, 24-minute period from Thursday, 14 October 2021 at 08:15 UTC to Friday, 15 October 2021 at 07:40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</si>
  <si>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</si>
  <si>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</si>
  <si>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https://nodexlgraphgallery.org/Pages/Graph.aspx?graphID=264562</t>
  </si>
  <si>
    <t>https://nodexlgraphgallery.org/Images/Image.ashx?graphID=264562&amp;type=f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</si>
</sst>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42">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1"/>
      <tableStyleElement type="headerRow" dxfId="340"/>
    </tableStyle>
    <tableStyle name="NodeXL Table" pivot="0" count="1">
      <tableStyleElement type="headerRow" dxfId="33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3100169"/>
        <c:axId val="31030610"/>
      </c:barChart>
      <c:catAx>
        <c:axId val="6310016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030610"/>
        <c:crosses val="autoZero"/>
        <c:auto val="1"/>
        <c:lblOffset val="100"/>
        <c:noMultiLvlLbl val="0"/>
      </c:catAx>
      <c:valAx>
        <c:axId val="310306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001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0840035"/>
        <c:axId val="30451452"/>
      </c:barChart>
      <c:catAx>
        <c:axId val="1084003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451452"/>
        <c:crosses val="autoZero"/>
        <c:auto val="1"/>
        <c:lblOffset val="100"/>
        <c:noMultiLvlLbl val="0"/>
      </c:catAx>
      <c:valAx>
        <c:axId val="304514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8400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627613"/>
        <c:axId val="50648518"/>
      </c:barChart>
      <c:catAx>
        <c:axId val="562761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648518"/>
        <c:crosses val="autoZero"/>
        <c:auto val="1"/>
        <c:lblOffset val="100"/>
        <c:noMultiLvlLbl val="0"/>
      </c:catAx>
      <c:valAx>
        <c:axId val="506485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276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3183479"/>
        <c:axId val="8889264"/>
      </c:barChart>
      <c:catAx>
        <c:axId val="5318347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889264"/>
        <c:crosses val="autoZero"/>
        <c:auto val="1"/>
        <c:lblOffset val="100"/>
        <c:noMultiLvlLbl val="0"/>
      </c:catAx>
      <c:valAx>
        <c:axId val="88892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834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2894513"/>
        <c:axId val="48941754"/>
      </c:barChart>
      <c:catAx>
        <c:axId val="1289451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941754"/>
        <c:crosses val="autoZero"/>
        <c:auto val="1"/>
        <c:lblOffset val="100"/>
        <c:noMultiLvlLbl val="0"/>
      </c:catAx>
      <c:valAx>
        <c:axId val="489417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945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7822603"/>
        <c:axId val="4859108"/>
      </c:barChart>
      <c:catAx>
        <c:axId val="3782260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59108"/>
        <c:crosses val="autoZero"/>
        <c:auto val="1"/>
        <c:lblOffset val="100"/>
        <c:noMultiLvlLbl val="0"/>
      </c:catAx>
      <c:valAx>
        <c:axId val="48591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8226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3731973"/>
        <c:axId val="58043438"/>
      </c:barChart>
      <c:catAx>
        <c:axId val="4373197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043438"/>
        <c:crosses val="autoZero"/>
        <c:auto val="1"/>
        <c:lblOffset val="100"/>
        <c:noMultiLvlLbl val="0"/>
      </c:catAx>
      <c:valAx>
        <c:axId val="580434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7319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2628895"/>
        <c:axId val="3898008"/>
      </c:barChart>
      <c:catAx>
        <c:axId val="5262889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98008"/>
        <c:crosses val="autoZero"/>
        <c:auto val="1"/>
        <c:lblOffset val="100"/>
        <c:noMultiLvlLbl val="0"/>
      </c:catAx>
      <c:valAx>
        <c:axId val="38980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6288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082073"/>
        <c:axId val="47303202"/>
      </c:barChart>
      <c:catAx>
        <c:axId val="35082073"/>
        <c:scaling>
          <c:orientation val="minMax"/>
        </c:scaling>
        <c:axPos val="b"/>
        <c:delete val="1"/>
        <c:majorTickMark val="out"/>
        <c:minorTickMark val="none"/>
        <c:tickLblPos val="none"/>
        <c:crossAx val="47303202"/>
        <c:crosses val="autoZero"/>
        <c:auto val="1"/>
        <c:lblOffset val="100"/>
        <c:noMultiLvlLbl val="0"/>
      </c:catAx>
      <c:valAx>
        <c:axId val="47303202"/>
        <c:scaling>
          <c:orientation val="minMax"/>
        </c:scaling>
        <c:axPos val="l"/>
        <c:delete val="1"/>
        <c:majorTickMark val="out"/>
        <c:minorTickMark val="none"/>
        <c:tickLblPos val="none"/>
        <c:crossAx val="3508207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captainswoop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geoff_mcgiver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rcgpac"/>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sajidjavi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euanstrachanor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robstewautho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doctor_oxford"/>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arniesm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weesnowi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pearns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alisterrussell"/>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louisapassfield"/>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cwef13"/>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dodlink"/>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avriljw"/>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daphneh236"/>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19averil"/>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ancienthiker"/>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indysilverfox"/>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bridgetcraig17"/>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gary4463150386"/>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tess1959"/>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sarahpegg9"/>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russellengland"/>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clickoncopy"/>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viclfc"/>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juliemo46777750"/>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johntonks"/>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margaridafawke"/>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moonstoneclar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ambleexile"/>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mrsmoviefan"/>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robhughes4"/>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jakbar1"/>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interestedbys10"/>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donaldfart8"/>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libiroberts"/>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georgehotchki14"/>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barbarasutton15"/>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juliejohnson7"/>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john210750"/>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witandwhiz"/>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seanmcd4464"/>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billacres2"/>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lubylou64th"/>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mikek1956"/>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leftgrassroot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nglwaug"/>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sportmarketing1"/>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raffertycarol"/>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paulbayliss9"/>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155" totalsRowShown="0" headerRowDxfId="338" dataDxfId="302">
  <autoFilter ref="A2:BN155"/>
  <tableColumns count="66">
    <tableColumn id="1" name="Vertex 1" dataDxfId="287"/>
    <tableColumn id="2" name="Vertex 2" dataDxfId="285"/>
    <tableColumn id="3" name="Color" dataDxfId="286"/>
    <tableColumn id="4" name="Width" dataDxfId="311"/>
    <tableColumn id="11" name="Style" dataDxfId="310"/>
    <tableColumn id="5" name="Opacity" dataDxfId="309"/>
    <tableColumn id="6" name="Visibility" dataDxfId="308"/>
    <tableColumn id="10" name="Label" dataDxfId="307"/>
    <tableColumn id="12" name="Label Text Color" dataDxfId="306"/>
    <tableColumn id="13" name="Label Font Size" dataDxfId="305"/>
    <tableColumn id="14" name="Reciprocated?" dataDxfId="191"/>
    <tableColumn id="7" name="ID" dataDxfId="304"/>
    <tableColumn id="9" name="Dynamic Filter" dataDxfId="303"/>
    <tableColumn id="8" name="Add Your Own Columns Here" dataDxfId="284"/>
    <tableColumn id="15" name="Relationship" dataDxfId="283"/>
    <tableColumn id="16" name="Relationship Date (UTC)" dataDxfId="282"/>
    <tableColumn id="17" name="Tweet" dataDxfId="281"/>
    <tableColumn id="18" name="URLs in Tweet" dataDxfId="280"/>
    <tableColumn id="19" name="Domains in Tweet" dataDxfId="279"/>
    <tableColumn id="20" name="Hashtags in Tweet" dataDxfId="278"/>
    <tableColumn id="21" name="Media in Tweet" dataDxfId="277"/>
    <tableColumn id="22" name="Tweet Image File" dataDxfId="276"/>
    <tableColumn id="23" name="Tweet Date (UTC)" dataDxfId="275"/>
    <tableColumn id="24" name="Date" dataDxfId="274"/>
    <tableColumn id="25" name="Time" dataDxfId="273"/>
    <tableColumn id="26" name="Twitter Page for Tweet" dataDxfId="272"/>
    <tableColumn id="27" name="Latitude" dataDxfId="271"/>
    <tableColumn id="28" name="Longitude" dataDxfId="270"/>
    <tableColumn id="29" name="Imported ID" dataDxfId="269"/>
    <tableColumn id="30" name="In-Reply-To Tweet ID" dataDxfId="268"/>
    <tableColumn id="31" name="Favorited" dataDxfId="267"/>
    <tableColumn id="32" name="Favorite Count" dataDxfId="266"/>
    <tableColumn id="33" name="In-Reply-To User ID" dataDxfId="265"/>
    <tableColumn id="34" name="Is Quote Status" dataDxfId="264"/>
    <tableColumn id="35" name="Language" dataDxfId="263"/>
    <tableColumn id="36" name="Possibly Sensitive" dataDxfId="262"/>
    <tableColumn id="37" name="Quoted Status ID" dataDxfId="261"/>
    <tableColumn id="38" name="Retweeted" dataDxfId="260"/>
    <tableColumn id="39" name="Retweet Count" dataDxfId="259"/>
    <tableColumn id="40" name="Retweet ID" dataDxfId="258"/>
    <tableColumn id="41" name="Source" dataDxfId="257"/>
    <tableColumn id="42" name="Truncated" dataDxfId="256"/>
    <tableColumn id="43" name="Unified Twitter ID" dataDxfId="255"/>
    <tableColumn id="44" name="Imported Tweet Type" dataDxfId="254"/>
    <tableColumn id="45" name="Added By Extended Analysis" dataDxfId="253"/>
    <tableColumn id="46" name="Corrected By Extended Analysis" dataDxfId="252"/>
    <tableColumn id="47" name="Place Bounding Box" dataDxfId="251"/>
    <tableColumn id="48" name="Place Country" dataDxfId="250"/>
    <tableColumn id="49" name="Place Country Code" dataDxfId="249"/>
    <tableColumn id="50" name="Place Full Name" dataDxfId="248"/>
    <tableColumn id="51" name="Place ID" dataDxfId="247"/>
    <tableColumn id="52" name="Place Name" dataDxfId="246"/>
    <tableColumn id="53" name="Place Type" dataDxfId="245"/>
    <tableColumn id="54" name="Place URL" dataDxfId="244"/>
    <tableColumn id="55" name="Edge Weight"/>
    <tableColumn id="56" name="Vertex 1 Group" dataDxfId="206">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List1 Word Count" dataDxfId="52"/>
    <tableColumn id="59" name="Sentiment List #1: List1 Word Percentage (%)" dataDxfId="51"/>
    <tableColumn id="60" name="Sentiment List #2: List2 Word Count" dataDxfId="50"/>
    <tableColumn id="61" name="Sentiment List #2: List2 Word Percentage (%)" dataDxfId="49"/>
    <tableColumn id="62" name="Sentiment List #3: List3 Word Count" dataDxfId="48"/>
    <tableColumn id="63" name="Sentiment List #3: List3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J3" totalsRowShown="0" headerRowDxfId="190" dataDxfId="189">
  <autoFilter ref="A1:J3"/>
  <tableColumns count="10">
    <tableColumn id="1" name="Top URLs in Tweet in Entire Graph" dataDxfId="188"/>
    <tableColumn id="2" name="Entire Graph Count" dataDxfId="187"/>
    <tableColumn id="3" name="Top URLs in Tweet in G1" dataDxfId="186"/>
    <tableColumn id="4" name="G1 Count" dataDxfId="185"/>
    <tableColumn id="5" name="Top URLs in Tweet in G2" dataDxfId="184"/>
    <tableColumn id="6" name="G2 Count" dataDxfId="183"/>
    <tableColumn id="7" name="Top URLs in Tweet in G3" dataDxfId="182"/>
    <tableColumn id="8" name="G3 Count" dataDxfId="181"/>
    <tableColumn id="9" name="Top URLs in Tweet in G4" dataDxfId="180"/>
    <tableColumn id="10" name="G4 Count" dataDxfId="179"/>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6:J7" totalsRowShown="0" headerRowDxfId="177" dataDxfId="176">
  <autoFilter ref="A6:J7"/>
  <tableColumns count="10">
    <tableColumn id="1" name="Top Domains in Tweet in Entire Graph" dataDxfId="175"/>
    <tableColumn id="2" name="Entire Graph Count" dataDxfId="174"/>
    <tableColumn id="3" name="Top Domains in Tweet in G1" dataDxfId="173"/>
    <tableColumn id="4" name="G1 Count" dataDxfId="172"/>
    <tableColumn id="5" name="Top Domains in Tweet in G2" dataDxfId="171"/>
    <tableColumn id="6" name="G2 Count" dataDxfId="170"/>
    <tableColumn id="7" name="Top Domains in Tweet in G3" dataDxfId="169"/>
    <tableColumn id="8" name="G3 Count" dataDxfId="168"/>
    <tableColumn id="9" name="Top Domains in Tweet in G4" dataDxfId="167"/>
    <tableColumn id="10" name="G4 Count" dataDxfId="166"/>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0:J13" totalsRowShown="0" headerRowDxfId="164" dataDxfId="163">
  <autoFilter ref="A10:J13"/>
  <tableColumns count="10">
    <tableColumn id="1" name="Top Hashtags in Tweet in Entire Graph" dataDxfId="162"/>
    <tableColumn id="2" name="Entire Graph Count" dataDxfId="161"/>
    <tableColumn id="3" name="Top Hashtags in Tweet in G1" dataDxfId="160"/>
    <tableColumn id="4" name="G1 Count" dataDxfId="159"/>
    <tableColumn id="5" name="Top Hashtags in Tweet in G2" dataDxfId="158"/>
    <tableColumn id="6" name="G2 Count" dataDxfId="157"/>
    <tableColumn id="7" name="Top Hashtags in Tweet in G3" dataDxfId="156"/>
    <tableColumn id="8" name="G3 Count" dataDxfId="155"/>
    <tableColumn id="9" name="Top Hashtags in Tweet in G4" dataDxfId="154"/>
    <tableColumn id="10" name="G4 Count" dataDxfId="15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6:J26" totalsRowShown="0" headerRowDxfId="151" dataDxfId="150">
  <autoFilter ref="A16:J26"/>
  <tableColumns count="10">
    <tableColumn id="1" name="Top Words in Tweet in Entire Graph" dataDxfId="149"/>
    <tableColumn id="2" name="Entire Graph Count" dataDxfId="148"/>
    <tableColumn id="3" name="Top Words in Tweet in G1" dataDxfId="147"/>
    <tableColumn id="4" name="G1 Count" dataDxfId="146"/>
    <tableColumn id="5" name="Top Words in Tweet in G2" dataDxfId="145"/>
    <tableColumn id="6" name="G2 Count" dataDxfId="144"/>
    <tableColumn id="7" name="Top Words in Tweet in G3" dataDxfId="143"/>
    <tableColumn id="8" name="G3 Count" dataDxfId="142"/>
    <tableColumn id="9" name="Top Words in Tweet in G4" dataDxfId="141"/>
    <tableColumn id="10" name="G4 Count" dataDxfId="140"/>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29:J39" totalsRowShown="0" headerRowDxfId="138" dataDxfId="137">
  <autoFilter ref="A29:J39"/>
  <tableColumns count="10">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42:J47" totalsRowShown="0" headerRowDxfId="125" dataDxfId="124">
  <autoFilter ref="A42:J47"/>
  <tableColumns count="10">
    <tableColumn id="1" name="Top Replied-To in Entire Graph" dataDxfId="123"/>
    <tableColumn id="2" name="Entire Graph Count" dataDxfId="119"/>
    <tableColumn id="3" name="Top Replied-To in G1" dataDxfId="118"/>
    <tableColumn id="4" name="G1 Count" dataDxfId="115"/>
    <tableColumn id="5" name="Top Replied-To in G2" dataDxfId="114"/>
    <tableColumn id="6" name="G2 Count" dataDxfId="111"/>
    <tableColumn id="7" name="Top Replied-To in G3" dataDxfId="110"/>
    <tableColumn id="8" name="G3 Count" dataDxfId="107"/>
    <tableColumn id="9" name="Top Replied-To in G4" dataDxfId="106"/>
    <tableColumn id="10" name="G4 Count" dataDxfId="105"/>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50:J60" totalsRowShown="0" headerRowDxfId="122" dataDxfId="121">
  <autoFilter ref="A50:J60"/>
  <tableColumns count="10">
    <tableColumn id="1" name="Top Mentioned in Entire Graph" dataDxfId="120"/>
    <tableColumn id="2" name="Entire Graph Count" dataDxfId="117"/>
    <tableColumn id="3" name="Top Mentioned in G1" dataDxfId="116"/>
    <tableColumn id="4" name="G1 Count" dataDxfId="113"/>
    <tableColumn id="5" name="Top Mentioned in G2" dataDxfId="112"/>
    <tableColumn id="6" name="G2 Count" dataDxfId="109"/>
    <tableColumn id="7" name="Top Mentioned in G3" dataDxfId="108"/>
    <tableColumn id="8" name="G3 Count" dataDxfId="104"/>
    <tableColumn id="9" name="Top Mentioned in G4" dataDxfId="103"/>
    <tableColumn id="10" name="G4 Count" dataDxfId="102"/>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63:J73" totalsRowShown="0" headerRowDxfId="99" dataDxfId="98">
  <autoFilter ref="A63:J73"/>
  <tableColumns count="10">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108" totalsRowShown="0" headerRowDxfId="76" dataDxfId="75">
  <autoFilter ref="A1:G108"/>
  <tableColumns count="7">
    <tableColumn id="1" name="Word" dataDxfId="74"/>
    <tableColumn id="2" name="Count" dataDxfId="73"/>
    <tableColumn id="3" name="Salience" dataDxfId="72"/>
    <tableColumn id="4" name="Group" dataDxfId="71"/>
    <tableColumn id="5" name="Word on Sentiment List #1: List1" dataDxfId="70"/>
    <tableColumn id="6" name="Word on Sentiment List #2: List2" dataDxfId="69"/>
    <tableColumn id="7" name="Word on Sentiment List #3: List3"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53" totalsRowShown="0" headerRowDxfId="337" dataDxfId="288">
  <autoFilter ref="A2:BU53"/>
  <tableColumns count="73">
    <tableColumn id="1" name="Vertex" dataDxfId="301"/>
    <tableColumn id="73" name="Subgraph"/>
    <tableColumn id="2" name="Color" dataDxfId="300"/>
    <tableColumn id="5" name="Shape" dataDxfId="299"/>
    <tableColumn id="6" name="Size" dataDxfId="298"/>
    <tableColumn id="4" name="Opacity" dataDxfId="223"/>
    <tableColumn id="7" name="Image File" dataDxfId="221"/>
    <tableColumn id="3" name="Visibility" dataDxfId="222"/>
    <tableColumn id="10" name="Label" dataDxfId="297"/>
    <tableColumn id="16" name="Label Fill Color" dataDxfId="296"/>
    <tableColumn id="9" name="Label Position" dataDxfId="217"/>
    <tableColumn id="8" name="Tooltip" dataDxfId="215"/>
    <tableColumn id="18" name="Layout Order" dataDxfId="216"/>
    <tableColumn id="13" name="X" dataDxfId="295"/>
    <tableColumn id="14" name="Y" dataDxfId="294"/>
    <tableColumn id="12" name="Locked?" dataDxfId="293"/>
    <tableColumn id="19" name="Polar R" dataDxfId="292"/>
    <tableColumn id="20" name="Polar Angle" dataDxfId="291"/>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290"/>
    <tableColumn id="28" name="Dynamic Filter" dataDxfId="289"/>
    <tableColumn id="17" name="Add Your Own Columns Here" dataDxfId="243"/>
    <tableColumn id="30" name="Name" dataDxfId="242"/>
    <tableColumn id="31" name="User ID" dataDxfId="241"/>
    <tableColumn id="32" name="Followed" dataDxfId="240"/>
    <tableColumn id="33" name="Followers" dataDxfId="239"/>
    <tableColumn id="34" name="Tweets" dataDxfId="238"/>
    <tableColumn id="35" name="Favorites" dataDxfId="237"/>
    <tableColumn id="36" name="Time Zone UTC Offset (Seconds)" dataDxfId="236"/>
    <tableColumn id="37" name="Description" dataDxfId="235"/>
    <tableColumn id="38" name="Location" dataDxfId="234"/>
    <tableColumn id="39" name="Web" dataDxfId="233"/>
    <tableColumn id="40" name="Time Zone" dataDxfId="232"/>
    <tableColumn id="41" name="Joined Twitter Date (UTC)" dataDxfId="231"/>
    <tableColumn id="42" name="Profile Banner Url" dataDxfId="230"/>
    <tableColumn id="43" name="Default Profile" dataDxfId="229"/>
    <tableColumn id="44" name="Default Profile Image" dataDxfId="228"/>
    <tableColumn id="45" name="Geo Enabled" dataDxfId="227"/>
    <tableColumn id="46" name="Language" dataDxfId="226"/>
    <tableColumn id="47" name="Listed Count" dataDxfId="225"/>
    <tableColumn id="48" name="Profile Background Image Url" dataDxfId="224"/>
    <tableColumn id="49" name="Verified" dataDxfId="220"/>
    <tableColumn id="50" name="Custom Menu Item Text" dataDxfId="219"/>
    <tableColumn id="51" name="Custom Menu Item Action" dataDxfId="218"/>
    <tableColumn id="52" name="Tweeted Search Term?" dataDxfId="207"/>
    <tableColumn id="53" name="Vertex Group" dataDxfId="86">
      <calculatedColumnFormula>REPLACE(INDEX(GroupVertices[Group], MATCH(Vertices[[#This Row],[Vertex]],GroupVertices[Vertex],0)),1,1,"")</calculatedColumnFormula>
    </tableColumn>
    <tableColumn id="54" name="Top URLs in Tweet by Count" dataDxfId="85"/>
    <tableColumn id="55" name="Top URLs in Tweet by Salience" dataDxfId="84"/>
    <tableColumn id="56" name="Top Domains in Tweet by Count" dataDxfId="83"/>
    <tableColumn id="57" name="Top Domains in Tweet by Salience" dataDxfId="82"/>
    <tableColumn id="58" name="Top Hashtags in Tweet by Count" dataDxfId="81"/>
    <tableColumn id="59" name="Top Hashtags in Tweet by Salience" dataDxfId="80"/>
    <tableColumn id="60" name="Top Words in Tweet by Count" dataDxfId="79"/>
    <tableColumn id="61" name="Top Words in Tweet by Salience" dataDxfId="78"/>
    <tableColumn id="62" name="Top Word Pairs in Tweet by Count" dataDxfId="77"/>
    <tableColumn id="63" name="Top Word Pairs in Tweet by Salience" dataDxfId="43"/>
    <tableColumn id="64" name="Sentiment List #1: List1 Word Count" dataDxfId="42"/>
    <tableColumn id="65" name="Sentiment List #1: List1 Word Percentage (%)" dataDxfId="41"/>
    <tableColumn id="66" name="Sentiment List #2: List2 Word Count" dataDxfId="40"/>
    <tableColumn id="67" name="Sentiment List #2: List2 Word Percentage (%)" dataDxfId="39"/>
    <tableColumn id="68" name="Sentiment List #3: List3 Word Count" dataDxfId="38"/>
    <tableColumn id="69" name="Sentiment List #3: List3 Word Percentage (%)" dataDxfId="37"/>
    <tableColumn id="70" name="Non-categorized Word Count" dataDxfId="36"/>
    <tableColumn id="71" name="Non-categorized Word Percentage (%)" dataDxfId="35"/>
    <tableColumn id="72"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42" totalsRowShown="0" headerRowDxfId="67" dataDxfId="66">
  <autoFilter ref="A1:L42"/>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List1" dataDxfId="59"/>
    <tableColumn id="8" name="Word1 on Sentiment List #2: List2" dataDxfId="58"/>
    <tableColumn id="9" name="Word1 on Sentiment List #3: List3" dataDxfId="57"/>
    <tableColumn id="10" name="Word2 on Sentiment List #1: List1" dataDxfId="56"/>
    <tableColumn id="11" name="Word2 on Sentiment List #2: List2" dataDxfId="55"/>
    <tableColumn id="12" name="Word2 on Sentiment List #3: List3"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0" totalsRowShown="0" headerRowDxfId="23" dataDxfId="22">
  <autoFilter ref="A2:C10"/>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36">
  <autoFilter ref="A2:AO6"/>
  <tableColumns count="41">
    <tableColumn id="1" name="Group" dataDxfId="214"/>
    <tableColumn id="2" name="Vertex Color" dataDxfId="213"/>
    <tableColumn id="3" name="Vertex Shape" dataDxfId="211"/>
    <tableColumn id="22" name="Visibility" dataDxfId="212"/>
    <tableColumn id="4" name="Collapsed?"/>
    <tableColumn id="18" name="Label" dataDxfId="335"/>
    <tableColumn id="20" name="Collapsed X"/>
    <tableColumn id="21" name="Collapsed Y"/>
    <tableColumn id="6" name="ID" dataDxfId="334"/>
    <tableColumn id="19" name="Collapsed Properties" dataDxfId="205"/>
    <tableColumn id="5" name="Vertices" dataDxfId="204"/>
    <tableColumn id="7" name="Unique Edges" dataDxfId="203"/>
    <tableColumn id="8" name="Edges With Duplicates" dataDxfId="202"/>
    <tableColumn id="9" name="Total Edges" dataDxfId="201"/>
    <tableColumn id="10" name="Self-Loops" dataDxfId="200"/>
    <tableColumn id="24" name="Reciprocated Vertex Pair Ratio" dataDxfId="199"/>
    <tableColumn id="25" name="Reciprocated Edge Ratio" dataDxfId="198"/>
    <tableColumn id="11" name="Connected Components" dataDxfId="197"/>
    <tableColumn id="12" name="Single-Vertex Connected Components" dataDxfId="196"/>
    <tableColumn id="13" name="Maximum Vertices in a Connected Component" dataDxfId="195"/>
    <tableColumn id="14" name="Maximum Edges in a Connected Component" dataDxfId="194"/>
    <tableColumn id="15" name="Maximum Geodesic Distance (Diameter)" dataDxfId="193"/>
    <tableColumn id="16" name="Average Geodesic Distance" dataDxfId="192"/>
    <tableColumn id="17" name="Graph Density" dataDxfId="178"/>
    <tableColumn id="23" name="Top URLs in Tweet" dataDxfId="165"/>
    <tableColumn id="26" name="Top Domains in Tweet" dataDxfId="152"/>
    <tableColumn id="27" name="Top Hashtags in Tweet" dataDxfId="139"/>
    <tableColumn id="28" name="Top Words in Tweet" dataDxfId="126"/>
    <tableColumn id="29" name="Top Word Pairs in Tweet" dataDxfId="101"/>
    <tableColumn id="30" name="Top Replied-To in Tweet" dataDxfId="100"/>
    <tableColumn id="31" name="Top Mentioned in Tweet" dataDxfId="87"/>
    <tableColumn id="32" name="Top Tweeters" dataDxfId="33"/>
    <tableColumn id="33" name="Sentiment List #1: List1 Word Count" dataDxfId="32"/>
    <tableColumn id="34" name="Sentiment List #1: List1 Word Percentage (%)" dataDxfId="31"/>
    <tableColumn id="35" name="Sentiment List #2: List2 Word Count" dataDxfId="30"/>
    <tableColumn id="36" name="Sentiment List #2: List2 Word Percentage (%)" dataDxfId="29"/>
    <tableColumn id="37" name="Sentiment List #3: List3 Word Count" dataDxfId="28"/>
    <tableColumn id="38" name="Sentiment List #3: List3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2" totalsRowShown="0" headerRowDxfId="333" dataDxfId="332">
  <autoFilter ref="A1:C52"/>
  <tableColumns count="3">
    <tableColumn id="1" name="Group" dataDxfId="210"/>
    <tableColumn id="2" name="Vertex" dataDxfId="209"/>
    <tableColumn id="3" name="Vertex ID" dataDxfId="20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31"/>
    <tableColumn id="2" name="Degree Frequency" dataDxfId="330">
      <calculatedColumnFormula>COUNTIF(Vertices[Degree], "&gt;= " &amp; D2) - COUNTIF(Vertices[Degree], "&gt;=" &amp; D3)</calculatedColumnFormula>
    </tableColumn>
    <tableColumn id="3" name="In-Degree Bin" dataDxfId="329"/>
    <tableColumn id="4" name="In-Degree Frequency" dataDxfId="328">
      <calculatedColumnFormula>COUNTIF(Vertices[In-Degree], "&gt;= " &amp; F2) - COUNTIF(Vertices[In-Degree], "&gt;=" &amp; F3)</calculatedColumnFormula>
    </tableColumn>
    <tableColumn id="5" name="Out-Degree Bin" dataDxfId="327"/>
    <tableColumn id="6" name="Out-Degree Frequency" dataDxfId="326">
      <calculatedColumnFormula>COUNTIF(Vertices[Out-Degree], "&gt;= " &amp; H2) - COUNTIF(Vertices[Out-Degree], "&gt;=" &amp; H3)</calculatedColumnFormula>
    </tableColumn>
    <tableColumn id="7" name="Betweenness Centrality Bin" dataDxfId="325"/>
    <tableColumn id="8" name="Betweenness Centrality Frequency" dataDxfId="324">
      <calculatedColumnFormula>COUNTIF(Vertices[Betweenness Centrality], "&gt;= " &amp; J2) - COUNTIF(Vertices[Betweenness Centrality], "&gt;=" &amp; J3)</calculatedColumnFormula>
    </tableColumn>
    <tableColumn id="9" name="Closeness Centrality Bin" dataDxfId="323"/>
    <tableColumn id="10" name="Closeness Centrality Frequency" dataDxfId="322">
      <calculatedColumnFormula>COUNTIF(Vertices[Closeness Centrality], "&gt;= " &amp; L2) - COUNTIF(Vertices[Closeness Centrality], "&gt;=" &amp; L3)</calculatedColumnFormula>
    </tableColumn>
    <tableColumn id="11" name="Eigenvector Centrality Bin" dataDxfId="321"/>
    <tableColumn id="12" name="Eigenvector Centrality Frequency" dataDxfId="320">
      <calculatedColumnFormula>COUNTIF(Vertices[Eigenvector Centrality], "&gt;= " &amp; N2) - COUNTIF(Vertices[Eigenvector Centrality], "&gt;=" &amp; N3)</calculatedColumnFormula>
    </tableColumn>
    <tableColumn id="18" name="PageRank Bin" dataDxfId="319"/>
    <tableColumn id="17" name="PageRank Frequency" dataDxfId="318">
      <calculatedColumnFormula>COUNTIF(Vertices[Eigenvector Centrality], "&gt;= " &amp; P2) - COUNTIF(Vertices[Eigenvector Centrality], "&gt;=" &amp; P3)</calculatedColumnFormula>
    </tableColumn>
    <tableColumn id="13" name="Clustering Coefficient Bin" dataDxfId="317"/>
    <tableColumn id="14" name="Clustering Coefficient Frequency" dataDxfId="316">
      <calculatedColumnFormula>COUNTIF(Vertices[Clustering Coefficient], "&gt;= " &amp; R2) - COUNTIF(Vertices[Clustering Coefficient], "&gt;=" &amp; R3)</calculatedColumnFormula>
    </tableColumn>
    <tableColumn id="15" name="Dynamic Filter Bin" dataDxfId="315"/>
    <tableColumn id="16" name="Dynamic Filter Frequency" dataDxfId="31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13">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PlanetZuma/status/1448577058943143937" TargetMode="External" /><Relationship Id="rId2" Type="http://schemas.openxmlformats.org/officeDocument/2006/relationships/hyperlink" Target="https://twitter.com/PearnSR/status/1448827515565486092?s=20" TargetMode="External" /><Relationship Id="rId3" Type="http://schemas.openxmlformats.org/officeDocument/2006/relationships/hyperlink" Target="https://twitter.com/PearnSR/status/1448827515565486092?s=20" TargetMode="External" /><Relationship Id="rId4" Type="http://schemas.openxmlformats.org/officeDocument/2006/relationships/hyperlink" Target="https://twitter.com/PlanetZuma/status/1448577058943143937" TargetMode="External" /><Relationship Id="rId5" Type="http://schemas.openxmlformats.org/officeDocument/2006/relationships/table" Target="../tables/table11.xml" /><Relationship Id="rId6" Type="http://schemas.openxmlformats.org/officeDocument/2006/relationships/table" Target="../tables/table12.xml" /><Relationship Id="rId7" Type="http://schemas.openxmlformats.org/officeDocument/2006/relationships/table" Target="../tables/table13.xml" /><Relationship Id="rId8" Type="http://schemas.openxmlformats.org/officeDocument/2006/relationships/table" Target="../tables/table14.xml" /><Relationship Id="rId9" Type="http://schemas.openxmlformats.org/officeDocument/2006/relationships/table" Target="../tables/table15.xml" /><Relationship Id="rId10" Type="http://schemas.openxmlformats.org/officeDocument/2006/relationships/table" Target="../tables/table16.xml" /><Relationship Id="rId11" Type="http://schemas.openxmlformats.org/officeDocument/2006/relationships/table" Target="../tables/table17.xml" /><Relationship Id="rId1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6" width="12.140625" style="0" bestFit="1" customWidth="1"/>
    <col min="17" max="17" width="7.421875" style="0" bestFit="1" customWidth="1"/>
    <col min="18" max="18" width="8.421875" style="0" bestFit="1" customWidth="1"/>
    <col min="19" max="19" width="11.28125" style="0" bestFit="1" customWidth="1"/>
    <col min="20" max="20" width="11.421875" style="0" bestFit="1" customWidth="1"/>
    <col min="21" max="21" width="9.421875" style="0" bestFit="1" customWidth="1"/>
    <col min="22" max="22" width="10.421875" style="0" bestFit="1" customWidth="1"/>
    <col min="23" max="23" width="11.421875" style="0" bestFit="1" customWidth="1"/>
    <col min="24" max="25" width="6.421875" style="0" bestFit="1" customWidth="1"/>
    <col min="26" max="26" width="12.28125" style="0" bestFit="1" customWidth="1"/>
    <col min="28" max="28" width="10.421875" style="0" bestFit="1" customWidth="1"/>
    <col min="29" max="29" width="12.00390625" style="0" bestFit="1" customWidth="1"/>
    <col min="30" max="30" width="11.57421875" style="0" bestFit="1" customWidth="1"/>
    <col min="31" max="31" width="10.00390625" style="0" bestFit="1" customWidth="1"/>
    <col min="33" max="33" width="11.57421875" style="0" bestFit="1" customWidth="1"/>
    <col min="34" max="34" width="9.28125" style="0" bestFit="1" customWidth="1"/>
    <col min="35" max="35" width="10.00390625" style="0" bestFit="1" customWidth="1"/>
    <col min="36" max="36" width="9.421875" style="0" bestFit="1" customWidth="1"/>
    <col min="37" max="37" width="9.57421875" style="0" bestFit="1" customWidth="1"/>
    <col min="38" max="38" width="11.00390625" style="0" bestFit="1" customWidth="1"/>
    <col min="39" max="39" width="9.140625" style="0" bestFit="1" customWidth="1"/>
    <col min="40" max="40" width="11.140625" style="0" bestFit="1" customWidth="1"/>
    <col min="41" max="41" width="8.00390625" style="0" bestFit="1" customWidth="1"/>
    <col min="42" max="42" width="10.421875" style="0" bestFit="1" customWidth="1"/>
    <col min="43" max="43" width="10.28125" style="0" bestFit="1" customWidth="1"/>
    <col min="44" max="44" width="11.421875" style="0" bestFit="1" customWidth="1"/>
    <col min="45" max="45" width="17.57421875" style="0" bestFit="1" customWidth="1"/>
    <col min="46" max="46" width="16.421875" style="0" bestFit="1" customWidth="1"/>
    <col min="47" max="47" width="14.421875" style="0" bestFit="1" customWidth="1"/>
    <col min="49" max="49" width="13.28125" style="0" bestFit="1" customWidth="1"/>
    <col min="50" max="50" width="9.7109375" style="0" bestFit="1" customWidth="1"/>
    <col min="51" max="51" width="8.7109375" style="0" bestFit="1" customWidth="1"/>
    <col min="52" max="52" width="7.421875" style="0" bestFit="1" customWidth="1"/>
    <col min="53" max="53" width="10.7109375" style="0" bestFit="1" customWidth="1"/>
    <col min="54" max="54" width="10.140625" style="0" bestFit="1" customWidth="1"/>
    <col min="55" max="55" width="14.421875" style="0" customWidth="1"/>
    <col min="56" max="57" width="9.421875" style="0" bestFit="1" customWidth="1"/>
    <col min="58" max="58" width="16.7109375" style="0" bestFit="1" customWidth="1"/>
    <col min="59" max="59" width="20.7109375" style="0" bestFit="1" customWidth="1"/>
    <col min="60" max="60" width="16.7109375" style="0" bestFit="1" customWidth="1"/>
    <col min="61" max="61" width="20.7109375" style="0" bestFit="1" customWidth="1"/>
    <col min="62" max="62" width="16.7109375" style="0" bestFit="1" customWidth="1"/>
    <col min="63" max="63" width="20.7109375" style="0" bestFit="1" customWidth="1"/>
    <col min="64" max="64" width="15.8515625" style="0" bestFit="1" customWidth="1"/>
    <col min="65" max="65" width="19.140625" style="0" bestFit="1" customWidth="1"/>
    <col min="66" max="66" width="13.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t="s">
        <v>704</v>
      </c>
      <c r="BD2" s="13" t="s">
        <v>714</v>
      </c>
      <c r="BE2" s="13" t="s">
        <v>715</v>
      </c>
      <c r="BF2" s="54" t="s">
        <v>966</v>
      </c>
      <c r="BG2" s="54" t="s">
        <v>967</v>
      </c>
      <c r="BH2" s="54" t="s">
        <v>968</v>
      </c>
      <c r="BI2" s="54" t="s">
        <v>969</v>
      </c>
      <c r="BJ2" s="54" t="s">
        <v>970</v>
      </c>
      <c r="BK2" s="54" t="s">
        <v>971</v>
      </c>
      <c r="BL2" s="54" t="s">
        <v>972</v>
      </c>
      <c r="BM2" s="54" t="s">
        <v>973</v>
      </c>
      <c r="BN2" s="54" t="s">
        <v>974</v>
      </c>
    </row>
    <row r="3" spans="1:66" ht="15" customHeight="1">
      <c r="A3" s="66" t="s">
        <v>251</v>
      </c>
      <c r="B3" s="66" t="s">
        <v>301</v>
      </c>
      <c r="C3" s="67" t="s">
        <v>1011</v>
      </c>
      <c r="D3" s="68">
        <v>3</v>
      </c>
      <c r="E3" s="69" t="s">
        <v>132</v>
      </c>
      <c r="F3" s="70">
        <v>32</v>
      </c>
      <c r="G3" s="67"/>
      <c r="H3" s="71"/>
      <c r="I3" s="72"/>
      <c r="J3" s="72"/>
      <c r="K3" s="35" t="s">
        <v>65</v>
      </c>
      <c r="L3" s="73">
        <v>3</v>
      </c>
      <c r="M3" s="73"/>
      <c r="N3" s="74"/>
      <c r="O3" s="81" t="s">
        <v>302</v>
      </c>
      <c r="P3" s="83">
        <v>44483.8409375</v>
      </c>
      <c r="Q3" s="81" t="s">
        <v>304</v>
      </c>
      <c r="R3" s="81"/>
      <c r="S3" s="81"/>
      <c r="T3" s="81"/>
      <c r="U3" s="81"/>
      <c r="V3" s="87" t="str">
        <f>HYPERLINK("https://pbs.twimg.com/profile_images/1445467732405719049/_0Te1Ayn_normal.jpg")</f>
        <v>https://pbs.twimg.com/profile_images/1445467732405719049/_0Te1Ayn_normal.jpg</v>
      </c>
      <c r="W3" s="83">
        <v>44483.8409375</v>
      </c>
      <c r="X3" s="88">
        <v>44483</v>
      </c>
      <c r="Y3" s="90" t="s">
        <v>349</v>
      </c>
      <c r="Z3" s="87" t="str">
        <f>HYPERLINK("https://twitter.com/captainswoop1/status/1448743147912278018")</f>
        <v>https://twitter.com/captainswoop1/status/1448743147912278018</v>
      </c>
      <c r="AA3" s="81"/>
      <c r="AB3" s="81"/>
      <c r="AC3" s="90" t="s">
        <v>390</v>
      </c>
      <c r="AD3" s="90" t="s">
        <v>431</v>
      </c>
      <c r="AE3" s="81" t="b">
        <v>0</v>
      </c>
      <c r="AF3" s="81">
        <v>0</v>
      </c>
      <c r="AG3" s="90" t="s">
        <v>432</v>
      </c>
      <c r="AH3" s="81" t="b">
        <v>0</v>
      </c>
      <c r="AI3" s="81" t="s">
        <v>439</v>
      </c>
      <c r="AJ3" s="81"/>
      <c r="AK3" s="90" t="s">
        <v>441</v>
      </c>
      <c r="AL3" s="81" t="b">
        <v>0</v>
      </c>
      <c r="AM3" s="81">
        <v>0</v>
      </c>
      <c r="AN3" s="90" t="s">
        <v>441</v>
      </c>
      <c r="AO3" s="90" t="s">
        <v>444</v>
      </c>
      <c r="AP3" s="81" t="b">
        <v>0</v>
      </c>
      <c r="AQ3" s="90" t="s">
        <v>431</v>
      </c>
      <c r="AR3" s="81"/>
      <c r="AS3" s="81">
        <v>0</v>
      </c>
      <c r="AT3" s="81">
        <v>0</v>
      </c>
      <c r="AU3" s="81"/>
      <c r="AV3" s="81"/>
      <c r="AW3" s="81"/>
      <c r="AX3" s="81"/>
      <c r="AY3" s="81"/>
      <c r="AZ3" s="81"/>
      <c r="BA3" s="81"/>
      <c r="BB3" s="81"/>
      <c r="BC3">
        <v>1</v>
      </c>
      <c r="BD3" s="81" t="str">
        <f>REPLACE(INDEX(GroupVertices[Group],MATCH(Edges[[#This Row],[Vertex 1]],GroupVertices[Vertex],0)),1,1,"")</f>
        <v>4</v>
      </c>
      <c r="BE3" s="81" t="str">
        <f>REPLACE(INDEX(GroupVertices[Group],MATCH(Edges[[#This Row],[Vertex 2]],GroupVertices[Vertex],0)),1,1,"")</f>
        <v>4</v>
      </c>
      <c r="BF3" s="49"/>
      <c r="BG3" s="50"/>
      <c r="BH3" s="49"/>
      <c r="BI3" s="50"/>
      <c r="BJ3" s="49"/>
      <c r="BK3" s="50"/>
      <c r="BL3" s="49"/>
      <c r="BM3" s="50"/>
      <c r="BN3" s="49"/>
    </row>
    <row r="4" spans="1:66" ht="15" customHeight="1">
      <c r="A4" s="66" t="s">
        <v>251</v>
      </c>
      <c r="B4" s="66" t="s">
        <v>290</v>
      </c>
      <c r="C4" s="67" t="s">
        <v>1011</v>
      </c>
      <c r="D4" s="68">
        <v>3</v>
      </c>
      <c r="E4" s="69" t="s">
        <v>132</v>
      </c>
      <c r="F4" s="70">
        <v>32</v>
      </c>
      <c r="G4" s="67"/>
      <c r="H4" s="71"/>
      <c r="I4" s="72"/>
      <c r="J4" s="72"/>
      <c r="K4" s="35" t="s">
        <v>65</v>
      </c>
      <c r="L4" s="80">
        <v>4</v>
      </c>
      <c r="M4" s="80"/>
      <c r="N4" s="74"/>
      <c r="O4" s="82" t="s">
        <v>302</v>
      </c>
      <c r="P4" s="84">
        <v>44483.8409375</v>
      </c>
      <c r="Q4" s="82" t="s">
        <v>304</v>
      </c>
      <c r="R4" s="82"/>
      <c r="S4" s="82"/>
      <c r="T4" s="82"/>
      <c r="U4" s="82"/>
      <c r="V4" s="85" t="str">
        <f>HYPERLINK("https://pbs.twimg.com/profile_images/1445467732405719049/_0Te1Ayn_normal.jpg")</f>
        <v>https://pbs.twimg.com/profile_images/1445467732405719049/_0Te1Ayn_normal.jpg</v>
      </c>
      <c r="W4" s="84">
        <v>44483.8409375</v>
      </c>
      <c r="X4" s="89">
        <v>44483</v>
      </c>
      <c r="Y4" s="86" t="s">
        <v>349</v>
      </c>
      <c r="Z4" s="85" t="str">
        <f>HYPERLINK("https://twitter.com/captainswoop1/status/1448743147912278018")</f>
        <v>https://twitter.com/captainswoop1/status/1448743147912278018</v>
      </c>
      <c r="AA4" s="82"/>
      <c r="AB4" s="82"/>
      <c r="AC4" s="86" t="s">
        <v>390</v>
      </c>
      <c r="AD4" s="86" t="s">
        <v>431</v>
      </c>
      <c r="AE4" s="82" t="b">
        <v>0</v>
      </c>
      <c r="AF4" s="82">
        <v>0</v>
      </c>
      <c r="AG4" s="86" t="s">
        <v>432</v>
      </c>
      <c r="AH4" s="82" t="b">
        <v>0</v>
      </c>
      <c r="AI4" s="82" t="s">
        <v>439</v>
      </c>
      <c r="AJ4" s="82"/>
      <c r="AK4" s="86" t="s">
        <v>441</v>
      </c>
      <c r="AL4" s="82" t="b">
        <v>0</v>
      </c>
      <c r="AM4" s="82">
        <v>0</v>
      </c>
      <c r="AN4" s="86" t="s">
        <v>441</v>
      </c>
      <c r="AO4" s="86" t="s">
        <v>444</v>
      </c>
      <c r="AP4" s="82" t="b">
        <v>0</v>
      </c>
      <c r="AQ4" s="86" t="s">
        <v>431</v>
      </c>
      <c r="AR4" s="82"/>
      <c r="AS4" s="82">
        <v>0</v>
      </c>
      <c r="AT4" s="82">
        <v>0</v>
      </c>
      <c r="AU4" s="82"/>
      <c r="AV4" s="82"/>
      <c r="AW4" s="82"/>
      <c r="AX4" s="82"/>
      <c r="AY4" s="82"/>
      <c r="AZ4" s="82"/>
      <c r="BA4" s="82"/>
      <c r="BB4" s="82"/>
      <c r="BC4">
        <v>1</v>
      </c>
      <c r="BD4" s="81" t="str">
        <f>REPLACE(INDEX(GroupVertices[Group],MATCH(Edges[[#This Row],[Vertex 1]],GroupVertices[Vertex],0)),1,1,"")</f>
        <v>4</v>
      </c>
      <c r="BE4" s="81" t="str">
        <f>REPLACE(INDEX(GroupVertices[Group],MATCH(Edges[[#This Row],[Vertex 2]],GroupVertices[Vertex],0)),1,1,"")</f>
        <v>1</v>
      </c>
      <c r="BF4" s="49"/>
      <c r="BG4" s="50"/>
      <c r="BH4" s="49"/>
      <c r="BI4" s="50"/>
      <c r="BJ4" s="49"/>
      <c r="BK4" s="50"/>
      <c r="BL4" s="49"/>
      <c r="BM4" s="50"/>
      <c r="BN4" s="49"/>
    </row>
    <row r="5" spans="1:66" ht="15">
      <c r="A5" s="66" t="s">
        <v>251</v>
      </c>
      <c r="B5" s="66" t="s">
        <v>291</v>
      </c>
      <c r="C5" s="67" t="s">
        <v>1011</v>
      </c>
      <c r="D5" s="68">
        <v>3</v>
      </c>
      <c r="E5" s="69" t="s">
        <v>132</v>
      </c>
      <c r="F5" s="70">
        <v>32</v>
      </c>
      <c r="G5" s="67"/>
      <c r="H5" s="71"/>
      <c r="I5" s="72"/>
      <c r="J5" s="72"/>
      <c r="K5" s="35" t="s">
        <v>65</v>
      </c>
      <c r="L5" s="80">
        <v>5</v>
      </c>
      <c r="M5" s="80"/>
      <c r="N5" s="74"/>
      <c r="O5" s="82" t="s">
        <v>302</v>
      </c>
      <c r="P5" s="84">
        <v>44483.8409375</v>
      </c>
      <c r="Q5" s="82" t="s">
        <v>304</v>
      </c>
      <c r="R5" s="82"/>
      <c r="S5" s="82"/>
      <c r="T5" s="82"/>
      <c r="U5" s="82"/>
      <c r="V5" s="85" t="str">
        <f>HYPERLINK("https://pbs.twimg.com/profile_images/1445467732405719049/_0Te1Ayn_normal.jpg")</f>
        <v>https://pbs.twimg.com/profile_images/1445467732405719049/_0Te1Ayn_normal.jpg</v>
      </c>
      <c r="W5" s="84">
        <v>44483.8409375</v>
      </c>
      <c r="X5" s="89">
        <v>44483</v>
      </c>
      <c r="Y5" s="86" t="s">
        <v>349</v>
      </c>
      <c r="Z5" s="85" t="str">
        <f>HYPERLINK("https://twitter.com/captainswoop1/status/1448743147912278018")</f>
        <v>https://twitter.com/captainswoop1/status/1448743147912278018</v>
      </c>
      <c r="AA5" s="82"/>
      <c r="AB5" s="82"/>
      <c r="AC5" s="86" t="s">
        <v>390</v>
      </c>
      <c r="AD5" s="86" t="s">
        <v>431</v>
      </c>
      <c r="AE5" s="82" t="b">
        <v>0</v>
      </c>
      <c r="AF5" s="82">
        <v>0</v>
      </c>
      <c r="AG5" s="86" t="s">
        <v>432</v>
      </c>
      <c r="AH5" s="82" t="b">
        <v>0</v>
      </c>
      <c r="AI5" s="82" t="s">
        <v>439</v>
      </c>
      <c r="AJ5" s="82"/>
      <c r="AK5" s="86" t="s">
        <v>441</v>
      </c>
      <c r="AL5" s="82" t="b">
        <v>0</v>
      </c>
      <c r="AM5" s="82">
        <v>0</v>
      </c>
      <c r="AN5" s="86" t="s">
        <v>441</v>
      </c>
      <c r="AO5" s="86" t="s">
        <v>444</v>
      </c>
      <c r="AP5" s="82" t="b">
        <v>0</v>
      </c>
      <c r="AQ5" s="86" t="s">
        <v>431</v>
      </c>
      <c r="AR5" s="82"/>
      <c r="AS5" s="82">
        <v>0</v>
      </c>
      <c r="AT5" s="82">
        <v>0</v>
      </c>
      <c r="AU5" s="82"/>
      <c r="AV5" s="82"/>
      <c r="AW5" s="82"/>
      <c r="AX5" s="82"/>
      <c r="AY5" s="82"/>
      <c r="AZ5" s="82"/>
      <c r="BA5" s="82"/>
      <c r="BB5" s="82"/>
      <c r="BC5">
        <v>1</v>
      </c>
      <c r="BD5" s="81" t="str">
        <f>REPLACE(INDEX(GroupVertices[Group],MATCH(Edges[[#This Row],[Vertex 1]],GroupVertices[Vertex],0)),1,1,"")</f>
        <v>4</v>
      </c>
      <c r="BE5" s="81" t="str">
        <f>REPLACE(INDEX(GroupVertices[Group],MATCH(Edges[[#This Row],[Vertex 2]],GroupVertices[Vertex],0)),1,1,"")</f>
        <v>1</v>
      </c>
      <c r="BF5" s="49"/>
      <c r="BG5" s="50"/>
      <c r="BH5" s="49"/>
      <c r="BI5" s="50"/>
      <c r="BJ5" s="49"/>
      <c r="BK5" s="50"/>
      <c r="BL5" s="49"/>
      <c r="BM5" s="50"/>
      <c r="BN5" s="49"/>
    </row>
    <row r="6" spans="1:66" ht="15">
      <c r="A6" s="66" t="s">
        <v>251</v>
      </c>
      <c r="B6" s="66" t="s">
        <v>289</v>
      </c>
      <c r="C6" s="67" t="s">
        <v>1011</v>
      </c>
      <c r="D6" s="68">
        <v>3</v>
      </c>
      <c r="E6" s="69" t="s">
        <v>132</v>
      </c>
      <c r="F6" s="70">
        <v>32</v>
      </c>
      <c r="G6" s="67"/>
      <c r="H6" s="71"/>
      <c r="I6" s="72"/>
      <c r="J6" s="72"/>
      <c r="K6" s="35" t="s">
        <v>65</v>
      </c>
      <c r="L6" s="80">
        <v>6</v>
      </c>
      <c r="M6" s="80"/>
      <c r="N6" s="74"/>
      <c r="O6" s="82" t="s">
        <v>303</v>
      </c>
      <c r="P6" s="84">
        <v>44483.8409375</v>
      </c>
      <c r="Q6" s="82" t="s">
        <v>304</v>
      </c>
      <c r="R6" s="82"/>
      <c r="S6" s="82"/>
      <c r="T6" s="82"/>
      <c r="U6" s="82"/>
      <c r="V6" s="85" t="str">
        <f>HYPERLINK("https://pbs.twimg.com/profile_images/1445467732405719049/_0Te1Ayn_normal.jpg")</f>
        <v>https://pbs.twimg.com/profile_images/1445467732405719049/_0Te1Ayn_normal.jpg</v>
      </c>
      <c r="W6" s="84">
        <v>44483.8409375</v>
      </c>
      <c r="X6" s="89">
        <v>44483</v>
      </c>
      <c r="Y6" s="86" t="s">
        <v>349</v>
      </c>
      <c r="Z6" s="85" t="str">
        <f>HYPERLINK("https://twitter.com/captainswoop1/status/1448743147912278018")</f>
        <v>https://twitter.com/captainswoop1/status/1448743147912278018</v>
      </c>
      <c r="AA6" s="82"/>
      <c r="AB6" s="82"/>
      <c r="AC6" s="86" t="s">
        <v>390</v>
      </c>
      <c r="AD6" s="86" t="s">
        <v>431</v>
      </c>
      <c r="AE6" s="82" t="b">
        <v>0</v>
      </c>
      <c r="AF6" s="82">
        <v>0</v>
      </c>
      <c r="AG6" s="86" t="s">
        <v>432</v>
      </c>
      <c r="AH6" s="82" t="b">
        <v>0</v>
      </c>
      <c r="AI6" s="82" t="s">
        <v>439</v>
      </c>
      <c r="AJ6" s="82"/>
      <c r="AK6" s="86" t="s">
        <v>441</v>
      </c>
      <c r="AL6" s="82" t="b">
        <v>0</v>
      </c>
      <c r="AM6" s="82">
        <v>0</v>
      </c>
      <c r="AN6" s="86" t="s">
        <v>441</v>
      </c>
      <c r="AO6" s="86" t="s">
        <v>444</v>
      </c>
      <c r="AP6" s="82" t="b">
        <v>0</v>
      </c>
      <c r="AQ6" s="86" t="s">
        <v>431</v>
      </c>
      <c r="AR6" s="82"/>
      <c r="AS6" s="82">
        <v>0</v>
      </c>
      <c r="AT6" s="82">
        <v>0</v>
      </c>
      <c r="AU6" s="82"/>
      <c r="AV6" s="82"/>
      <c r="AW6" s="82"/>
      <c r="AX6" s="82"/>
      <c r="AY6" s="82"/>
      <c r="AZ6" s="82"/>
      <c r="BA6" s="82"/>
      <c r="BB6" s="82"/>
      <c r="BC6">
        <v>1</v>
      </c>
      <c r="BD6" s="81" t="str">
        <f>REPLACE(INDEX(GroupVertices[Group],MATCH(Edges[[#This Row],[Vertex 1]],GroupVertices[Vertex],0)),1,1,"")</f>
        <v>4</v>
      </c>
      <c r="BE6" s="81" t="str">
        <f>REPLACE(INDEX(GroupVertices[Group],MATCH(Edges[[#This Row],[Vertex 2]],GroupVertices[Vertex],0)),1,1,"")</f>
        <v>1</v>
      </c>
      <c r="BF6" s="49">
        <v>0</v>
      </c>
      <c r="BG6" s="50">
        <v>0</v>
      </c>
      <c r="BH6" s="49">
        <v>0</v>
      </c>
      <c r="BI6" s="50">
        <v>0</v>
      </c>
      <c r="BJ6" s="49">
        <v>0</v>
      </c>
      <c r="BK6" s="50">
        <v>0</v>
      </c>
      <c r="BL6" s="49">
        <v>10</v>
      </c>
      <c r="BM6" s="50">
        <v>100</v>
      </c>
      <c r="BN6" s="49">
        <v>10</v>
      </c>
    </row>
    <row r="7" spans="1:66" ht="15">
      <c r="A7" s="66" t="s">
        <v>252</v>
      </c>
      <c r="B7" s="66" t="s">
        <v>290</v>
      </c>
      <c r="C7" s="67" t="s">
        <v>1011</v>
      </c>
      <c r="D7" s="68">
        <v>3</v>
      </c>
      <c r="E7" s="69" t="s">
        <v>132</v>
      </c>
      <c r="F7" s="70">
        <v>32</v>
      </c>
      <c r="G7" s="67"/>
      <c r="H7" s="71"/>
      <c r="I7" s="72"/>
      <c r="J7" s="72"/>
      <c r="K7" s="35" t="s">
        <v>65</v>
      </c>
      <c r="L7" s="80">
        <v>7</v>
      </c>
      <c r="M7" s="80"/>
      <c r="N7" s="74"/>
      <c r="O7" s="82" t="s">
        <v>302</v>
      </c>
      <c r="P7" s="84">
        <v>44483.39172453704</v>
      </c>
      <c r="Q7" s="82" t="s">
        <v>305</v>
      </c>
      <c r="R7" s="82"/>
      <c r="S7" s="82"/>
      <c r="T7" s="82"/>
      <c r="U7" s="82"/>
      <c r="V7" s="85" t="str">
        <f>HYPERLINK("https://pbs.twimg.com/profile_images/1147189389883314176/IVBeucq3_normal.jpg")</f>
        <v>https://pbs.twimg.com/profile_images/1147189389883314176/IVBeucq3_normal.jpg</v>
      </c>
      <c r="W7" s="84">
        <v>44483.39172453704</v>
      </c>
      <c r="X7" s="89">
        <v>44483</v>
      </c>
      <c r="Y7" s="86" t="s">
        <v>350</v>
      </c>
      <c r="Z7" s="85" t="str">
        <f>HYPERLINK("https://twitter.com/robstewauthor/status/1448580358103080960")</f>
        <v>https://twitter.com/robstewauthor/status/1448580358103080960</v>
      </c>
      <c r="AA7" s="82"/>
      <c r="AB7" s="82"/>
      <c r="AC7" s="86" t="s">
        <v>391</v>
      </c>
      <c r="AD7" s="86" t="s">
        <v>415</v>
      </c>
      <c r="AE7" s="82" t="b">
        <v>0</v>
      </c>
      <c r="AF7" s="82">
        <v>1</v>
      </c>
      <c r="AG7" s="86" t="s">
        <v>433</v>
      </c>
      <c r="AH7" s="82" t="b">
        <v>0</v>
      </c>
      <c r="AI7" s="82" t="s">
        <v>439</v>
      </c>
      <c r="AJ7" s="82"/>
      <c r="AK7" s="86" t="s">
        <v>441</v>
      </c>
      <c r="AL7" s="82" t="b">
        <v>0</v>
      </c>
      <c r="AM7" s="82">
        <v>0</v>
      </c>
      <c r="AN7" s="86" t="s">
        <v>441</v>
      </c>
      <c r="AO7" s="86" t="s">
        <v>444</v>
      </c>
      <c r="AP7" s="82" t="b">
        <v>0</v>
      </c>
      <c r="AQ7" s="86" t="s">
        <v>415</v>
      </c>
      <c r="AR7" s="82"/>
      <c r="AS7" s="82">
        <v>0</v>
      </c>
      <c r="AT7" s="82">
        <v>0</v>
      </c>
      <c r="AU7" s="82"/>
      <c r="AV7" s="82"/>
      <c r="AW7" s="82"/>
      <c r="AX7" s="82"/>
      <c r="AY7" s="82"/>
      <c r="AZ7" s="82"/>
      <c r="BA7" s="82"/>
      <c r="BB7" s="82"/>
      <c r="BC7">
        <v>1</v>
      </c>
      <c r="BD7" s="81" t="str">
        <f>REPLACE(INDEX(GroupVertices[Group],MATCH(Edges[[#This Row],[Vertex 1]],GroupVertices[Vertex],0)),1,1,"")</f>
        <v>2</v>
      </c>
      <c r="BE7" s="81" t="str">
        <f>REPLACE(INDEX(GroupVertices[Group],MATCH(Edges[[#This Row],[Vertex 2]],GroupVertices[Vertex],0)),1,1,"")</f>
        <v>1</v>
      </c>
      <c r="BF7" s="49"/>
      <c r="BG7" s="50"/>
      <c r="BH7" s="49"/>
      <c r="BI7" s="50"/>
      <c r="BJ7" s="49"/>
      <c r="BK7" s="50"/>
      <c r="BL7" s="49"/>
      <c r="BM7" s="50"/>
      <c r="BN7" s="49"/>
    </row>
    <row r="8" spans="1:66" ht="15">
      <c r="A8" s="66" t="s">
        <v>252</v>
      </c>
      <c r="B8" s="66" t="s">
        <v>291</v>
      </c>
      <c r="C8" s="67" t="s">
        <v>1011</v>
      </c>
      <c r="D8" s="68">
        <v>3</v>
      </c>
      <c r="E8" s="69" t="s">
        <v>132</v>
      </c>
      <c r="F8" s="70">
        <v>32</v>
      </c>
      <c r="G8" s="67"/>
      <c r="H8" s="71"/>
      <c r="I8" s="72"/>
      <c r="J8" s="72"/>
      <c r="K8" s="35" t="s">
        <v>65</v>
      </c>
      <c r="L8" s="80">
        <v>8</v>
      </c>
      <c r="M8" s="80"/>
      <c r="N8" s="74"/>
      <c r="O8" s="82" t="s">
        <v>302</v>
      </c>
      <c r="P8" s="84">
        <v>44483.39172453704</v>
      </c>
      <c r="Q8" s="82" t="s">
        <v>305</v>
      </c>
      <c r="R8" s="82"/>
      <c r="S8" s="82"/>
      <c r="T8" s="82"/>
      <c r="U8" s="82"/>
      <c r="V8" s="85" t="str">
        <f>HYPERLINK("https://pbs.twimg.com/profile_images/1147189389883314176/IVBeucq3_normal.jpg")</f>
        <v>https://pbs.twimg.com/profile_images/1147189389883314176/IVBeucq3_normal.jpg</v>
      </c>
      <c r="W8" s="84">
        <v>44483.39172453704</v>
      </c>
      <c r="X8" s="89">
        <v>44483</v>
      </c>
      <c r="Y8" s="86" t="s">
        <v>350</v>
      </c>
      <c r="Z8" s="85" t="str">
        <f>HYPERLINK("https://twitter.com/robstewauthor/status/1448580358103080960")</f>
        <v>https://twitter.com/robstewauthor/status/1448580358103080960</v>
      </c>
      <c r="AA8" s="82"/>
      <c r="AB8" s="82"/>
      <c r="AC8" s="86" t="s">
        <v>391</v>
      </c>
      <c r="AD8" s="86" t="s">
        <v>415</v>
      </c>
      <c r="AE8" s="82" t="b">
        <v>0</v>
      </c>
      <c r="AF8" s="82">
        <v>1</v>
      </c>
      <c r="AG8" s="86" t="s">
        <v>433</v>
      </c>
      <c r="AH8" s="82" t="b">
        <v>0</v>
      </c>
      <c r="AI8" s="82" t="s">
        <v>439</v>
      </c>
      <c r="AJ8" s="82"/>
      <c r="AK8" s="86" t="s">
        <v>441</v>
      </c>
      <c r="AL8" s="82" t="b">
        <v>0</v>
      </c>
      <c r="AM8" s="82">
        <v>0</v>
      </c>
      <c r="AN8" s="86" t="s">
        <v>441</v>
      </c>
      <c r="AO8" s="86" t="s">
        <v>444</v>
      </c>
      <c r="AP8" s="82" t="b">
        <v>0</v>
      </c>
      <c r="AQ8" s="86" t="s">
        <v>415</v>
      </c>
      <c r="AR8" s="82"/>
      <c r="AS8" s="82">
        <v>0</v>
      </c>
      <c r="AT8" s="82">
        <v>0</v>
      </c>
      <c r="AU8" s="82"/>
      <c r="AV8" s="82"/>
      <c r="AW8" s="82"/>
      <c r="AX8" s="82"/>
      <c r="AY8" s="82"/>
      <c r="AZ8" s="82"/>
      <c r="BA8" s="82"/>
      <c r="BB8" s="82"/>
      <c r="BC8">
        <v>1</v>
      </c>
      <c r="BD8" s="81" t="str">
        <f>REPLACE(INDEX(GroupVertices[Group],MATCH(Edges[[#This Row],[Vertex 1]],GroupVertices[Vertex],0)),1,1,"")</f>
        <v>2</v>
      </c>
      <c r="BE8" s="81" t="str">
        <f>REPLACE(INDEX(GroupVertices[Group],MATCH(Edges[[#This Row],[Vertex 2]],GroupVertices[Vertex],0)),1,1,"")</f>
        <v>1</v>
      </c>
      <c r="BF8" s="49"/>
      <c r="BG8" s="50"/>
      <c r="BH8" s="49"/>
      <c r="BI8" s="50"/>
      <c r="BJ8" s="49"/>
      <c r="BK8" s="50"/>
      <c r="BL8" s="49"/>
      <c r="BM8" s="50"/>
      <c r="BN8" s="49"/>
    </row>
    <row r="9" spans="1:66" ht="15">
      <c r="A9" s="66" t="s">
        <v>252</v>
      </c>
      <c r="B9" s="66" t="s">
        <v>292</v>
      </c>
      <c r="C9" s="67" t="s">
        <v>1011</v>
      </c>
      <c r="D9" s="68">
        <v>3</v>
      </c>
      <c r="E9" s="69" t="s">
        <v>132</v>
      </c>
      <c r="F9" s="70">
        <v>32</v>
      </c>
      <c r="G9" s="67"/>
      <c r="H9" s="71"/>
      <c r="I9" s="72"/>
      <c r="J9" s="72"/>
      <c r="K9" s="35" t="s">
        <v>65</v>
      </c>
      <c r="L9" s="80">
        <v>9</v>
      </c>
      <c r="M9" s="80"/>
      <c r="N9" s="74"/>
      <c r="O9" s="82" t="s">
        <v>302</v>
      </c>
      <c r="P9" s="84">
        <v>44483.39172453704</v>
      </c>
      <c r="Q9" s="82" t="s">
        <v>305</v>
      </c>
      <c r="R9" s="82"/>
      <c r="S9" s="82"/>
      <c r="T9" s="82"/>
      <c r="U9" s="82"/>
      <c r="V9" s="85" t="str">
        <f>HYPERLINK("https://pbs.twimg.com/profile_images/1147189389883314176/IVBeucq3_normal.jpg")</f>
        <v>https://pbs.twimg.com/profile_images/1147189389883314176/IVBeucq3_normal.jpg</v>
      </c>
      <c r="W9" s="84">
        <v>44483.39172453704</v>
      </c>
      <c r="X9" s="89">
        <v>44483</v>
      </c>
      <c r="Y9" s="86" t="s">
        <v>350</v>
      </c>
      <c r="Z9" s="85" t="str">
        <f>HYPERLINK("https://twitter.com/robstewauthor/status/1448580358103080960")</f>
        <v>https://twitter.com/robstewauthor/status/1448580358103080960</v>
      </c>
      <c r="AA9" s="82"/>
      <c r="AB9" s="82"/>
      <c r="AC9" s="86" t="s">
        <v>391</v>
      </c>
      <c r="AD9" s="86" t="s">
        <v>415</v>
      </c>
      <c r="AE9" s="82" t="b">
        <v>0</v>
      </c>
      <c r="AF9" s="82">
        <v>1</v>
      </c>
      <c r="AG9" s="86" t="s">
        <v>433</v>
      </c>
      <c r="AH9" s="82" t="b">
        <v>0</v>
      </c>
      <c r="AI9" s="82" t="s">
        <v>439</v>
      </c>
      <c r="AJ9" s="82"/>
      <c r="AK9" s="86" t="s">
        <v>441</v>
      </c>
      <c r="AL9" s="82" t="b">
        <v>0</v>
      </c>
      <c r="AM9" s="82">
        <v>0</v>
      </c>
      <c r="AN9" s="86" t="s">
        <v>441</v>
      </c>
      <c r="AO9" s="86" t="s">
        <v>444</v>
      </c>
      <c r="AP9" s="82" t="b">
        <v>0</v>
      </c>
      <c r="AQ9" s="86" t="s">
        <v>415</v>
      </c>
      <c r="AR9" s="82"/>
      <c r="AS9" s="82">
        <v>0</v>
      </c>
      <c r="AT9" s="82">
        <v>0</v>
      </c>
      <c r="AU9" s="82"/>
      <c r="AV9" s="82"/>
      <c r="AW9" s="82"/>
      <c r="AX9" s="82"/>
      <c r="AY9" s="82"/>
      <c r="AZ9" s="82"/>
      <c r="BA9" s="82"/>
      <c r="BB9" s="82"/>
      <c r="BC9">
        <v>1</v>
      </c>
      <c r="BD9" s="81" t="str">
        <f>REPLACE(INDEX(GroupVertices[Group],MATCH(Edges[[#This Row],[Vertex 1]],GroupVertices[Vertex],0)),1,1,"")</f>
        <v>2</v>
      </c>
      <c r="BE9" s="81" t="str">
        <f>REPLACE(INDEX(GroupVertices[Group],MATCH(Edges[[#This Row],[Vertex 2]],GroupVertices[Vertex],0)),1,1,"")</f>
        <v>2</v>
      </c>
      <c r="BF9" s="49"/>
      <c r="BG9" s="50"/>
      <c r="BH9" s="49"/>
      <c r="BI9" s="50"/>
      <c r="BJ9" s="49"/>
      <c r="BK9" s="50"/>
      <c r="BL9" s="49"/>
      <c r="BM9" s="50"/>
      <c r="BN9" s="49"/>
    </row>
    <row r="10" spans="1:66" ht="15">
      <c r="A10" s="66" t="s">
        <v>252</v>
      </c>
      <c r="B10" s="66" t="s">
        <v>289</v>
      </c>
      <c r="C10" s="67" t="s">
        <v>1011</v>
      </c>
      <c r="D10" s="68">
        <v>3</v>
      </c>
      <c r="E10" s="69" t="s">
        <v>132</v>
      </c>
      <c r="F10" s="70">
        <v>32</v>
      </c>
      <c r="G10" s="67"/>
      <c r="H10" s="71"/>
      <c r="I10" s="72"/>
      <c r="J10" s="72"/>
      <c r="K10" s="35" t="s">
        <v>65</v>
      </c>
      <c r="L10" s="80">
        <v>10</v>
      </c>
      <c r="M10" s="80"/>
      <c r="N10" s="74"/>
      <c r="O10" s="82" t="s">
        <v>302</v>
      </c>
      <c r="P10" s="84">
        <v>44483.39172453704</v>
      </c>
      <c r="Q10" s="82" t="s">
        <v>305</v>
      </c>
      <c r="R10" s="82"/>
      <c r="S10" s="82"/>
      <c r="T10" s="82"/>
      <c r="U10" s="82"/>
      <c r="V10" s="85" t="str">
        <f>HYPERLINK("https://pbs.twimg.com/profile_images/1147189389883314176/IVBeucq3_normal.jpg")</f>
        <v>https://pbs.twimg.com/profile_images/1147189389883314176/IVBeucq3_normal.jpg</v>
      </c>
      <c r="W10" s="84">
        <v>44483.39172453704</v>
      </c>
      <c r="X10" s="89">
        <v>44483</v>
      </c>
      <c r="Y10" s="86" t="s">
        <v>350</v>
      </c>
      <c r="Z10" s="85" t="str">
        <f>HYPERLINK("https://twitter.com/robstewauthor/status/1448580358103080960")</f>
        <v>https://twitter.com/robstewauthor/status/1448580358103080960</v>
      </c>
      <c r="AA10" s="82"/>
      <c r="AB10" s="82"/>
      <c r="AC10" s="86" t="s">
        <v>391</v>
      </c>
      <c r="AD10" s="86" t="s">
        <v>415</v>
      </c>
      <c r="AE10" s="82" t="b">
        <v>0</v>
      </c>
      <c r="AF10" s="82">
        <v>1</v>
      </c>
      <c r="AG10" s="86" t="s">
        <v>433</v>
      </c>
      <c r="AH10" s="82" t="b">
        <v>0</v>
      </c>
      <c r="AI10" s="82" t="s">
        <v>439</v>
      </c>
      <c r="AJ10" s="82"/>
      <c r="AK10" s="86" t="s">
        <v>441</v>
      </c>
      <c r="AL10" s="82" t="b">
        <v>0</v>
      </c>
      <c r="AM10" s="82">
        <v>0</v>
      </c>
      <c r="AN10" s="86" t="s">
        <v>441</v>
      </c>
      <c r="AO10" s="86" t="s">
        <v>444</v>
      </c>
      <c r="AP10" s="82" t="b">
        <v>0</v>
      </c>
      <c r="AQ10" s="86" t="s">
        <v>415</v>
      </c>
      <c r="AR10" s="82"/>
      <c r="AS10" s="82">
        <v>0</v>
      </c>
      <c r="AT10" s="82">
        <v>0</v>
      </c>
      <c r="AU10" s="82"/>
      <c r="AV10" s="82"/>
      <c r="AW10" s="82"/>
      <c r="AX10" s="82"/>
      <c r="AY10" s="82"/>
      <c r="AZ10" s="82"/>
      <c r="BA10" s="82"/>
      <c r="BB10" s="82"/>
      <c r="BC10">
        <v>1</v>
      </c>
      <c r="BD10" s="81" t="str">
        <f>REPLACE(INDEX(GroupVertices[Group],MATCH(Edges[[#This Row],[Vertex 1]],GroupVertices[Vertex],0)),1,1,"")</f>
        <v>2</v>
      </c>
      <c r="BE10" s="81" t="str">
        <f>REPLACE(INDEX(GroupVertices[Group],MATCH(Edges[[#This Row],[Vertex 2]],GroupVertices[Vertex],0)),1,1,"")</f>
        <v>1</v>
      </c>
      <c r="BF10" s="49"/>
      <c r="BG10" s="50"/>
      <c r="BH10" s="49"/>
      <c r="BI10" s="50"/>
      <c r="BJ10" s="49"/>
      <c r="BK10" s="50"/>
      <c r="BL10" s="49"/>
      <c r="BM10" s="50"/>
      <c r="BN10" s="49"/>
    </row>
    <row r="11" spans="1:66" ht="15">
      <c r="A11" s="66" t="s">
        <v>252</v>
      </c>
      <c r="B11" s="66" t="s">
        <v>274</v>
      </c>
      <c r="C11" s="67" t="s">
        <v>1011</v>
      </c>
      <c r="D11" s="68">
        <v>3</v>
      </c>
      <c r="E11" s="69" t="s">
        <v>132</v>
      </c>
      <c r="F11" s="70">
        <v>32</v>
      </c>
      <c r="G11" s="67"/>
      <c r="H11" s="71"/>
      <c r="I11" s="72"/>
      <c r="J11" s="72"/>
      <c r="K11" s="35" t="s">
        <v>65</v>
      </c>
      <c r="L11" s="80">
        <v>11</v>
      </c>
      <c r="M11" s="80"/>
      <c r="N11" s="74"/>
      <c r="O11" s="82" t="s">
        <v>302</v>
      </c>
      <c r="P11" s="84">
        <v>44483.39172453704</v>
      </c>
      <c r="Q11" s="82" t="s">
        <v>305</v>
      </c>
      <c r="R11" s="82"/>
      <c r="S11" s="82"/>
      <c r="T11" s="82"/>
      <c r="U11" s="82"/>
      <c r="V11" s="85" t="str">
        <f>HYPERLINK("https://pbs.twimg.com/profile_images/1147189389883314176/IVBeucq3_normal.jpg")</f>
        <v>https://pbs.twimg.com/profile_images/1147189389883314176/IVBeucq3_normal.jpg</v>
      </c>
      <c r="W11" s="84">
        <v>44483.39172453704</v>
      </c>
      <c r="X11" s="89">
        <v>44483</v>
      </c>
      <c r="Y11" s="86" t="s">
        <v>350</v>
      </c>
      <c r="Z11" s="85" t="str">
        <f>HYPERLINK("https://twitter.com/robstewauthor/status/1448580358103080960")</f>
        <v>https://twitter.com/robstewauthor/status/1448580358103080960</v>
      </c>
      <c r="AA11" s="82"/>
      <c r="AB11" s="82"/>
      <c r="AC11" s="86" t="s">
        <v>391</v>
      </c>
      <c r="AD11" s="86" t="s">
        <v>415</v>
      </c>
      <c r="AE11" s="82" t="b">
        <v>0</v>
      </c>
      <c r="AF11" s="82">
        <v>1</v>
      </c>
      <c r="AG11" s="86" t="s">
        <v>433</v>
      </c>
      <c r="AH11" s="82" t="b">
        <v>0</v>
      </c>
      <c r="AI11" s="82" t="s">
        <v>439</v>
      </c>
      <c r="AJ11" s="82"/>
      <c r="AK11" s="86" t="s">
        <v>441</v>
      </c>
      <c r="AL11" s="82" t="b">
        <v>0</v>
      </c>
      <c r="AM11" s="82">
        <v>0</v>
      </c>
      <c r="AN11" s="86" t="s">
        <v>441</v>
      </c>
      <c r="AO11" s="86" t="s">
        <v>444</v>
      </c>
      <c r="AP11" s="82" t="b">
        <v>0</v>
      </c>
      <c r="AQ11" s="86" t="s">
        <v>415</v>
      </c>
      <c r="AR11" s="82"/>
      <c r="AS11" s="82">
        <v>0</v>
      </c>
      <c r="AT11" s="82">
        <v>0</v>
      </c>
      <c r="AU11" s="82"/>
      <c r="AV11" s="82"/>
      <c r="AW11" s="82"/>
      <c r="AX11" s="82"/>
      <c r="AY11" s="82"/>
      <c r="AZ11" s="82"/>
      <c r="BA11" s="82"/>
      <c r="BB11" s="82"/>
      <c r="BC11">
        <v>1</v>
      </c>
      <c r="BD11" s="81" t="str">
        <f>REPLACE(INDEX(GroupVertices[Group],MATCH(Edges[[#This Row],[Vertex 1]],GroupVertices[Vertex],0)),1,1,"")</f>
        <v>2</v>
      </c>
      <c r="BE11" s="81" t="str">
        <f>REPLACE(INDEX(GroupVertices[Group],MATCH(Edges[[#This Row],[Vertex 2]],GroupVertices[Vertex],0)),1,1,"")</f>
        <v>2</v>
      </c>
      <c r="BF11" s="49"/>
      <c r="BG11" s="50"/>
      <c r="BH11" s="49"/>
      <c r="BI11" s="50"/>
      <c r="BJ11" s="49"/>
      <c r="BK11" s="50"/>
      <c r="BL11" s="49"/>
      <c r="BM11" s="50"/>
      <c r="BN11" s="49"/>
    </row>
    <row r="12" spans="1:66" ht="15">
      <c r="A12" s="66" t="s">
        <v>252</v>
      </c>
      <c r="B12" s="66" t="s">
        <v>275</v>
      </c>
      <c r="C12" s="67" t="s">
        <v>1011</v>
      </c>
      <c r="D12" s="68">
        <v>3</v>
      </c>
      <c r="E12" s="69" t="s">
        <v>132</v>
      </c>
      <c r="F12" s="70">
        <v>32</v>
      </c>
      <c r="G12" s="67"/>
      <c r="H12" s="71"/>
      <c r="I12" s="72"/>
      <c r="J12" s="72"/>
      <c r="K12" s="35" t="s">
        <v>65</v>
      </c>
      <c r="L12" s="80">
        <v>12</v>
      </c>
      <c r="M12" s="80"/>
      <c r="N12" s="74"/>
      <c r="O12" s="82" t="s">
        <v>303</v>
      </c>
      <c r="P12" s="84">
        <v>44483.39172453704</v>
      </c>
      <c r="Q12" s="82" t="s">
        <v>305</v>
      </c>
      <c r="R12" s="82"/>
      <c r="S12" s="82"/>
      <c r="T12" s="82"/>
      <c r="U12" s="82"/>
      <c r="V12" s="85" t="str">
        <f>HYPERLINK("https://pbs.twimg.com/profile_images/1147189389883314176/IVBeucq3_normal.jpg")</f>
        <v>https://pbs.twimg.com/profile_images/1147189389883314176/IVBeucq3_normal.jpg</v>
      </c>
      <c r="W12" s="84">
        <v>44483.39172453704</v>
      </c>
      <c r="X12" s="89">
        <v>44483</v>
      </c>
      <c r="Y12" s="86" t="s">
        <v>350</v>
      </c>
      <c r="Z12" s="85" t="str">
        <f>HYPERLINK("https://twitter.com/robstewauthor/status/1448580358103080960")</f>
        <v>https://twitter.com/robstewauthor/status/1448580358103080960</v>
      </c>
      <c r="AA12" s="82"/>
      <c r="AB12" s="82"/>
      <c r="AC12" s="86" t="s">
        <v>391</v>
      </c>
      <c r="AD12" s="86" t="s">
        <v>415</v>
      </c>
      <c r="AE12" s="82" t="b">
        <v>0</v>
      </c>
      <c r="AF12" s="82">
        <v>1</v>
      </c>
      <c r="AG12" s="86" t="s">
        <v>433</v>
      </c>
      <c r="AH12" s="82" t="b">
        <v>0</v>
      </c>
      <c r="AI12" s="82" t="s">
        <v>439</v>
      </c>
      <c r="AJ12" s="82"/>
      <c r="AK12" s="86" t="s">
        <v>441</v>
      </c>
      <c r="AL12" s="82" t="b">
        <v>0</v>
      </c>
      <c r="AM12" s="82">
        <v>0</v>
      </c>
      <c r="AN12" s="86" t="s">
        <v>441</v>
      </c>
      <c r="AO12" s="86" t="s">
        <v>444</v>
      </c>
      <c r="AP12" s="82" t="b">
        <v>0</v>
      </c>
      <c r="AQ12" s="86" t="s">
        <v>415</v>
      </c>
      <c r="AR12" s="82"/>
      <c r="AS12" s="82">
        <v>0</v>
      </c>
      <c r="AT12" s="82">
        <v>0</v>
      </c>
      <c r="AU12" s="82"/>
      <c r="AV12" s="82"/>
      <c r="AW12" s="82"/>
      <c r="AX12" s="82"/>
      <c r="AY12" s="82"/>
      <c r="AZ12" s="82"/>
      <c r="BA12" s="82"/>
      <c r="BB12" s="82"/>
      <c r="BC12">
        <v>1</v>
      </c>
      <c r="BD12" s="81" t="str">
        <f>REPLACE(INDEX(GroupVertices[Group],MATCH(Edges[[#This Row],[Vertex 1]],GroupVertices[Vertex],0)),1,1,"")</f>
        <v>2</v>
      </c>
      <c r="BE12" s="81" t="str">
        <f>REPLACE(INDEX(GroupVertices[Group],MATCH(Edges[[#This Row],[Vertex 2]],GroupVertices[Vertex],0)),1,1,"")</f>
        <v>2</v>
      </c>
      <c r="BF12" s="49">
        <v>1</v>
      </c>
      <c r="BG12" s="50">
        <v>12.5</v>
      </c>
      <c r="BH12" s="49">
        <v>0</v>
      </c>
      <c r="BI12" s="50">
        <v>0</v>
      </c>
      <c r="BJ12" s="49">
        <v>0</v>
      </c>
      <c r="BK12" s="50">
        <v>0</v>
      </c>
      <c r="BL12" s="49">
        <v>7</v>
      </c>
      <c r="BM12" s="50">
        <v>87.5</v>
      </c>
      <c r="BN12" s="49">
        <v>8</v>
      </c>
    </row>
    <row r="13" spans="1:66" ht="15">
      <c r="A13" s="66" t="s">
        <v>253</v>
      </c>
      <c r="B13" s="66" t="s">
        <v>290</v>
      </c>
      <c r="C13" s="67" t="s">
        <v>1011</v>
      </c>
      <c r="D13" s="68">
        <v>3</v>
      </c>
      <c r="E13" s="69" t="s">
        <v>132</v>
      </c>
      <c r="F13" s="70">
        <v>32</v>
      </c>
      <c r="G13" s="67"/>
      <c r="H13" s="71"/>
      <c r="I13" s="72"/>
      <c r="J13" s="72"/>
      <c r="K13" s="35" t="s">
        <v>65</v>
      </c>
      <c r="L13" s="80">
        <v>13</v>
      </c>
      <c r="M13" s="80"/>
      <c r="N13" s="74"/>
      <c r="O13" s="82" t="s">
        <v>302</v>
      </c>
      <c r="P13" s="84">
        <v>44484.08361111111</v>
      </c>
      <c r="Q13" s="82" t="s">
        <v>306</v>
      </c>
      <c r="R13" s="85" t="str">
        <f>HYPERLINK("https://twitter.com/PearnSR/status/1448827515565486092?s=20")</f>
        <v>https://twitter.com/PearnSR/status/1448827515565486092?s=20</v>
      </c>
      <c r="S13" s="82" t="s">
        <v>345</v>
      </c>
      <c r="T13" s="82"/>
      <c r="U13" s="82"/>
      <c r="V13" s="85" t="str">
        <f>HYPERLINK("https://pbs.twimg.com/profile_images/1444609130598109185/3aVUaMt4_normal.jpg")</f>
        <v>https://pbs.twimg.com/profile_images/1444609130598109185/3aVUaMt4_normal.jpg</v>
      </c>
      <c r="W13" s="84">
        <v>44484.08361111111</v>
      </c>
      <c r="X13" s="89">
        <v>44484</v>
      </c>
      <c r="Y13" s="86" t="s">
        <v>351</v>
      </c>
      <c r="Z13" s="85" t="str">
        <f>HYPERLINK("https://twitter.com/pearnsr/status/1448831089301233669")</f>
        <v>https://twitter.com/pearnsr/status/1448831089301233669</v>
      </c>
      <c r="AA13" s="82"/>
      <c r="AB13" s="82"/>
      <c r="AC13" s="86" t="s">
        <v>392</v>
      </c>
      <c r="AD13" s="86" t="s">
        <v>431</v>
      </c>
      <c r="AE13" s="82" t="b">
        <v>0</v>
      </c>
      <c r="AF13" s="82">
        <v>3</v>
      </c>
      <c r="AG13" s="86" t="s">
        <v>432</v>
      </c>
      <c r="AH13" s="82" t="b">
        <v>1</v>
      </c>
      <c r="AI13" s="82" t="s">
        <v>440</v>
      </c>
      <c r="AJ13" s="82"/>
      <c r="AK13" s="86" t="s">
        <v>442</v>
      </c>
      <c r="AL13" s="82" t="b">
        <v>0</v>
      </c>
      <c r="AM13" s="82">
        <v>1</v>
      </c>
      <c r="AN13" s="86" t="s">
        <v>441</v>
      </c>
      <c r="AO13" s="86" t="s">
        <v>444</v>
      </c>
      <c r="AP13" s="82" t="b">
        <v>0</v>
      </c>
      <c r="AQ13" s="86" t="s">
        <v>431</v>
      </c>
      <c r="AR13" s="82"/>
      <c r="AS13" s="82">
        <v>0</v>
      </c>
      <c r="AT13" s="82">
        <v>0</v>
      </c>
      <c r="AU13" s="82"/>
      <c r="AV13" s="82"/>
      <c r="AW13" s="82"/>
      <c r="AX13" s="82"/>
      <c r="AY13" s="82"/>
      <c r="AZ13" s="82"/>
      <c r="BA13" s="82"/>
      <c r="BB13" s="82"/>
      <c r="BC13">
        <v>1</v>
      </c>
      <c r="BD13" s="81" t="str">
        <f>REPLACE(INDEX(GroupVertices[Group],MATCH(Edges[[#This Row],[Vertex 1]],GroupVertices[Vertex],0)),1,1,"")</f>
        <v>1</v>
      </c>
      <c r="BE13" s="81" t="str">
        <f>REPLACE(INDEX(GroupVertices[Group],MATCH(Edges[[#This Row],[Vertex 2]],GroupVertices[Vertex],0)),1,1,"")</f>
        <v>1</v>
      </c>
      <c r="BF13" s="49"/>
      <c r="BG13" s="50"/>
      <c r="BH13" s="49"/>
      <c r="BI13" s="50"/>
      <c r="BJ13" s="49"/>
      <c r="BK13" s="50"/>
      <c r="BL13" s="49"/>
      <c r="BM13" s="50"/>
      <c r="BN13" s="49"/>
    </row>
    <row r="14" spans="1:66" ht="15">
      <c r="A14" s="66" t="s">
        <v>253</v>
      </c>
      <c r="B14" s="66" t="s">
        <v>291</v>
      </c>
      <c r="C14" s="67" t="s">
        <v>1011</v>
      </c>
      <c r="D14" s="68">
        <v>3</v>
      </c>
      <c r="E14" s="69" t="s">
        <v>132</v>
      </c>
      <c r="F14" s="70">
        <v>32</v>
      </c>
      <c r="G14" s="67"/>
      <c r="H14" s="71"/>
      <c r="I14" s="72"/>
      <c r="J14" s="72"/>
      <c r="K14" s="35" t="s">
        <v>65</v>
      </c>
      <c r="L14" s="80">
        <v>14</v>
      </c>
      <c r="M14" s="80"/>
      <c r="N14" s="74"/>
      <c r="O14" s="82" t="s">
        <v>302</v>
      </c>
      <c r="P14" s="84">
        <v>44484.08361111111</v>
      </c>
      <c r="Q14" s="82" t="s">
        <v>306</v>
      </c>
      <c r="R14" s="85" t="str">
        <f>HYPERLINK("https://twitter.com/PearnSR/status/1448827515565486092?s=20")</f>
        <v>https://twitter.com/PearnSR/status/1448827515565486092?s=20</v>
      </c>
      <c r="S14" s="82" t="s">
        <v>345</v>
      </c>
      <c r="T14" s="82"/>
      <c r="U14" s="82"/>
      <c r="V14" s="85" t="str">
        <f>HYPERLINK("https://pbs.twimg.com/profile_images/1444609130598109185/3aVUaMt4_normal.jpg")</f>
        <v>https://pbs.twimg.com/profile_images/1444609130598109185/3aVUaMt4_normal.jpg</v>
      </c>
      <c r="W14" s="84">
        <v>44484.08361111111</v>
      </c>
      <c r="X14" s="89">
        <v>44484</v>
      </c>
      <c r="Y14" s="86" t="s">
        <v>351</v>
      </c>
      <c r="Z14" s="85" t="str">
        <f>HYPERLINK("https://twitter.com/pearnsr/status/1448831089301233669")</f>
        <v>https://twitter.com/pearnsr/status/1448831089301233669</v>
      </c>
      <c r="AA14" s="82"/>
      <c r="AB14" s="82"/>
      <c r="AC14" s="86" t="s">
        <v>392</v>
      </c>
      <c r="AD14" s="86" t="s">
        <v>431</v>
      </c>
      <c r="AE14" s="82" t="b">
        <v>0</v>
      </c>
      <c r="AF14" s="82">
        <v>3</v>
      </c>
      <c r="AG14" s="86" t="s">
        <v>432</v>
      </c>
      <c r="AH14" s="82" t="b">
        <v>1</v>
      </c>
      <c r="AI14" s="82" t="s">
        <v>440</v>
      </c>
      <c r="AJ14" s="82"/>
      <c r="AK14" s="86" t="s">
        <v>442</v>
      </c>
      <c r="AL14" s="82" t="b">
        <v>0</v>
      </c>
      <c r="AM14" s="82">
        <v>1</v>
      </c>
      <c r="AN14" s="86" t="s">
        <v>441</v>
      </c>
      <c r="AO14" s="86" t="s">
        <v>444</v>
      </c>
      <c r="AP14" s="82" t="b">
        <v>0</v>
      </c>
      <c r="AQ14" s="86" t="s">
        <v>431</v>
      </c>
      <c r="AR14" s="82"/>
      <c r="AS14" s="82">
        <v>0</v>
      </c>
      <c r="AT14" s="82">
        <v>0</v>
      </c>
      <c r="AU14" s="82"/>
      <c r="AV14" s="82"/>
      <c r="AW14" s="82"/>
      <c r="AX14" s="82"/>
      <c r="AY14" s="82"/>
      <c r="AZ14" s="82"/>
      <c r="BA14" s="82"/>
      <c r="BB14" s="82"/>
      <c r="BC14">
        <v>1</v>
      </c>
      <c r="BD14" s="81" t="str">
        <f>REPLACE(INDEX(GroupVertices[Group],MATCH(Edges[[#This Row],[Vertex 1]],GroupVertices[Vertex],0)),1,1,"")</f>
        <v>1</v>
      </c>
      <c r="BE14" s="81" t="str">
        <f>REPLACE(INDEX(GroupVertices[Group],MATCH(Edges[[#This Row],[Vertex 2]],GroupVertices[Vertex],0)),1,1,"")</f>
        <v>1</v>
      </c>
      <c r="BF14" s="49"/>
      <c r="BG14" s="50"/>
      <c r="BH14" s="49"/>
      <c r="BI14" s="50"/>
      <c r="BJ14" s="49"/>
      <c r="BK14" s="50"/>
      <c r="BL14" s="49"/>
      <c r="BM14" s="50"/>
      <c r="BN14" s="49"/>
    </row>
    <row r="15" spans="1:66" ht="15">
      <c r="A15" s="66" t="s">
        <v>253</v>
      </c>
      <c r="B15" s="66" t="s">
        <v>289</v>
      </c>
      <c r="C15" s="67" t="s">
        <v>1011</v>
      </c>
      <c r="D15" s="68">
        <v>3</v>
      </c>
      <c r="E15" s="69" t="s">
        <v>132</v>
      </c>
      <c r="F15" s="70">
        <v>32</v>
      </c>
      <c r="G15" s="67"/>
      <c r="H15" s="71"/>
      <c r="I15" s="72"/>
      <c r="J15" s="72"/>
      <c r="K15" s="35" t="s">
        <v>65</v>
      </c>
      <c r="L15" s="80">
        <v>15</v>
      </c>
      <c r="M15" s="80"/>
      <c r="N15" s="74"/>
      <c r="O15" s="82" t="s">
        <v>303</v>
      </c>
      <c r="P15" s="84">
        <v>44484.08361111111</v>
      </c>
      <c r="Q15" s="82" t="s">
        <v>306</v>
      </c>
      <c r="R15" s="85" t="str">
        <f>HYPERLINK("https://twitter.com/PearnSR/status/1448827515565486092?s=20")</f>
        <v>https://twitter.com/PearnSR/status/1448827515565486092?s=20</v>
      </c>
      <c r="S15" s="82" t="s">
        <v>345</v>
      </c>
      <c r="T15" s="82"/>
      <c r="U15" s="82"/>
      <c r="V15" s="85" t="str">
        <f>HYPERLINK("https://pbs.twimg.com/profile_images/1444609130598109185/3aVUaMt4_normal.jpg")</f>
        <v>https://pbs.twimg.com/profile_images/1444609130598109185/3aVUaMt4_normal.jpg</v>
      </c>
      <c r="W15" s="84">
        <v>44484.08361111111</v>
      </c>
      <c r="X15" s="89">
        <v>44484</v>
      </c>
      <c r="Y15" s="86" t="s">
        <v>351</v>
      </c>
      <c r="Z15" s="85" t="str">
        <f>HYPERLINK("https://twitter.com/pearnsr/status/1448831089301233669")</f>
        <v>https://twitter.com/pearnsr/status/1448831089301233669</v>
      </c>
      <c r="AA15" s="82"/>
      <c r="AB15" s="82"/>
      <c r="AC15" s="86" t="s">
        <v>392</v>
      </c>
      <c r="AD15" s="86" t="s">
        <v>431</v>
      </c>
      <c r="AE15" s="82" t="b">
        <v>0</v>
      </c>
      <c r="AF15" s="82">
        <v>3</v>
      </c>
      <c r="AG15" s="86" t="s">
        <v>432</v>
      </c>
      <c r="AH15" s="82" t="b">
        <v>1</v>
      </c>
      <c r="AI15" s="82" t="s">
        <v>440</v>
      </c>
      <c r="AJ15" s="82"/>
      <c r="AK15" s="86" t="s">
        <v>442</v>
      </c>
      <c r="AL15" s="82" t="b">
        <v>0</v>
      </c>
      <c r="AM15" s="82">
        <v>1</v>
      </c>
      <c r="AN15" s="86" t="s">
        <v>441</v>
      </c>
      <c r="AO15" s="86" t="s">
        <v>444</v>
      </c>
      <c r="AP15" s="82" t="b">
        <v>0</v>
      </c>
      <c r="AQ15" s="86" t="s">
        <v>431</v>
      </c>
      <c r="AR15" s="82"/>
      <c r="AS15" s="82">
        <v>0</v>
      </c>
      <c r="AT15" s="82">
        <v>0</v>
      </c>
      <c r="AU15" s="82"/>
      <c r="AV15" s="82"/>
      <c r="AW15" s="82"/>
      <c r="AX15" s="82"/>
      <c r="AY15" s="82"/>
      <c r="AZ15" s="82"/>
      <c r="BA15" s="82"/>
      <c r="BB15" s="82"/>
      <c r="BC15">
        <v>1</v>
      </c>
      <c r="BD15" s="81" t="str">
        <f>REPLACE(INDEX(GroupVertices[Group],MATCH(Edges[[#This Row],[Vertex 1]],GroupVertices[Vertex],0)),1,1,"")</f>
        <v>1</v>
      </c>
      <c r="BE15" s="81" t="str">
        <f>REPLACE(INDEX(GroupVertices[Group],MATCH(Edges[[#This Row],[Vertex 2]],GroupVertices[Vertex],0)),1,1,"")</f>
        <v>1</v>
      </c>
      <c r="BF15" s="49">
        <v>0</v>
      </c>
      <c r="BG15" s="50">
        <v>0</v>
      </c>
      <c r="BH15" s="49">
        <v>0</v>
      </c>
      <c r="BI15" s="50">
        <v>0</v>
      </c>
      <c r="BJ15" s="49">
        <v>0</v>
      </c>
      <c r="BK15" s="50">
        <v>0</v>
      </c>
      <c r="BL15" s="49">
        <v>3</v>
      </c>
      <c r="BM15" s="50">
        <v>100</v>
      </c>
      <c r="BN15" s="49">
        <v>3</v>
      </c>
    </row>
    <row r="16" spans="1:66" ht="15">
      <c r="A16" s="66" t="s">
        <v>254</v>
      </c>
      <c r="B16" s="66" t="s">
        <v>290</v>
      </c>
      <c r="C16" s="67" t="s">
        <v>1011</v>
      </c>
      <c r="D16" s="68">
        <v>3</v>
      </c>
      <c r="E16" s="69" t="s">
        <v>132</v>
      </c>
      <c r="F16" s="70">
        <v>32</v>
      </c>
      <c r="G16" s="67"/>
      <c r="H16" s="71"/>
      <c r="I16" s="72"/>
      <c r="J16" s="72"/>
      <c r="K16" s="35" t="s">
        <v>65</v>
      </c>
      <c r="L16" s="80">
        <v>16</v>
      </c>
      <c r="M16" s="80"/>
      <c r="N16" s="74"/>
      <c r="O16" s="82" t="s">
        <v>302</v>
      </c>
      <c r="P16" s="84">
        <v>44483.88793981481</v>
      </c>
      <c r="Q16" s="82" t="s">
        <v>307</v>
      </c>
      <c r="R16" s="82"/>
      <c r="S16" s="82"/>
      <c r="T16" s="82"/>
      <c r="U16" s="82"/>
      <c r="V16" s="85" t="str">
        <f>HYPERLINK("https://abs.twimg.com/sticky/default_profile_images/default_profile_normal.png")</f>
        <v>https://abs.twimg.com/sticky/default_profile_images/default_profile_normal.png</v>
      </c>
      <c r="W16" s="84">
        <v>44483.88793981481</v>
      </c>
      <c r="X16" s="89">
        <v>44483</v>
      </c>
      <c r="Y16" s="86" t="s">
        <v>352</v>
      </c>
      <c r="Z16" s="85" t="str">
        <f>HYPERLINK("https://twitter.com/alisterrussell/status/1448760181010092037")</f>
        <v>https://twitter.com/alisterrussell/status/1448760181010092037</v>
      </c>
      <c r="AA16" s="82"/>
      <c r="AB16" s="82"/>
      <c r="AC16" s="86" t="s">
        <v>393</v>
      </c>
      <c r="AD16" s="86" t="s">
        <v>431</v>
      </c>
      <c r="AE16" s="82" t="b">
        <v>0</v>
      </c>
      <c r="AF16" s="82">
        <v>0</v>
      </c>
      <c r="AG16" s="86" t="s">
        <v>432</v>
      </c>
      <c r="AH16" s="82" t="b">
        <v>0</v>
      </c>
      <c r="AI16" s="82" t="s">
        <v>439</v>
      </c>
      <c r="AJ16" s="82"/>
      <c r="AK16" s="86" t="s">
        <v>441</v>
      </c>
      <c r="AL16" s="82" t="b">
        <v>0</v>
      </c>
      <c r="AM16" s="82">
        <v>0</v>
      </c>
      <c r="AN16" s="86" t="s">
        <v>441</v>
      </c>
      <c r="AO16" s="86" t="s">
        <v>444</v>
      </c>
      <c r="AP16" s="82" t="b">
        <v>0</v>
      </c>
      <c r="AQ16" s="86" t="s">
        <v>431</v>
      </c>
      <c r="AR16" s="82"/>
      <c r="AS16" s="82">
        <v>0</v>
      </c>
      <c r="AT16" s="82">
        <v>0</v>
      </c>
      <c r="AU16" s="82"/>
      <c r="AV16" s="82"/>
      <c r="AW16" s="82"/>
      <c r="AX16" s="82"/>
      <c r="AY16" s="82"/>
      <c r="AZ16" s="82"/>
      <c r="BA16" s="82"/>
      <c r="BB16" s="82"/>
      <c r="BC16">
        <v>1</v>
      </c>
      <c r="BD16" s="81" t="str">
        <f>REPLACE(INDEX(GroupVertices[Group],MATCH(Edges[[#This Row],[Vertex 1]],GroupVertices[Vertex],0)),1,1,"")</f>
        <v>1</v>
      </c>
      <c r="BE16" s="81" t="str">
        <f>REPLACE(INDEX(GroupVertices[Group],MATCH(Edges[[#This Row],[Vertex 2]],GroupVertices[Vertex],0)),1,1,"")</f>
        <v>1</v>
      </c>
      <c r="BF16" s="49"/>
      <c r="BG16" s="50"/>
      <c r="BH16" s="49"/>
      <c r="BI16" s="50"/>
      <c r="BJ16" s="49"/>
      <c r="BK16" s="50"/>
      <c r="BL16" s="49"/>
      <c r="BM16" s="50"/>
      <c r="BN16" s="49"/>
    </row>
    <row r="17" spans="1:66" ht="15">
      <c r="A17" s="66" t="s">
        <v>254</v>
      </c>
      <c r="B17" s="66" t="s">
        <v>291</v>
      </c>
      <c r="C17" s="67" t="s">
        <v>1011</v>
      </c>
      <c r="D17" s="68">
        <v>3</v>
      </c>
      <c r="E17" s="69" t="s">
        <v>132</v>
      </c>
      <c r="F17" s="70">
        <v>32</v>
      </c>
      <c r="G17" s="67"/>
      <c r="H17" s="71"/>
      <c r="I17" s="72"/>
      <c r="J17" s="72"/>
      <c r="K17" s="35" t="s">
        <v>65</v>
      </c>
      <c r="L17" s="80">
        <v>17</v>
      </c>
      <c r="M17" s="80"/>
      <c r="N17" s="74"/>
      <c r="O17" s="82" t="s">
        <v>302</v>
      </c>
      <c r="P17" s="84">
        <v>44483.88793981481</v>
      </c>
      <c r="Q17" s="82" t="s">
        <v>307</v>
      </c>
      <c r="R17" s="82"/>
      <c r="S17" s="82"/>
      <c r="T17" s="82"/>
      <c r="U17" s="82"/>
      <c r="V17" s="85" t="str">
        <f>HYPERLINK("https://abs.twimg.com/sticky/default_profile_images/default_profile_normal.png")</f>
        <v>https://abs.twimg.com/sticky/default_profile_images/default_profile_normal.png</v>
      </c>
      <c r="W17" s="84">
        <v>44483.88793981481</v>
      </c>
      <c r="X17" s="89">
        <v>44483</v>
      </c>
      <c r="Y17" s="86" t="s">
        <v>352</v>
      </c>
      <c r="Z17" s="85" t="str">
        <f>HYPERLINK("https://twitter.com/alisterrussell/status/1448760181010092037")</f>
        <v>https://twitter.com/alisterrussell/status/1448760181010092037</v>
      </c>
      <c r="AA17" s="82"/>
      <c r="AB17" s="82"/>
      <c r="AC17" s="86" t="s">
        <v>393</v>
      </c>
      <c r="AD17" s="86" t="s">
        <v>431</v>
      </c>
      <c r="AE17" s="82" t="b">
        <v>0</v>
      </c>
      <c r="AF17" s="82">
        <v>0</v>
      </c>
      <c r="AG17" s="86" t="s">
        <v>432</v>
      </c>
      <c r="AH17" s="82" t="b">
        <v>0</v>
      </c>
      <c r="AI17" s="82" t="s">
        <v>439</v>
      </c>
      <c r="AJ17" s="82"/>
      <c r="AK17" s="86" t="s">
        <v>441</v>
      </c>
      <c r="AL17" s="82" t="b">
        <v>0</v>
      </c>
      <c r="AM17" s="82">
        <v>0</v>
      </c>
      <c r="AN17" s="86" t="s">
        <v>441</v>
      </c>
      <c r="AO17" s="86" t="s">
        <v>444</v>
      </c>
      <c r="AP17" s="82" t="b">
        <v>0</v>
      </c>
      <c r="AQ17" s="86" t="s">
        <v>431</v>
      </c>
      <c r="AR17" s="82"/>
      <c r="AS17" s="82">
        <v>0</v>
      </c>
      <c r="AT17" s="82">
        <v>0</v>
      </c>
      <c r="AU17" s="82"/>
      <c r="AV17" s="82"/>
      <c r="AW17" s="82"/>
      <c r="AX17" s="82"/>
      <c r="AY17" s="82"/>
      <c r="AZ17" s="82"/>
      <c r="BA17" s="82"/>
      <c r="BB17" s="82"/>
      <c r="BC17">
        <v>1</v>
      </c>
      <c r="BD17" s="81" t="str">
        <f>REPLACE(INDEX(GroupVertices[Group],MATCH(Edges[[#This Row],[Vertex 1]],GroupVertices[Vertex],0)),1,1,"")</f>
        <v>1</v>
      </c>
      <c r="BE17" s="81" t="str">
        <f>REPLACE(INDEX(GroupVertices[Group],MATCH(Edges[[#This Row],[Vertex 2]],GroupVertices[Vertex],0)),1,1,"")</f>
        <v>1</v>
      </c>
      <c r="BF17" s="49"/>
      <c r="BG17" s="50"/>
      <c r="BH17" s="49"/>
      <c r="BI17" s="50"/>
      <c r="BJ17" s="49"/>
      <c r="BK17" s="50"/>
      <c r="BL17" s="49"/>
      <c r="BM17" s="50"/>
      <c r="BN17" s="49"/>
    </row>
    <row r="18" spans="1:66" ht="15">
      <c r="A18" s="66" t="s">
        <v>254</v>
      </c>
      <c r="B18" s="66" t="s">
        <v>289</v>
      </c>
      <c r="C18" s="67" t="s">
        <v>1011</v>
      </c>
      <c r="D18" s="68">
        <v>3</v>
      </c>
      <c r="E18" s="69" t="s">
        <v>132</v>
      </c>
      <c r="F18" s="70">
        <v>32</v>
      </c>
      <c r="G18" s="67"/>
      <c r="H18" s="71"/>
      <c r="I18" s="72"/>
      <c r="J18" s="72"/>
      <c r="K18" s="35" t="s">
        <v>65</v>
      </c>
      <c r="L18" s="80">
        <v>18</v>
      </c>
      <c r="M18" s="80"/>
      <c r="N18" s="74"/>
      <c r="O18" s="82" t="s">
        <v>303</v>
      </c>
      <c r="P18" s="84">
        <v>44483.88793981481</v>
      </c>
      <c r="Q18" s="82" t="s">
        <v>307</v>
      </c>
      <c r="R18" s="82"/>
      <c r="S18" s="82"/>
      <c r="T18" s="82"/>
      <c r="U18" s="82"/>
      <c r="V18" s="85" t="str">
        <f>HYPERLINK("https://abs.twimg.com/sticky/default_profile_images/default_profile_normal.png")</f>
        <v>https://abs.twimg.com/sticky/default_profile_images/default_profile_normal.png</v>
      </c>
      <c r="W18" s="84">
        <v>44483.88793981481</v>
      </c>
      <c r="X18" s="89">
        <v>44483</v>
      </c>
      <c r="Y18" s="86" t="s">
        <v>352</v>
      </c>
      <c r="Z18" s="85" t="str">
        <f>HYPERLINK("https://twitter.com/alisterrussell/status/1448760181010092037")</f>
        <v>https://twitter.com/alisterrussell/status/1448760181010092037</v>
      </c>
      <c r="AA18" s="82"/>
      <c r="AB18" s="82"/>
      <c r="AC18" s="86" t="s">
        <v>393</v>
      </c>
      <c r="AD18" s="86" t="s">
        <v>431</v>
      </c>
      <c r="AE18" s="82" t="b">
        <v>0</v>
      </c>
      <c r="AF18" s="82">
        <v>0</v>
      </c>
      <c r="AG18" s="86" t="s">
        <v>432</v>
      </c>
      <c r="AH18" s="82" t="b">
        <v>0</v>
      </c>
      <c r="AI18" s="82" t="s">
        <v>439</v>
      </c>
      <c r="AJ18" s="82"/>
      <c r="AK18" s="86" t="s">
        <v>441</v>
      </c>
      <c r="AL18" s="82" t="b">
        <v>0</v>
      </c>
      <c r="AM18" s="82">
        <v>0</v>
      </c>
      <c r="AN18" s="86" t="s">
        <v>441</v>
      </c>
      <c r="AO18" s="86" t="s">
        <v>444</v>
      </c>
      <c r="AP18" s="82" t="b">
        <v>0</v>
      </c>
      <c r="AQ18" s="86" t="s">
        <v>431</v>
      </c>
      <c r="AR18" s="82"/>
      <c r="AS18" s="82">
        <v>0</v>
      </c>
      <c r="AT18" s="82">
        <v>0</v>
      </c>
      <c r="AU18" s="82"/>
      <c r="AV18" s="82"/>
      <c r="AW18" s="82"/>
      <c r="AX18" s="82"/>
      <c r="AY18" s="82"/>
      <c r="AZ18" s="82"/>
      <c r="BA18" s="82"/>
      <c r="BB18" s="82"/>
      <c r="BC18">
        <v>1</v>
      </c>
      <c r="BD18" s="81" t="str">
        <f>REPLACE(INDEX(GroupVertices[Group],MATCH(Edges[[#This Row],[Vertex 1]],GroupVertices[Vertex],0)),1,1,"")</f>
        <v>1</v>
      </c>
      <c r="BE18" s="81" t="str">
        <f>REPLACE(INDEX(GroupVertices[Group],MATCH(Edges[[#This Row],[Vertex 2]],GroupVertices[Vertex],0)),1,1,"")</f>
        <v>1</v>
      </c>
      <c r="BF18" s="49">
        <v>0</v>
      </c>
      <c r="BG18" s="50">
        <v>0</v>
      </c>
      <c r="BH18" s="49">
        <v>1</v>
      </c>
      <c r="BI18" s="50">
        <v>14.285714285714286</v>
      </c>
      <c r="BJ18" s="49">
        <v>0</v>
      </c>
      <c r="BK18" s="50">
        <v>0</v>
      </c>
      <c r="BL18" s="49">
        <v>6</v>
      </c>
      <c r="BM18" s="50">
        <v>85.71428571428571</v>
      </c>
      <c r="BN18" s="49">
        <v>7</v>
      </c>
    </row>
    <row r="19" spans="1:66" ht="15">
      <c r="A19" s="66" t="s">
        <v>255</v>
      </c>
      <c r="B19" s="66" t="s">
        <v>290</v>
      </c>
      <c r="C19" s="67" t="s">
        <v>1011</v>
      </c>
      <c r="D19" s="68">
        <v>3</v>
      </c>
      <c r="E19" s="69" t="s">
        <v>132</v>
      </c>
      <c r="F19" s="70">
        <v>32</v>
      </c>
      <c r="G19" s="67"/>
      <c r="H19" s="71"/>
      <c r="I19" s="72"/>
      <c r="J19" s="72"/>
      <c r="K19" s="35" t="s">
        <v>65</v>
      </c>
      <c r="L19" s="80">
        <v>19</v>
      </c>
      <c r="M19" s="80"/>
      <c r="N19" s="74"/>
      <c r="O19" s="82" t="s">
        <v>302</v>
      </c>
      <c r="P19" s="84">
        <v>44483.50398148148</v>
      </c>
      <c r="Q19" s="82" t="s">
        <v>308</v>
      </c>
      <c r="R19" s="82"/>
      <c r="S19" s="82"/>
      <c r="T19" s="82"/>
      <c r="U19" s="82"/>
      <c r="V19" s="85" t="str">
        <f>HYPERLINK("https://pbs.twimg.com/profile_images/1242576120043769857/wLDZBFHc_normal.jpg")</f>
        <v>https://pbs.twimg.com/profile_images/1242576120043769857/wLDZBFHc_normal.jpg</v>
      </c>
      <c r="W19" s="84">
        <v>44483.50398148148</v>
      </c>
      <c r="X19" s="89">
        <v>44483</v>
      </c>
      <c r="Y19" s="86" t="s">
        <v>353</v>
      </c>
      <c r="Z19" s="85" t="str">
        <f>HYPERLINK("https://twitter.com/louisapassfield/status/1448621037579653124")</f>
        <v>https://twitter.com/louisapassfield/status/1448621037579653124</v>
      </c>
      <c r="AA19" s="82"/>
      <c r="AB19" s="82"/>
      <c r="AC19" s="86" t="s">
        <v>394</v>
      </c>
      <c r="AD19" s="86" t="s">
        <v>431</v>
      </c>
      <c r="AE19" s="82" t="b">
        <v>0</v>
      </c>
      <c r="AF19" s="82">
        <v>8</v>
      </c>
      <c r="AG19" s="86" t="s">
        <v>432</v>
      </c>
      <c r="AH19" s="82" t="b">
        <v>0</v>
      </c>
      <c r="AI19" s="82" t="s">
        <v>439</v>
      </c>
      <c r="AJ19" s="82"/>
      <c r="AK19" s="86" t="s">
        <v>441</v>
      </c>
      <c r="AL19" s="82" t="b">
        <v>0</v>
      </c>
      <c r="AM19" s="82">
        <v>1</v>
      </c>
      <c r="AN19" s="86" t="s">
        <v>441</v>
      </c>
      <c r="AO19" s="86" t="s">
        <v>445</v>
      </c>
      <c r="AP19" s="82" t="b">
        <v>0</v>
      </c>
      <c r="AQ19" s="86" t="s">
        <v>431</v>
      </c>
      <c r="AR19" s="82"/>
      <c r="AS19" s="82">
        <v>0</v>
      </c>
      <c r="AT19" s="82">
        <v>0</v>
      </c>
      <c r="AU19" s="82"/>
      <c r="AV19" s="82"/>
      <c r="AW19" s="82"/>
      <c r="AX19" s="82"/>
      <c r="AY19" s="82"/>
      <c r="AZ19" s="82"/>
      <c r="BA19" s="82"/>
      <c r="BB19" s="82"/>
      <c r="BC19">
        <v>1</v>
      </c>
      <c r="BD19" s="81" t="str">
        <f>REPLACE(INDEX(GroupVertices[Group],MATCH(Edges[[#This Row],[Vertex 1]],GroupVertices[Vertex],0)),1,1,"")</f>
        <v>1</v>
      </c>
      <c r="BE19" s="81" t="str">
        <f>REPLACE(INDEX(GroupVertices[Group],MATCH(Edges[[#This Row],[Vertex 2]],GroupVertices[Vertex],0)),1,1,"")</f>
        <v>1</v>
      </c>
      <c r="BF19" s="49"/>
      <c r="BG19" s="50"/>
      <c r="BH19" s="49"/>
      <c r="BI19" s="50"/>
      <c r="BJ19" s="49"/>
      <c r="BK19" s="50"/>
      <c r="BL19" s="49"/>
      <c r="BM19" s="50"/>
      <c r="BN19" s="49"/>
    </row>
    <row r="20" spans="1:66" ht="15">
      <c r="A20" s="66" t="s">
        <v>255</v>
      </c>
      <c r="B20" s="66" t="s">
        <v>291</v>
      </c>
      <c r="C20" s="67" t="s">
        <v>1011</v>
      </c>
      <c r="D20" s="68">
        <v>3</v>
      </c>
      <c r="E20" s="69" t="s">
        <v>132</v>
      </c>
      <c r="F20" s="70">
        <v>32</v>
      </c>
      <c r="G20" s="67"/>
      <c r="H20" s="71"/>
      <c r="I20" s="72"/>
      <c r="J20" s="72"/>
      <c r="K20" s="35" t="s">
        <v>65</v>
      </c>
      <c r="L20" s="80">
        <v>20</v>
      </c>
      <c r="M20" s="80"/>
      <c r="N20" s="74"/>
      <c r="O20" s="82" t="s">
        <v>302</v>
      </c>
      <c r="P20" s="84">
        <v>44483.50398148148</v>
      </c>
      <c r="Q20" s="82" t="s">
        <v>308</v>
      </c>
      <c r="R20" s="82"/>
      <c r="S20" s="82"/>
      <c r="T20" s="82"/>
      <c r="U20" s="82"/>
      <c r="V20" s="85" t="str">
        <f>HYPERLINK("https://pbs.twimg.com/profile_images/1242576120043769857/wLDZBFHc_normal.jpg")</f>
        <v>https://pbs.twimg.com/profile_images/1242576120043769857/wLDZBFHc_normal.jpg</v>
      </c>
      <c r="W20" s="84">
        <v>44483.50398148148</v>
      </c>
      <c r="X20" s="89">
        <v>44483</v>
      </c>
      <c r="Y20" s="86" t="s">
        <v>353</v>
      </c>
      <c r="Z20" s="85" t="str">
        <f>HYPERLINK("https://twitter.com/louisapassfield/status/1448621037579653124")</f>
        <v>https://twitter.com/louisapassfield/status/1448621037579653124</v>
      </c>
      <c r="AA20" s="82"/>
      <c r="AB20" s="82"/>
      <c r="AC20" s="86" t="s">
        <v>394</v>
      </c>
      <c r="AD20" s="86" t="s">
        <v>431</v>
      </c>
      <c r="AE20" s="82" t="b">
        <v>0</v>
      </c>
      <c r="AF20" s="82">
        <v>8</v>
      </c>
      <c r="AG20" s="86" t="s">
        <v>432</v>
      </c>
      <c r="AH20" s="82" t="b">
        <v>0</v>
      </c>
      <c r="AI20" s="82" t="s">
        <v>439</v>
      </c>
      <c r="AJ20" s="82"/>
      <c r="AK20" s="86" t="s">
        <v>441</v>
      </c>
      <c r="AL20" s="82" t="b">
        <v>0</v>
      </c>
      <c r="AM20" s="82">
        <v>1</v>
      </c>
      <c r="AN20" s="86" t="s">
        <v>441</v>
      </c>
      <c r="AO20" s="86" t="s">
        <v>445</v>
      </c>
      <c r="AP20" s="82" t="b">
        <v>0</v>
      </c>
      <c r="AQ20" s="86" t="s">
        <v>431</v>
      </c>
      <c r="AR20" s="82"/>
      <c r="AS20" s="82">
        <v>0</v>
      </c>
      <c r="AT20" s="82">
        <v>0</v>
      </c>
      <c r="AU20" s="82"/>
      <c r="AV20" s="82"/>
      <c r="AW20" s="82"/>
      <c r="AX20" s="82"/>
      <c r="AY20" s="82"/>
      <c r="AZ20" s="82"/>
      <c r="BA20" s="82"/>
      <c r="BB20" s="82"/>
      <c r="BC20">
        <v>1</v>
      </c>
      <c r="BD20" s="81" t="str">
        <f>REPLACE(INDEX(GroupVertices[Group],MATCH(Edges[[#This Row],[Vertex 1]],GroupVertices[Vertex],0)),1,1,"")</f>
        <v>1</v>
      </c>
      <c r="BE20" s="81" t="str">
        <f>REPLACE(INDEX(GroupVertices[Group],MATCH(Edges[[#This Row],[Vertex 2]],GroupVertices[Vertex],0)),1,1,"")</f>
        <v>1</v>
      </c>
      <c r="BF20" s="49"/>
      <c r="BG20" s="50"/>
      <c r="BH20" s="49"/>
      <c r="BI20" s="50"/>
      <c r="BJ20" s="49"/>
      <c r="BK20" s="50"/>
      <c r="BL20" s="49"/>
      <c r="BM20" s="50"/>
      <c r="BN20" s="49"/>
    </row>
    <row r="21" spans="1:66" ht="15">
      <c r="A21" s="66" t="s">
        <v>255</v>
      </c>
      <c r="B21" s="66" t="s">
        <v>289</v>
      </c>
      <c r="C21" s="67" t="s">
        <v>1011</v>
      </c>
      <c r="D21" s="68">
        <v>3</v>
      </c>
      <c r="E21" s="69" t="s">
        <v>132</v>
      </c>
      <c r="F21" s="70">
        <v>32</v>
      </c>
      <c r="G21" s="67"/>
      <c r="H21" s="71"/>
      <c r="I21" s="72"/>
      <c r="J21" s="72"/>
      <c r="K21" s="35" t="s">
        <v>65</v>
      </c>
      <c r="L21" s="80">
        <v>21</v>
      </c>
      <c r="M21" s="80"/>
      <c r="N21" s="74"/>
      <c r="O21" s="82" t="s">
        <v>303</v>
      </c>
      <c r="P21" s="84">
        <v>44483.50398148148</v>
      </c>
      <c r="Q21" s="82" t="s">
        <v>308</v>
      </c>
      <c r="R21" s="82"/>
      <c r="S21" s="82"/>
      <c r="T21" s="82"/>
      <c r="U21" s="82"/>
      <c r="V21" s="85" t="str">
        <f>HYPERLINK("https://pbs.twimg.com/profile_images/1242576120043769857/wLDZBFHc_normal.jpg")</f>
        <v>https://pbs.twimg.com/profile_images/1242576120043769857/wLDZBFHc_normal.jpg</v>
      </c>
      <c r="W21" s="84">
        <v>44483.50398148148</v>
      </c>
      <c r="X21" s="89">
        <v>44483</v>
      </c>
      <c r="Y21" s="86" t="s">
        <v>353</v>
      </c>
      <c r="Z21" s="85" t="str">
        <f>HYPERLINK("https://twitter.com/louisapassfield/status/1448621037579653124")</f>
        <v>https://twitter.com/louisapassfield/status/1448621037579653124</v>
      </c>
      <c r="AA21" s="82"/>
      <c r="AB21" s="82"/>
      <c r="AC21" s="86" t="s">
        <v>394</v>
      </c>
      <c r="AD21" s="86" t="s">
        <v>431</v>
      </c>
      <c r="AE21" s="82" t="b">
        <v>0</v>
      </c>
      <c r="AF21" s="82">
        <v>8</v>
      </c>
      <c r="AG21" s="86" t="s">
        <v>432</v>
      </c>
      <c r="AH21" s="82" t="b">
        <v>0</v>
      </c>
      <c r="AI21" s="82" t="s">
        <v>439</v>
      </c>
      <c r="AJ21" s="82"/>
      <c r="AK21" s="86" t="s">
        <v>441</v>
      </c>
      <c r="AL21" s="82" t="b">
        <v>0</v>
      </c>
      <c r="AM21" s="82">
        <v>1</v>
      </c>
      <c r="AN21" s="86" t="s">
        <v>441</v>
      </c>
      <c r="AO21" s="86" t="s">
        <v>445</v>
      </c>
      <c r="AP21" s="82" t="b">
        <v>0</v>
      </c>
      <c r="AQ21" s="86" t="s">
        <v>431</v>
      </c>
      <c r="AR21" s="82"/>
      <c r="AS21" s="82">
        <v>0</v>
      </c>
      <c r="AT21" s="82">
        <v>0</v>
      </c>
      <c r="AU21" s="82"/>
      <c r="AV21" s="82"/>
      <c r="AW21" s="82"/>
      <c r="AX21" s="82"/>
      <c r="AY21" s="82"/>
      <c r="AZ21" s="82"/>
      <c r="BA21" s="82"/>
      <c r="BB21" s="82"/>
      <c r="BC21">
        <v>1</v>
      </c>
      <c r="BD21" s="81" t="str">
        <f>REPLACE(INDEX(GroupVertices[Group],MATCH(Edges[[#This Row],[Vertex 1]],GroupVertices[Vertex],0)),1,1,"")</f>
        <v>1</v>
      </c>
      <c r="BE21" s="81" t="str">
        <f>REPLACE(INDEX(GroupVertices[Group],MATCH(Edges[[#This Row],[Vertex 2]],GroupVertices[Vertex],0)),1,1,"")</f>
        <v>1</v>
      </c>
      <c r="BF21" s="49">
        <v>0</v>
      </c>
      <c r="BG21" s="50">
        <v>0</v>
      </c>
      <c r="BH21" s="49">
        <v>1</v>
      </c>
      <c r="BI21" s="50">
        <v>7.142857142857143</v>
      </c>
      <c r="BJ21" s="49">
        <v>0</v>
      </c>
      <c r="BK21" s="50">
        <v>0</v>
      </c>
      <c r="BL21" s="49">
        <v>13</v>
      </c>
      <c r="BM21" s="50">
        <v>92.85714285714286</v>
      </c>
      <c r="BN21" s="49">
        <v>14</v>
      </c>
    </row>
    <row r="22" spans="1:66" ht="15">
      <c r="A22" s="66" t="s">
        <v>256</v>
      </c>
      <c r="B22" s="66" t="s">
        <v>290</v>
      </c>
      <c r="C22" s="67" t="s">
        <v>1011</v>
      </c>
      <c r="D22" s="68">
        <v>3</v>
      </c>
      <c r="E22" s="69" t="s">
        <v>132</v>
      </c>
      <c r="F22" s="70">
        <v>32</v>
      </c>
      <c r="G22" s="67"/>
      <c r="H22" s="71"/>
      <c r="I22" s="72"/>
      <c r="J22" s="72"/>
      <c r="K22" s="35" t="s">
        <v>65</v>
      </c>
      <c r="L22" s="80">
        <v>22</v>
      </c>
      <c r="M22" s="80"/>
      <c r="N22" s="74"/>
      <c r="O22" s="82" t="s">
        <v>302</v>
      </c>
      <c r="P22" s="84">
        <v>44483.59039351852</v>
      </c>
      <c r="Q22" s="82" t="s">
        <v>309</v>
      </c>
      <c r="R22" s="82"/>
      <c r="S22" s="82"/>
      <c r="T22" s="82"/>
      <c r="U22" s="82"/>
      <c r="V22" s="85" t="str">
        <f>HYPERLINK("https://abs.twimg.com/sticky/default_profile_images/default_profile_normal.png")</f>
        <v>https://abs.twimg.com/sticky/default_profile_images/default_profile_normal.png</v>
      </c>
      <c r="W22" s="84">
        <v>44483.59039351852</v>
      </c>
      <c r="X22" s="89">
        <v>44483</v>
      </c>
      <c r="Y22" s="86" t="s">
        <v>354</v>
      </c>
      <c r="Z22" s="85" t="str">
        <f>HYPERLINK("https://twitter.com/cwef13/status/1448652355428179979")</f>
        <v>https://twitter.com/cwef13/status/1448652355428179979</v>
      </c>
      <c r="AA22" s="82"/>
      <c r="AB22" s="82"/>
      <c r="AC22" s="86" t="s">
        <v>395</v>
      </c>
      <c r="AD22" s="86" t="s">
        <v>431</v>
      </c>
      <c r="AE22" s="82" t="b">
        <v>0</v>
      </c>
      <c r="AF22" s="82">
        <v>1</v>
      </c>
      <c r="AG22" s="86" t="s">
        <v>432</v>
      </c>
      <c r="AH22" s="82" t="b">
        <v>0</v>
      </c>
      <c r="AI22" s="82" t="s">
        <v>439</v>
      </c>
      <c r="AJ22" s="82"/>
      <c r="AK22" s="86" t="s">
        <v>441</v>
      </c>
      <c r="AL22" s="82" t="b">
        <v>0</v>
      </c>
      <c r="AM22" s="82">
        <v>0</v>
      </c>
      <c r="AN22" s="86" t="s">
        <v>441</v>
      </c>
      <c r="AO22" s="86" t="s">
        <v>445</v>
      </c>
      <c r="AP22" s="82" t="b">
        <v>0</v>
      </c>
      <c r="AQ22" s="86" t="s">
        <v>431</v>
      </c>
      <c r="AR22" s="82"/>
      <c r="AS22" s="82">
        <v>0</v>
      </c>
      <c r="AT22" s="82">
        <v>0</v>
      </c>
      <c r="AU22" s="82"/>
      <c r="AV22" s="82"/>
      <c r="AW22" s="82"/>
      <c r="AX22" s="82"/>
      <c r="AY22" s="82"/>
      <c r="AZ22" s="82"/>
      <c r="BA22" s="82"/>
      <c r="BB22" s="82"/>
      <c r="BC22">
        <v>1</v>
      </c>
      <c r="BD22" s="81" t="str">
        <f>REPLACE(INDEX(GroupVertices[Group],MATCH(Edges[[#This Row],[Vertex 1]],GroupVertices[Vertex],0)),1,1,"")</f>
        <v>2</v>
      </c>
      <c r="BE22" s="81" t="str">
        <f>REPLACE(INDEX(GroupVertices[Group],MATCH(Edges[[#This Row],[Vertex 2]],GroupVertices[Vertex],0)),1,1,"")</f>
        <v>1</v>
      </c>
      <c r="BF22" s="49"/>
      <c r="BG22" s="50"/>
      <c r="BH22" s="49"/>
      <c r="BI22" s="50"/>
      <c r="BJ22" s="49"/>
      <c r="BK22" s="50"/>
      <c r="BL22" s="49"/>
      <c r="BM22" s="50"/>
      <c r="BN22" s="49"/>
    </row>
    <row r="23" spans="1:66" ht="15">
      <c r="A23" s="66" t="s">
        <v>256</v>
      </c>
      <c r="B23" s="66" t="s">
        <v>291</v>
      </c>
      <c r="C23" s="67" t="s">
        <v>1011</v>
      </c>
      <c r="D23" s="68">
        <v>3</v>
      </c>
      <c r="E23" s="69" t="s">
        <v>132</v>
      </c>
      <c r="F23" s="70">
        <v>32</v>
      </c>
      <c r="G23" s="67"/>
      <c r="H23" s="71"/>
      <c r="I23" s="72"/>
      <c r="J23" s="72"/>
      <c r="K23" s="35" t="s">
        <v>65</v>
      </c>
      <c r="L23" s="80">
        <v>23</v>
      </c>
      <c r="M23" s="80"/>
      <c r="N23" s="74"/>
      <c r="O23" s="82" t="s">
        <v>302</v>
      </c>
      <c r="P23" s="84">
        <v>44483.59039351852</v>
      </c>
      <c r="Q23" s="82" t="s">
        <v>309</v>
      </c>
      <c r="R23" s="82"/>
      <c r="S23" s="82"/>
      <c r="T23" s="82"/>
      <c r="U23" s="82"/>
      <c r="V23" s="85" t="str">
        <f>HYPERLINK("https://abs.twimg.com/sticky/default_profile_images/default_profile_normal.png")</f>
        <v>https://abs.twimg.com/sticky/default_profile_images/default_profile_normal.png</v>
      </c>
      <c r="W23" s="84">
        <v>44483.59039351852</v>
      </c>
      <c r="X23" s="89">
        <v>44483</v>
      </c>
      <c r="Y23" s="86" t="s">
        <v>354</v>
      </c>
      <c r="Z23" s="85" t="str">
        <f>HYPERLINK("https://twitter.com/cwef13/status/1448652355428179979")</f>
        <v>https://twitter.com/cwef13/status/1448652355428179979</v>
      </c>
      <c r="AA23" s="82"/>
      <c r="AB23" s="82"/>
      <c r="AC23" s="86" t="s">
        <v>395</v>
      </c>
      <c r="AD23" s="86" t="s">
        <v>431</v>
      </c>
      <c r="AE23" s="82" t="b">
        <v>0</v>
      </c>
      <c r="AF23" s="82">
        <v>1</v>
      </c>
      <c r="AG23" s="86" t="s">
        <v>432</v>
      </c>
      <c r="AH23" s="82" t="b">
        <v>0</v>
      </c>
      <c r="AI23" s="82" t="s">
        <v>439</v>
      </c>
      <c r="AJ23" s="82"/>
      <c r="AK23" s="86" t="s">
        <v>441</v>
      </c>
      <c r="AL23" s="82" t="b">
        <v>0</v>
      </c>
      <c r="AM23" s="82">
        <v>0</v>
      </c>
      <c r="AN23" s="86" t="s">
        <v>441</v>
      </c>
      <c r="AO23" s="86" t="s">
        <v>445</v>
      </c>
      <c r="AP23" s="82" t="b">
        <v>0</v>
      </c>
      <c r="AQ23" s="86" t="s">
        <v>431</v>
      </c>
      <c r="AR23" s="82"/>
      <c r="AS23" s="82">
        <v>0</v>
      </c>
      <c r="AT23" s="82">
        <v>0</v>
      </c>
      <c r="AU23" s="82"/>
      <c r="AV23" s="82"/>
      <c r="AW23" s="82"/>
      <c r="AX23" s="82"/>
      <c r="AY23" s="82"/>
      <c r="AZ23" s="82"/>
      <c r="BA23" s="82"/>
      <c r="BB23" s="82"/>
      <c r="BC23">
        <v>1</v>
      </c>
      <c r="BD23" s="81" t="str">
        <f>REPLACE(INDEX(GroupVertices[Group],MATCH(Edges[[#This Row],[Vertex 1]],GroupVertices[Vertex],0)),1,1,"")</f>
        <v>2</v>
      </c>
      <c r="BE23" s="81" t="str">
        <f>REPLACE(INDEX(GroupVertices[Group],MATCH(Edges[[#This Row],[Vertex 2]],GroupVertices[Vertex],0)),1,1,"")</f>
        <v>1</v>
      </c>
      <c r="BF23" s="49"/>
      <c r="BG23" s="50"/>
      <c r="BH23" s="49"/>
      <c r="BI23" s="50"/>
      <c r="BJ23" s="49"/>
      <c r="BK23" s="50"/>
      <c r="BL23" s="49"/>
      <c r="BM23" s="50"/>
      <c r="BN23" s="49"/>
    </row>
    <row r="24" spans="1:66" ht="15">
      <c r="A24" s="66" t="s">
        <v>256</v>
      </c>
      <c r="B24" s="66" t="s">
        <v>292</v>
      </c>
      <c r="C24" s="67" t="s">
        <v>1011</v>
      </c>
      <c r="D24" s="68">
        <v>3</v>
      </c>
      <c r="E24" s="69" t="s">
        <v>132</v>
      </c>
      <c r="F24" s="70">
        <v>32</v>
      </c>
      <c r="G24" s="67"/>
      <c r="H24" s="71"/>
      <c r="I24" s="72"/>
      <c r="J24" s="72"/>
      <c r="K24" s="35" t="s">
        <v>65</v>
      </c>
      <c r="L24" s="80">
        <v>24</v>
      </c>
      <c r="M24" s="80"/>
      <c r="N24" s="74"/>
      <c r="O24" s="82" t="s">
        <v>302</v>
      </c>
      <c r="P24" s="84">
        <v>44483.59039351852</v>
      </c>
      <c r="Q24" s="82" t="s">
        <v>309</v>
      </c>
      <c r="R24" s="82"/>
      <c r="S24" s="82"/>
      <c r="T24" s="82"/>
      <c r="U24" s="82"/>
      <c r="V24" s="85" t="str">
        <f>HYPERLINK("https://abs.twimg.com/sticky/default_profile_images/default_profile_normal.png")</f>
        <v>https://abs.twimg.com/sticky/default_profile_images/default_profile_normal.png</v>
      </c>
      <c r="W24" s="84">
        <v>44483.59039351852</v>
      </c>
      <c r="X24" s="89">
        <v>44483</v>
      </c>
      <c r="Y24" s="86" t="s">
        <v>354</v>
      </c>
      <c r="Z24" s="85" t="str">
        <f>HYPERLINK("https://twitter.com/cwef13/status/1448652355428179979")</f>
        <v>https://twitter.com/cwef13/status/1448652355428179979</v>
      </c>
      <c r="AA24" s="82"/>
      <c r="AB24" s="82"/>
      <c r="AC24" s="86" t="s">
        <v>395</v>
      </c>
      <c r="AD24" s="86" t="s">
        <v>431</v>
      </c>
      <c r="AE24" s="82" t="b">
        <v>0</v>
      </c>
      <c r="AF24" s="82">
        <v>1</v>
      </c>
      <c r="AG24" s="86" t="s">
        <v>432</v>
      </c>
      <c r="AH24" s="82" t="b">
        <v>0</v>
      </c>
      <c r="AI24" s="82" t="s">
        <v>439</v>
      </c>
      <c r="AJ24" s="82"/>
      <c r="AK24" s="86" t="s">
        <v>441</v>
      </c>
      <c r="AL24" s="82" t="b">
        <v>0</v>
      </c>
      <c r="AM24" s="82">
        <v>0</v>
      </c>
      <c r="AN24" s="86" t="s">
        <v>441</v>
      </c>
      <c r="AO24" s="86" t="s">
        <v>445</v>
      </c>
      <c r="AP24" s="82" t="b">
        <v>0</v>
      </c>
      <c r="AQ24" s="86" t="s">
        <v>431</v>
      </c>
      <c r="AR24" s="82"/>
      <c r="AS24" s="82">
        <v>0</v>
      </c>
      <c r="AT24" s="82">
        <v>0</v>
      </c>
      <c r="AU24" s="82"/>
      <c r="AV24" s="82"/>
      <c r="AW24" s="82"/>
      <c r="AX24" s="82"/>
      <c r="AY24" s="82"/>
      <c r="AZ24" s="82"/>
      <c r="BA24" s="82"/>
      <c r="BB24" s="82"/>
      <c r="BC24">
        <v>1</v>
      </c>
      <c r="BD24" s="81" t="str">
        <f>REPLACE(INDEX(GroupVertices[Group],MATCH(Edges[[#This Row],[Vertex 1]],GroupVertices[Vertex],0)),1,1,"")</f>
        <v>2</v>
      </c>
      <c r="BE24" s="81" t="str">
        <f>REPLACE(INDEX(GroupVertices[Group],MATCH(Edges[[#This Row],[Vertex 2]],GroupVertices[Vertex],0)),1,1,"")</f>
        <v>2</v>
      </c>
      <c r="BF24" s="49"/>
      <c r="BG24" s="50"/>
      <c r="BH24" s="49"/>
      <c r="BI24" s="50"/>
      <c r="BJ24" s="49"/>
      <c r="BK24" s="50"/>
      <c r="BL24" s="49"/>
      <c r="BM24" s="50"/>
      <c r="BN24" s="49"/>
    </row>
    <row r="25" spans="1:66" ht="15">
      <c r="A25" s="66" t="s">
        <v>256</v>
      </c>
      <c r="B25" s="66" t="s">
        <v>289</v>
      </c>
      <c r="C25" s="67" t="s">
        <v>1011</v>
      </c>
      <c r="D25" s="68">
        <v>3</v>
      </c>
      <c r="E25" s="69" t="s">
        <v>132</v>
      </c>
      <c r="F25" s="70">
        <v>32</v>
      </c>
      <c r="G25" s="67"/>
      <c r="H25" s="71"/>
      <c r="I25" s="72"/>
      <c r="J25" s="72"/>
      <c r="K25" s="35" t="s">
        <v>65</v>
      </c>
      <c r="L25" s="80">
        <v>25</v>
      </c>
      <c r="M25" s="80"/>
      <c r="N25" s="74"/>
      <c r="O25" s="82" t="s">
        <v>303</v>
      </c>
      <c r="P25" s="84">
        <v>44483.59039351852</v>
      </c>
      <c r="Q25" s="82" t="s">
        <v>309</v>
      </c>
      <c r="R25" s="82"/>
      <c r="S25" s="82"/>
      <c r="T25" s="82"/>
      <c r="U25" s="82"/>
      <c r="V25" s="85" t="str">
        <f>HYPERLINK("https://abs.twimg.com/sticky/default_profile_images/default_profile_normal.png")</f>
        <v>https://abs.twimg.com/sticky/default_profile_images/default_profile_normal.png</v>
      </c>
      <c r="W25" s="84">
        <v>44483.59039351852</v>
      </c>
      <c r="X25" s="89">
        <v>44483</v>
      </c>
      <c r="Y25" s="86" t="s">
        <v>354</v>
      </c>
      <c r="Z25" s="85" t="str">
        <f>HYPERLINK("https://twitter.com/cwef13/status/1448652355428179979")</f>
        <v>https://twitter.com/cwef13/status/1448652355428179979</v>
      </c>
      <c r="AA25" s="82"/>
      <c r="AB25" s="82"/>
      <c r="AC25" s="86" t="s">
        <v>395</v>
      </c>
      <c r="AD25" s="86" t="s">
        <v>431</v>
      </c>
      <c r="AE25" s="82" t="b">
        <v>0</v>
      </c>
      <c r="AF25" s="82">
        <v>1</v>
      </c>
      <c r="AG25" s="86" t="s">
        <v>432</v>
      </c>
      <c r="AH25" s="82" t="b">
        <v>0</v>
      </c>
      <c r="AI25" s="82" t="s">
        <v>439</v>
      </c>
      <c r="AJ25" s="82"/>
      <c r="AK25" s="86" t="s">
        <v>441</v>
      </c>
      <c r="AL25" s="82" t="b">
        <v>0</v>
      </c>
      <c r="AM25" s="82">
        <v>0</v>
      </c>
      <c r="AN25" s="86" t="s">
        <v>441</v>
      </c>
      <c r="AO25" s="86" t="s">
        <v>445</v>
      </c>
      <c r="AP25" s="82" t="b">
        <v>0</v>
      </c>
      <c r="AQ25" s="86" t="s">
        <v>431</v>
      </c>
      <c r="AR25" s="82"/>
      <c r="AS25" s="82">
        <v>0</v>
      </c>
      <c r="AT25" s="82">
        <v>0</v>
      </c>
      <c r="AU25" s="82"/>
      <c r="AV25" s="82"/>
      <c r="AW25" s="82"/>
      <c r="AX25" s="82"/>
      <c r="AY25" s="82"/>
      <c r="AZ25" s="82"/>
      <c r="BA25" s="82"/>
      <c r="BB25" s="82"/>
      <c r="BC25">
        <v>1</v>
      </c>
      <c r="BD25" s="81" t="str">
        <f>REPLACE(INDEX(GroupVertices[Group],MATCH(Edges[[#This Row],[Vertex 1]],GroupVertices[Vertex],0)),1,1,"")</f>
        <v>2</v>
      </c>
      <c r="BE25" s="81" t="str">
        <f>REPLACE(INDEX(GroupVertices[Group],MATCH(Edges[[#This Row],[Vertex 2]],GroupVertices[Vertex],0)),1,1,"")</f>
        <v>1</v>
      </c>
      <c r="BF25" s="49">
        <v>0</v>
      </c>
      <c r="BG25" s="50">
        <v>0</v>
      </c>
      <c r="BH25" s="49">
        <v>0</v>
      </c>
      <c r="BI25" s="50">
        <v>0</v>
      </c>
      <c r="BJ25" s="49">
        <v>0</v>
      </c>
      <c r="BK25" s="50">
        <v>0</v>
      </c>
      <c r="BL25" s="49">
        <v>12</v>
      </c>
      <c r="BM25" s="50">
        <v>100</v>
      </c>
      <c r="BN25" s="49">
        <v>12</v>
      </c>
    </row>
    <row r="26" spans="1:66" ht="15">
      <c r="A26" s="66" t="s">
        <v>257</v>
      </c>
      <c r="B26" s="66" t="s">
        <v>290</v>
      </c>
      <c r="C26" s="67" t="s">
        <v>1011</v>
      </c>
      <c r="D26" s="68">
        <v>3</v>
      </c>
      <c r="E26" s="69" t="s">
        <v>132</v>
      </c>
      <c r="F26" s="70">
        <v>32</v>
      </c>
      <c r="G26" s="67"/>
      <c r="H26" s="71"/>
      <c r="I26" s="72"/>
      <c r="J26" s="72"/>
      <c r="K26" s="35" t="s">
        <v>65</v>
      </c>
      <c r="L26" s="80">
        <v>26</v>
      </c>
      <c r="M26" s="80"/>
      <c r="N26" s="74"/>
      <c r="O26" s="82" t="s">
        <v>302</v>
      </c>
      <c r="P26" s="84">
        <v>44483.43480324074</v>
      </c>
      <c r="Q26" s="82" t="s">
        <v>310</v>
      </c>
      <c r="R26" s="82"/>
      <c r="S26" s="82"/>
      <c r="T26" s="86" t="s">
        <v>346</v>
      </c>
      <c r="U26" s="82"/>
      <c r="V26" s="85" t="str">
        <f>HYPERLINK("https://pbs.twimg.com/profile_images/755042691268743168/MXMH9eiM_normal.jpg")</f>
        <v>https://pbs.twimg.com/profile_images/755042691268743168/MXMH9eiM_normal.jpg</v>
      </c>
      <c r="W26" s="84">
        <v>44483.43480324074</v>
      </c>
      <c r="X26" s="89">
        <v>44483</v>
      </c>
      <c r="Y26" s="86" t="s">
        <v>355</v>
      </c>
      <c r="Z26" s="85" t="str">
        <f>HYPERLINK("https://twitter.com/dodlink/status/1448595969822625794")</f>
        <v>https://twitter.com/dodlink/status/1448595969822625794</v>
      </c>
      <c r="AA26" s="82"/>
      <c r="AB26" s="82"/>
      <c r="AC26" s="86" t="s">
        <v>396</v>
      </c>
      <c r="AD26" s="86" t="s">
        <v>431</v>
      </c>
      <c r="AE26" s="82" t="b">
        <v>0</v>
      </c>
      <c r="AF26" s="82">
        <v>6</v>
      </c>
      <c r="AG26" s="86" t="s">
        <v>432</v>
      </c>
      <c r="AH26" s="82" t="b">
        <v>0</v>
      </c>
      <c r="AI26" s="82" t="s">
        <v>439</v>
      </c>
      <c r="AJ26" s="82"/>
      <c r="AK26" s="86" t="s">
        <v>441</v>
      </c>
      <c r="AL26" s="82" t="b">
        <v>0</v>
      </c>
      <c r="AM26" s="82">
        <v>2</v>
      </c>
      <c r="AN26" s="86" t="s">
        <v>441</v>
      </c>
      <c r="AO26" s="86" t="s">
        <v>445</v>
      </c>
      <c r="AP26" s="82" t="b">
        <v>0</v>
      </c>
      <c r="AQ26" s="86" t="s">
        <v>431</v>
      </c>
      <c r="AR26" s="82"/>
      <c r="AS26" s="82">
        <v>0</v>
      </c>
      <c r="AT26" s="82">
        <v>0</v>
      </c>
      <c r="AU26" s="82"/>
      <c r="AV26" s="82"/>
      <c r="AW26" s="82"/>
      <c r="AX26" s="82"/>
      <c r="AY26" s="82"/>
      <c r="AZ26" s="82"/>
      <c r="BA26" s="82"/>
      <c r="BB26" s="82"/>
      <c r="BC26">
        <v>1</v>
      </c>
      <c r="BD26" s="81" t="str">
        <f>REPLACE(INDEX(GroupVertices[Group],MATCH(Edges[[#This Row],[Vertex 1]],GroupVertices[Vertex],0)),1,1,"")</f>
        <v>1</v>
      </c>
      <c r="BE26" s="81" t="str">
        <f>REPLACE(INDEX(GroupVertices[Group],MATCH(Edges[[#This Row],[Vertex 2]],GroupVertices[Vertex],0)),1,1,"")</f>
        <v>1</v>
      </c>
      <c r="BF26" s="49"/>
      <c r="BG26" s="50"/>
      <c r="BH26" s="49"/>
      <c r="BI26" s="50"/>
      <c r="BJ26" s="49"/>
      <c r="BK26" s="50"/>
      <c r="BL26" s="49"/>
      <c r="BM26" s="50"/>
      <c r="BN26" s="49"/>
    </row>
    <row r="27" spans="1:66" ht="15">
      <c r="A27" s="66" t="s">
        <v>257</v>
      </c>
      <c r="B27" s="66" t="s">
        <v>291</v>
      </c>
      <c r="C27" s="67" t="s">
        <v>1011</v>
      </c>
      <c r="D27" s="68">
        <v>3</v>
      </c>
      <c r="E27" s="69" t="s">
        <v>132</v>
      </c>
      <c r="F27" s="70">
        <v>32</v>
      </c>
      <c r="G27" s="67"/>
      <c r="H27" s="71"/>
      <c r="I27" s="72"/>
      <c r="J27" s="72"/>
      <c r="K27" s="35" t="s">
        <v>65</v>
      </c>
      <c r="L27" s="80">
        <v>27</v>
      </c>
      <c r="M27" s="80"/>
      <c r="N27" s="74"/>
      <c r="O27" s="82" t="s">
        <v>302</v>
      </c>
      <c r="P27" s="84">
        <v>44483.43480324074</v>
      </c>
      <c r="Q27" s="82" t="s">
        <v>310</v>
      </c>
      <c r="R27" s="82"/>
      <c r="S27" s="82"/>
      <c r="T27" s="86" t="s">
        <v>346</v>
      </c>
      <c r="U27" s="82"/>
      <c r="V27" s="85" t="str">
        <f>HYPERLINK("https://pbs.twimg.com/profile_images/755042691268743168/MXMH9eiM_normal.jpg")</f>
        <v>https://pbs.twimg.com/profile_images/755042691268743168/MXMH9eiM_normal.jpg</v>
      </c>
      <c r="W27" s="84">
        <v>44483.43480324074</v>
      </c>
      <c r="X27" s="89">
        <v>44483</v>
      </c>
      <c r="Y27" s="86" t="s">
        <v>355</v>
      </c>
      <c r="Z27" s="85" t="str">
        <f>HYPERLINK("https://twitter.com/dodlink/status/1448595969822625794")</f>
        <v>https://twitter.com/dodlink/status/1448595969822625794</v>
      </c>
      <c r="AA27" s="82"/>
      <c r="AB27" s="82"/>
      <c r="AC27" s="86" t="s">
        <v>396</v>
      </c>
      <c r="AD27" s="86" t="s">
        <v>431</v>
      </c>
      <c r="AE27" s="82" t="b">
        <v>0</v>
      </c>
      <c r="AF27" s="82">
        <v>6</v>
      </c>
      <c r="AG27" s="86" t="s">
        <v>432</v>
      </c>
      <c r="AH27" s="82" t="b">
        <v>0</v>
      </c>
      <c r="AI27" s="82" t="s">
        <v>439</v>
      </c>
      <c r="AJ27" s="82"/>
      <c r="AK27" s="86" t="s">
        <v>441</v>
      </c>
      <c r="AL27" s="82" t="b">
        <v>0</v>
      </c>
      <c r="AM27" s="82">
        <v>2</v>
      </c>
      <c r="AN27" s="86" t="s">
        <v>441</v>
      </c>
      <c r="AO27" s="86" t="s">
        <v>445</v>
      </c>
      <c r="AP27" s="82" t="b">
        <v>0</v>
      </c>
      <c r="AQ27" s="86" t="s">
        <v>431</v>
      </c>
      <c r="AR27" s="82"/>
      <c r="AS27" s="82">
        <v>0</v>
      </c>
      <c r="AT27" s="82">
        <v>0</v>
      </c>
      <c r="AU27" s="82"/>
      <c r="AV27" s="82"/>
      <c r="AW27" s="82"/>
      <c r="AX27" s="82"/>
      <c r="AY27" s="82"/>
      <c r="AZ27" s="82"/>
      <c r="BA27" s="82"/>
      <c r="BB27" s="82"/>
      <c r="BC27">
        <v>1</v>
      </c>
      <c r="BD27" s="81" t="str">
        <f>REPLACE(INDEX(GroupVertices[Group],MATCH(Edges[[#This Row],[Vertex 1]],GroupVertices[Vertex],0)),1,1,"")</f>
        <v>1</v>
      </c>
      <c r="BE27" s="81" t="str">
        <f>REPLACE(INDEX(GroupVertices[Group],MATCH(Edges[[#This Row],[Vertex 2]],GroupVertices[Vertex],0)),1,1,"")</f>
        <v>1</v>
      </c>
      <c r="BF27" s="49"/>
      <c r="BG27" s="50"/>
      <c r="BH27" s="49"/>
      <c r="BI27" s="50"/>
      <c r="BJ27" s="49"/>
      <c r="BK27" s="50"/>
      <c r="BL27" s="49"/>
      <c r="BM27" s="50"/>
      <c r="BN27" s="49"/>
    </row>
    <row r="28" spans="1:66" ht="15">
      <c r="A28" s="66" t="s">
        <v>257</v>
      </c>
      <c r="B28" s="66" t="s">
        <v>289</v>
      </c>
      <c r="C28" s="67" t="s">
        <v>1011</v>
      </c>
      <c r="D28" s="68">
        <v>3</v>
      </c>
      <c r="E28" s="69" t="s">
        <v>132</v>
      </c>
      <c r="F28" s="70">
        <v>32</v>
      </c>
      <c r="G28" s="67"/>
      <c r="H28" s="71"/>
      <c r="I28" s="72"/>
      <c r="J28" s="72"/>
      <c r="K28" s="35" t="s">
        <v>65</v>
      </c>
      <c r="L28" s="80">
        <v>28</v>
      </c>
      <c r="M28" s="80"/>
      <c r="N28" s="74"/>
      <c r="O28" s="82" t="s">
        <v>303</v>
      </c>
      <c r="P28" s="84">
        <v>44483.43480324074</v>
      </c>
      <c r="Q28" s="82" t="s">
        <v>310</v>
      </c>
      <c r="R28" s="82"/>
      <c r="S28" s="82"/>
      <c r="T28" s="86" t="s">
        <v>346</v>
      </c>
      <c r="U28" s="82"/>
      <c r="V28" s="85" t="str">
        <f>HYPERLINK("https://pbs.twimg.com/profile_images/755042691268743168/MXMH9eiM_normal.jpg")</f>
        <v>https://pbs.twimg.com/profile_images/755042691268743168/MXMH9eiM_normal.jpg</v>
      </c>
      <c r="W28" s="84">
        <v>44483.43480324074</v>
      </c>
      <c r="X28" s="89">
        <v>44483</v>
      </c>
      <c r="Y28" s="86" t="s">
        <v>355</v>
      </c>
      <c r="Z28" s="85" t="str">
        <f>HYPERLINK("https://twitter.com/dodlink/status/1448595969822625794")</f>
        <v>https://twitter.com/dodlink/status/1448595969822625794</v>
      </c>
      <c r="AA28" s="82"/>
      <c r="AB28" s="82"/>
      <c r="AC28" s="86" t="s">
        <v>396</v>
      </c>
      <c r="AD28" s="86" t="s">
        <v>431</v>
      </c>
      <c r="AE28" s="82" t="b">
        <v>0</v>
      </c>
      <c r="AF28" s="82">
        <v>6</v>
      </c>
      <c r="AG28" s="86" t="s">
        <v>432</v>
      </c>
      <c r="AH28" s="82" t="b">
        <v>0</v>
      </c>
      <c r="AI28" s="82" t="s">
        <v>439</v>
      </c>
      <c r="AJ28" s="82"/>
      <c r="AK28" s="86" t="s">
        <v>441</v>
      </c>
      <c r="AL28" s="82" t="b">
        <v>0</v>
      </c>
      <c r="AM28" s="82">
        <v>2</v>
      </c>
      <c r="AN28" s="86" t="s">
        <v>441</v>
      </c>
      <c r="AO28" s="86" t="s">
        <v>445</v>
      </c>
      <c r="AP28" s="82" t="b">
        <v>0</v>
      </c>
      <c r="AQ28" s="86" t="s">
        <v>431</v>
      </c>
      <c r="AR28" s="82"/>
      <c r="AS28" s="82">
        <v>0</v>
      </c>
      <c r="AT28" s="82">
        <v>0</v>
      </c>
      <c r="AU28" s="82"/>
      <c r="AV28" s="82"/>
      <c r="AW28" s="82"/>
      <c r="AX28" s="82"/>
      <c r="AY28" s="82"/>
      <c r="AZ28" s="82"/>
      <c r="BA28" s="82"/>
      <c r="BB28" s="82"/>
      <c r="BC28">
        <v>1</v>
      </c>
      <c r="BD28" s="81" t="str">
        <f>REPLACE(INDEX(GroupVertices[Group],MATCH(Edges[[#This Row],[Vertex 1]],GroupVertices[Vertex],0)),1,1,"")</f>
        <v>1</v>
      </c>
      <c r="BE28" s="81" t="str">
        <f>REPLACE(INDEX(GroupVertices[Group],MATCH(Edges[[#This Row],[Vertex 2]],GroupVertices[Vertex],0)),1,1,"")</f>
        <v>1</v>
      </c>
      <c r="BF28" s="49">
        <v>1</v>
      </c>
      <c r="BG28" s="50">
        <v>2.9411764705882355</v>
      </c>
      <c r="BH28" s="49">
        <v>1</v>
      </c>
      <c r="BI28" s="50">
        <v>2.9411764705882355</v>
      </c>
      <c r="BJ28" s="49">
        <v>0</v>
      </c>
      <c r="BK28" s="50">
        <v>0</v>
      </c>
      <c r="BL28" s="49">
        <v>32</v>
      </c>
      <c r="BM28" s="50">
        <v>94.11764705882354</v>
      </c>
      <c r="BN28" s="49">
        <v>34</v>
      </c>
    </row>
    <row r="29" spans="1:66" ht="15">
      <c r="A29" s="66" t="s">
        <v>258</v>
      </c>
      <c r="B29" s="66" t="s">
        <v>290</v>
      </c>
      <c r="C29" s="67" t="s">
        <v>1011</v>
      </c>
      <c r="D29" s="68">
        <v>3</v>
      </c>
      <c r="E29" s="69" t="s">
        <v>132</v>
      </c>
      <c r="F29" s="70">
        <v>32</v>
      </c>
      <c r="G29" s="67"/>
      <c r="H29" s="71"/>
      <c r="I29" s="72"/>
      <c r="J29" s="72"/>
      <c r="K29" s="35" t="s">
        <v>65</v>
      </c>
      <c r="L29" s="80">
        <v>29</v>
      </c>
      <c r="M29" s="80"/>
      <c r="N29" s="74"/>
      <c r="O29" s="82" t="s">
        <v>302</v>
      </c>
      <c r="P29" s="84">
        <v>44483.627800925926</v>
      </c>
      <c r="Q29" s="82" t="s">
        <v>311</v>
      </c>
      <c r="R29" s="82"/>
      <c r="S29" s="82"/>
      <c r="T29" s="86" t="s">
        <v>347</v>
      </c>
      <c r="U29" s="82"/>
      <c r="V29" s="85" t="str">
        <f>HYPERLINK("https://pbs.twimg.com/profile_images/929727748741980160/7Sf9uCSa_normal.jpg")</f>
        <v>https://pbs.twimg.com/profile_images/929727748741980160/7Sf9uCSa_normal.jpg</v>
      </c>
      <c r="W29" s="84">
        <v>44483.627800925926</v>
      </c>
      <c r="X29" s="89">
        <v>44483</v>
      </c>
      <c r="Y29" s="86" t="s">
        <v>356</v>
      </c>
      <c r="Z29" s="85" t="str">
        <f>HYPERLINK("https://twitter.com/avriljw/status/1448665909560631303")</f>
        <v>https://twitter.com/avriljw/status/1448665909560631303</v>
      </c>
      <c r="AA29" s="82"/>
      <c r="AB29" s="82"/>
      <c r="AC29" s="86" t="s">
        <v>397</v>
      </c>
      <c r="AD29" s="86" t="s">
        <v>409</v>
      </c>
      <c r="AE29" s="82" t="b">
        <v>0</v>
      </c>
      <c r="AF29" s="82">
        <v>17</v>
      </c>
      <c r="AG29" s="86" t="s">
        <v>434</v>
      </c>
      <c r="AH29" s="82" t="b">
        <v>0</v>
      </c>
      <c r="AI29" s="82" t="s">
        <v>439</v>
      </c>
      <c r="AJ29" s="82"/>
      <c r="AK29" s="86" t="s">
        <v>441</v>
      </c>
      <c r="AL29" s="82" t="b">
        <v>0</v>
      </c>
      <c r="AM29" s="82">
        <v>5</v>
      </c>
      <c r="AN29" s="86" t="s">
        <v>441</v>
      </c>
      <c r="AO29" s="86" t="s">
        <v>446</v>
      </c>
      <c r="AP29" s="82" t="b">
        <v>0</v>
      </c>
      <c r="AQ29" s="86" t="s">
        <v>409</v>
      </c>
      <c r="AR29" s="82"/>
      <c r="AS29" s="82">
        <v>0</v>
      </c>
      <c r="AT29" s="82">
        <v>0</v>
      </c>
      <c r="AU29" s="82"/>
      <c r="AV29" s="82"/>
      <c r="AW29" s="82"/>
      <c r="AX29" s="82"/>
      <c r="AY29" s="82"/>
      <c r="AZ29" s="82"/>
      <c r="BA29" s="82"/>
      <c r="BB29" s="82"/>
      <c r="BC29">
        <v>1</v>
      </c>
      <c r="BD29" s="81" t="str">
        <f>REPLACE(INDEX(GroupVertices[Group],MATCH(Edges[[#This Row],[Vertex 1]],GroupVertices[Vertex],0)),1,1,"")</f>
        <v>2</v>
      </c>
      <c r="BE29" s="81" t="str">
        <f>REPLACE(INDEX(GroupVertices[Group],MATCH(Edges[[#This Row],[Vertex 2]],GroupVertices[Vertex],0)),1,1,"")</f>
        <v>1</v>
      </c>
      <c r="BF29" s="49"/>
      <c r="BG29" s="50"/>
      <c r="BH29" s="49"/>
      <c r="BI29" s="50"/>
      <c r="BJ29" s="49"/>
      <c r="BK29" s="50"/>
      <c r="BL29" s="49"/>
      <c r="BM29" s="50"/>
      <c r="BN29" s="49"/>
    </row>
    <row r="30" spans="1:66" ht="15">
      <c r="A30" s="66" t="s">
        <v>258</v>
      </c>
      <c r="B30" s="66" t="s">
        <v>291</v>
      </c>
      <c r="C30" s="67" t="s">
        <v>1011</v>
      </c>
      <c r="D30" s="68">
        <v>3</v>
      </c>
      <c r="E30" s="69" t="s">
        <v>132</v>
      </c>
      <c r="F30" s="70">
        <v>32</v>
      </c>
      <c r="G30" s="67"/>
      <c r="H30" s="71"/>
      <c r="I30" s="72"/>
      <c r="J30" s="72"/>
      <c r="K30" s="35" t="s">
        <v>65</v>
      </c>
      <c r="L30" s="80">
        <v>30</v>
      </c>
      <c r="M30" s="80"/>
      <c r="N30" s="74"/>
      <c r="O30" s="82" t="s">
        <v>302</v>
      </c>
      <c r="P30" s="84">
        <v>44483.627800925926</v>
      </c>
      <c r="Q30" s="82" t="s">
        <v>311</v>
      </c>
      <c r="R30" s="82"/>
      <c r="S30" s="82"/>
      <c r="T30" s="86" t="s">
        <v>347</v>
      </c>
      <c r="U30" s="82"/>
      <c r="V30" s="85" t="str">
        <f>HYPERLINK("https://pbs.twimg.com/profile_images/929727748741980160/7Sf9uCSa_normal.jpg")</f>
        <v>https://pbs.twimg.com/profile_images/929727748741980160/7Sf9uCSa_normal.jpg</v>
      </c>
      <c r="W30" s="84">
        <v>44483.627800925926</v>
      </c>
      <c r="X30" s="89">
        <v>44483</v>
      </c>
      <c r="Y30" s="86" t="s">
        <v>356</v>
      </c>
      <c r="Z30" s="85" t="str">
        <f>HYPERLINK("https://twitter.com/avriljw/status/1448665909560631303")</f>
        <v>https://twitter.com/avriljw/status/1448665909560631303</v>
      </c>
      <c r="AA30" s="82"/>
      <c r="AB30" s="82"/>
      <c r="AC30" s="86" t="s">
        <v>397</v>
      </c>
      <c r="AD30" s="86" t="s">
        <v>409</v>
      </c>
      <c r="AE30" s="82" t="b">
        <v>0</v>
      </c>
      <c r="AF30" s="82">
        <v>17</v>
      </c>
      <c r="AG30" s="86" t="s">
        <v>434</v>
      </c>
      <c r="AH30" s="82" t="b">
        <v>0</v>
      </c>
      <c r="AI30" s="82" t="s">
        <v>439</v>
      </c>
      <c r="AJ30" s="82"/>
      <c r="AK30" s="86" t="s">
        <v>441</v>
      </c>
      <c r="AL30" s="82" t="b">
        <v>0</v>
      </c>
      <c r="AM30" s="82">
        <v>5</v>
      </c>
      <c r="AN30" s="86" t="s">
        <v>441</v>
      </c>
      <c r="AO30" s="86" t="s">
        <v>446</v>
      </c>
      <c r="AP30" s="82" t="b">
        <v>0</v>
      </c>
      <c r="AQ30" s="86" t="s">
        <v>409</v>
      </c>
      <c r="AR30" s="82"/>
      <c r="AS30" s="82">
        <v>0</v>
      </c>
      <c r="AT30" s="82">
        <v>0</v>
      </c>
      <c r="AU30" s="82"/>
      <c r="AV30" s="82"/>
      <c r="AW30" s="82"/>
      <c r="AX30" s="82"/>
      <c r="AY30" s="82"/>
      <c r="AZ30" s="82"/>
      <c r="BA30" s="82"/>
      <c r="BB30" s="82"/>
      <c r="BC30">
        <v>1</v>
      </c>
      <c r="BD30" s="81" t="str">
        <f>REPLACE(INDEX(GroupVertices[Group],MATCH(Edges[[#This Row],[Vertex 1]],GroupVertices[Vertex],0)),1,1,"")</f>
        <v>2</v>
      </c>
      <c r="BE30" s="81" t="str">
        <f>REPLACE(INDEX(GroupVertices[Group],MATCH(Edges[[#This Row],[Vertex 2]],GroupVertices[Vertex],0)),1,1,"")</f>
        <v>1</v>
      </c>
      <c r="BF30" s="49"/>
      <c r="BG30" s="50"/>
      <c r="BH30" s="49"/>
      <c r="BI30" s="50"/>
      <c r="BJ30" s="49"/>
      <c r="BK30" s="50"/>
      <c r="BL30" s="49"/>
      <c r="BM30" s="50"/>
      <c r="BN30" s="49"/>
    </row>
    <row r="31" spans="1:66" ht="15">
      <c r="A31" s="66" t="s">
        <v>258</v>
      </c>
      <c r="B31" s="66" t="s">
        <v>292</v>
      </c>
      <c r="C31" s="67" t="s">
        <v>1011</v>
      </c>
      <c r="D31" s="68">
        <v>3</v>
      </c>
      <c r="E31" s="69" t="s">
        <v>132</v>
      </c>
      <c r="F31" s="70">
        <v>32</v>
      </c>
      <c r="G31" s="67"/>
      <c r="H31" s="71"/>
      <c r="I31" s="72"/>
      <c r="J31" s="72"/>
      <c r="K31" s="35" t="s">
        <v>65</v>
      </c>
      <c r="L31" s="80">
        <v>31</v>
      </c>
      <c r="M31" s="80"/>
      <c r="N31" s="74"/>
      <c r="O31" s="82" t="s">
        <v>302</v>
      </c>
      <c r="P31" s="84">
        <v>44483.627800925926</v>
      </c>
      <c r="Q31" s="82" t="s">
        <v>311</v>
      </c>
      <c r="R31" s="82"/>
      <c r="S31" s="82"/>
      <c r="T31" s="86" t="s">
        <v>347</v>
      </c>
      <c r="U31" s="82"/>
      <c r="V31" s="85" t="str">
        <f>HYPERLINK("https://pbs.twimg.com/profile_images/929727748741980160/7Sf9uCSa_normal.jpg")</f>
        <v>https://pbs.twimg.com/profile_images/929727748741980160/7Sf9uCSa_normal.jpg</v>
      </c>
      <c r="W31" s="84">
        <v>44483.627800925926</v>
      </c>
      <c r="X31" s="89">
        <v>44483</v>
      </c>
      <c r="Y31" s="86" t="s">
        <v>356</v>
      </c>
      <c r="Z31" s="85" t="str">
        <f>HYPERLINK("https://twitter.com/avriljw/status/1448665909560631303")</f>
        <v>https://twitter.com/avriljw/status/1448665909560631303</v>
      </c>
      <c r="AA31" s="82"/>
      <c r="AB31" s="82"/>
      <c r="AC31" s="86" t="s">
        <v>397</v>
      </c>
      <c r="AD31" s="86" t="s">
        <v>409</v>
      </c>
      <c r="AE31" s="82" t="b">
        <v>0</v>
      </c>
      <c r="AF31" s="82">
        <v>17</v>
      </c>
      <c r="AG31" s="86" t="s">
        <v>434</v>
      </c>
      <c r="AH31" s="82" t="b">
        <v>0</v>
      </c>
      <c r="AI31" s="82" t="s">
        <v>439</v>
      </c>
      <c r="AJ31" s="82"/>
      <c r="AK31" s="86" t="s">
        <v>441</v>
      </c>
      <c r="AL31" s="82" t="b">
        <v>0</v>
      </c>
      <c r="AM31" s="82">
        <v>5</v>
      </c>
      <c r="AN31" s="86" t="s">
        <v>441</v>
      </c>
      <c r="AO31" s="86" t="s">
        <v>446</v>
      </c>
      <c r="AP31" s="82" t="b">
        <v>0</v>
      </c>
      <c r="AQ31" s="86" t="s">
        <v>409</v>
      </c>
      <c r="AR31" s="82"/>
      <c r="AS31" s="82">
        <v>0</v>
      </c>
      <c r="AT31" s="82">
        <v>0</v>
      </c>
      <c r="AU31" s="82"/>
      <c r="AV31" s="82"/>
      <c r="AW31" s="82"/>
      <c r="AX31" s="82"/>
      <c r="AY31" s="82"/>
      <c r="AZ31" s="82"/>
      <c r="BA31" s="82"/>
      <c r="BB31" s="82"/>
      <c r="BC31">
        <v>1</v>
      </c>
      <c r="BD31" s="81" t="str">
        <f>REPLACE(INDEX(GroupVertices[Group],MATCH(Edges[[#This Row],[Vertex 1]],GroupVertices[Vertex],0)),1,1,"")</f>
        <v>2</v>
      </c>
      <c r="BE31" s="81" t="str">
        <f>REPLACE(INDEX(GroupVertices[Group],MATCH(Edges[[#This Row],[Vertex 2]],GroupVertices[Vertex],0)),1,1,"")</f>
        <v>2</v>
      </c>
      <c r="BF31" s="49"/>
      <c r="BG31" s="50"/>
      <c r="BH31" s="49"/>
      <c r="BI31" s="50"/>
      <c r="BJ31" s="49"/>
      <c r="BK31" s="50"/>
      <c r="BL31" s="49"/>
      <c r="BM31" s="50"/>
      <c r="BN31" s="49"/>
    </row>
    <row r="32" spans="1:66" ht="15">
      <c r="A32" s="66" t="s">
        <v>258</v>
      </c>
      <c r="B32" s="66" t="s">
        <v>289</v>
      </c>
      <c r="C32" s="67" t="s">
        <v>1011</v>
      </c>
      <c r="D32" s="68">
        <v>3</v>
      </c>
      <c r="E32" s="69" t="s">
        <v>132</v>
      </c>
      <c r="F32" s="70">
        <v>32</v>
      </c>
      <c r="G32" s="67"/>
      <c r="H32" s="71"/>
      <c r="I32" s="72"/>
      <c r="J32" s="72"/>
      <c r="K32" s="35" t="s">
        <v>65</v>
      </c>
      <c r="L32" s="80">
        <v>32</v>
      </c>
      <c r="M32" s="80"/>
      <c r="N32" s="74"/>
      <c r="O32" s="82" t="s">
        <v>302</v>
      </c>
      <c r="P32" s="84">
        <v>44483.627800925926</v>
      </c>
      <c r="Q32" s="82" t="s">
        <v>311</v>
      </c>
      <c r="R32" s="82"/>
      <c r="S32" s="82"/>
      <c r="T32" s="86" t="s">
        <v>347</v>
      </c>
      <c r="U32" s="82"/>
      <c r="V32" s="85" t="str">
        <f>HYPERLINK("https://pbs.twimg.com/profile_images/929727748741980160/7Sf9uCSa_normal.jpg")</f>
        <v>https://pbs.twimg.com/profile_images/929727748741980160/7Sf9uCSa_normal.jpg</v>
      </c>
      <c r="W32" s="84">
        <v>44483.627800925926</v>
      </c>
      <c r="X32" s="89">
        <v>44483</v>
      </c>
      <c r="Y32" s="86" t="s">
        <v>356</v>
      </c>
      <c r="Z32" s="85" t="str">
        <f>HYPERLINK("https://twitter.com/avriljw/status/1448665909560631303")</f>
        <v>https://twitter.com/avriljw/status/1448665909560631303</v>
      </c>
      <c r="AA32" s="82"/>
      <c r="AB32" s="82"/>
      <c r="AC32" s="86" t="s">
        <v>397</v>
      </c>
      <c r="AD32" s="86" t="s">
        <v>409</v>
      </c>
      <c r="AE32" s="82" t="b">
        <v>0</v>
      </c>
      <c r="AF32" s="82">
        <v>17</v>
      </c>
      <c r="AG32" s="86" t="s">
        <v>434</v>
      </c>
      <c r="AH32" s="82" t="b">
        <v>0</v>
      </c>
      <c r="AI32" s="82" t="s">
        <v>439</v>
      </c>
      <c r="AJ32" s="82"/>
      <c r="AK32" s="86" t="s">
        <v>441</v>
      </c>
      <c r="AL32" s="82" t="b">
        <v>0</v>
      </c>
      <c r="AM32" s="82">
        <v>5</v>
      </c>
      <c r="AN32" s="86" t="s">
        <v>441</v>
      </c>
      <c r="AO32" s="86" t="s">
        <v>446</v>
      </c>
      <c r="AP32" s="82" t="b">
        <v>0</v>
      </c>
      <c r="AQ32" s="86" t="s">
        <v>409</v>
      </c>
      <c r="AR32" s="82"/>
      <c r="AS32" s="82">
        <v>0</v>
      </c>
      <c r="AT32" s="82">
        <v>0</v>
      </c>
      <c r="AU32" s="82"/>
      <c r="AV32" s="82"/>
      <c r="AW32" s="82"/>
      <c r="AX32" s="82"/>
      <c r="AY32" s="82"/>
      <c r="AZ32" s="82"/>
      <c r="BA32" s="82"/>
      <c r="BB32" s="82"/>
      <c r="BC32">
        <v>1</v>
      </c>
      <c r="BD32" s="81" t="str">
        <f>REPLACE(INDEX(GroupVertices[Group],MATCH(Edges[[#This Row],[Vertex 1]],GroupVertices[Vertex],0)),1,1,"")</f>
        <v>2</v>
      </c>
      <c r="BE32" s="81" t="str">
        <f>REPLACE(INDEX(GroupVertices[Group],MATCH(Edges[[#This Row],[Vertex 2]],GroupVertices[Vertex],0)),1,1,"")</f>
        <v>1</v>
      </c>
      <c r="BF32" s="49"/>
      <c r="BG32" s="50"/>
      <c r="BH32" s="49"/>
      <c r="BI32" s="50"/>
      <c r="BJ32" s="49"/>
      <c r="BK32" s="50"/>
      <c r="BL32" s="49"/>
      <c r="BM32" s="50"/>
      <c r="BN32" s="49"/>
    </row>
    <row r="33" spans="1:66" ht="15">
      <c r="A33" s="66" t="s">
        <v>258</v>
      </c>
      <c r="B33" s="66" t="s">
        <v>269</v>
      </c>
      <c r="C33" s="67" t="s">
        <v>1011</v>
      </c>
      <c r="D33" s="68">
        <v>3</v>
      </c>
      <c r="E33" s="69" t="s">
        <v>132</v>
      </c>
      <c r="F33" s="70">
        <v>32</v>
      </c>
      <c r="G33" s="67"/>
      <c r="H33" s="71"/>
      <c r="I33" s="72"/>
      <c r="J33" s="72"/>
      <c r="K33" s="35" t="s">
        <v>65</v>
      </c>
      <c r="L33" s="80">
        <v>33</v>
      </c>
      <c r="M33" s="80"/>
      <c r="N33" s="74"/>
      <c r="O33" s="82" t="s">
        <v>303</v>
      </c>
      <c r="P33" s="84">
        <v>44483.627800925926</v>
      </c>
      <c r="Q33" s="82" t="s">
        <v>311</v>
      </c>
      <c r="R33" s="82"/>
      <c r="S33" s="82"/>
      <c r="T33" s="86" t="s">
        <v>347</v>
      </c>
      <c r="U33" s="82"/>
      <c r="V33" s="85" t="str">
        <f>HYPERLINK("https://pbs.twimg.com/profile_images/929727748741980160/7Sf9uCSa_normal.jpg")</f>
        <v>https://pbs.twimg.com/profile_images/929727748741980160/7Sf9uCSa_normal.jpg</v>
      </c>
      <c r="W33" s="84">
        <v>44483.627800925926</v>
      </c>
      <c r="X33" s="89">
        <v>44483</v>
      </c>
      <c r="Y33" s="86" t="s">
        <v>356</v>
      </c>
      <c r="Z33" s="85" t="str">
        <f>HYPERLINK("https://twitter.com/avriljw/status/1448665909560631303")</f>
        <v>https://twitter.com/avriljw/status/1448665909560631303</v>
      </c>
      <c r="AA33" s="82"/>
      <c r="AB33" s="82"/>
      <c r="AC33" s="86" t="s">
        <v>397</v>
      </c>
      <c r="AD33" s="86" t="s">
        <v>409</v>
      </c>
      <c r="AE33" s="82" t="b">
        <v>0</v>
      </c>
      <c r="AF33" s="82">
        <v>17</v>
      </c>
      <c r="AG33" s="86" t="s">
        <v>434</v>
      </c>
      <c r="AH33" s="82" t="b">
        <v>0</v>
      </c>
      <c r="AI33" s="82" t="s">
        <v>439</v>
      </c>
      <c r="AJ33" s="82"/>
      <c r="AK33" s="86" t="s">
        <v>441</v>
      </c>
      <c r="AL33" s="82" t="b">
        <v>0</v>
      </c>
      <c r="AM33" s="82">
        <v>5</v>
      </c>
      <c r="AN33" s="86" t="s">
        <v>441</v>
      </c>
      <c r="AO33" s="86" t="s">
        <v>446</v>
      </c>
      <c r="AP33" s="82" t="b">
        <v>0</v>
      </c>
      <c r="AQ33" s="86" t="s">
        <v>409</v>
      </c>
      <c r="AR33" s="82"/>
      <c r="AS33" s="82">
        <v>0</v>
      </c>
      <c r="AT33" s="82">
        <v>0</v>
      </c>
      <c r="AU33" s="82"/>
      <c r="AV33" s="82"/>
      <c r="AW33" s="82"/>
      <c r="AX33" s="82"/>
      <c r="AY33" s="82"/>
      <c r="AZ33" s="82"/>
      <c r="BA33" s="82"/>
      <c r="BB33" s="82"/>
      <c r="BC33">
        <v>1</v>
      </c>
      <c r="BD33" s="81" t="str">
        <f>REPLACE(INDEX(GroupVertices[Group],MATCH(Edges[[#This Row],[Vertex 1]],GroupVertices[Vertex],0)),1,1,"")</f>
        <v>2</v>
      </c>
      <c r="BE33" s="81" t="str">
        <f>REPLACE(INDEX(GroupVertices[Group],MATCH(Edges[[#This Row],[Vertex 2]],GroupVertices[Vertex],0)),1,1,"")</f>
        <v>2</v>
      </c>
      <c r="BF33" s="49">
        <v>2</v>
      </c>
      <c r="BG33" s="50">
        <v>4.081632653061225</v>
      </c>
      <c r="BH33" s="49">
        <v>2</v>
      </c>
      <c r="BI33" s="50">
        <v>4.081632653061225</v>
      </c>
      <c r="BJ33" s="49">
        <v>0</v>
      </c>
      <c r="BK33" s="50">
        <v>0</v>
      </c>
      <c r="BL33" s="49">
        <v>45</v>
      </c>
      <c r="BM33" s="50">
        <v>91.83673469387755</v>
      </c>
      <c r="BN33" s="49">
        <v>49</v>
      </c>
    </row>
    <row r="34" spans="1:66" ht="15">
      <c r="A34" s="66" t="s">
        <v>259</v>
      </c>
      <c r="B34" s="66" t="s">
        <v>290</v>
      </c>
      <c r="C34" s="67" t="s">
        <v>1011</v>
      </c>
      <c r="D34" s="68">
        <v>3</v>
      </c>
      <c r="E34" s="69" t="s">
        <v>132</v>
      </c>
      <c r="F34" s="70">
        <v>32</v>
      </c>
      <c r="G34" s="67"/>
      <c r="H34" s="71"/>
      <c r="I34" s="72"/>
      <c r="J34" s="72"/>
      <c r="K34" s="35" t="s">
        <v>65</v>
      </c>
      <c r="L34" s="80">
        <v>34</v>
      </c>
      <c r="M34" s="80"/>
      <c r="N34" s="74"/>
      <c r="O34" s="82" t="s">
        <v>302</v>
      </c>
      <c r="P34" s="84">
        <v>44483.38625</v>
      </c>
      <c r="Q34" s="82" t="s">
        <v>312</v>
      </c>
      <c r="R34" s="82"/>
      <c r="S34" s="82"/>
      <c r="T34" s="82"/>
      <c r="U34" s="82"/>
      <c r="V34" s="85" t="str">
        <f>HYPERLINK("https://pbs.twimg.com/profile_images/877644585698197504/aV8XLf2P_normal.jpg")</f>
        <v>https://pbs.twimg.com/profile_images/877644585698197504/aV8XLf2P_normal.jpg</v>
      </c>
      <c r="W34" s="84">
        <v>44483.38625</v>
      </c>
      <c r="X34" s="89">
        <v>44483</v>
      </c>
      <c r="Y34" s="86" t="s">
        <v>357</v>
      </c>
      <c r="Z34" s="85" t="str">
        <f>HYPERLINK("https://twitter.com/19averil/status/1448578376013320194")</f>
        <v>https://twitter.com/19averil/status/1448578376013320194</v>
      </c>
      <c r="AA34" s="82"/>
      <c r="AB34" s="82"/>
      <c r="AC34" s="86" t="s">
        <v>398</v>
      </c>
      <c r="AD34" s="86" t="s">
        <v>431</v>
      </c>
      <c r="AE34" s="82" t="b">
        <v>0</v>
      </c>
      <c r="AF34" s="82">
        <v>6</v>
      </c>
      <c r="AG34" s="86" t="s">
        <v>432</v>
      </c>
      <c r="AH34" s="82" t="b">
        <v>0</v>
      </c>
      <c r="AI34" s="82" t="s">
        <v>439</v>
      </c>
      <c r="AJ34" s="82"/>
      <c r="AK34" s="86" t="s">
        <v>441</v>
      </c>
      <c r="AL34" s="82" t="b">
        <v>0</v>
      </c>
      <c r="AM34" s="82">
        <v>0</v>
      </c>
      <c r="AN34" s="86" t="s">
        <v>441</v>
      </c>
      <c r="AO34" s="86" t="s">
        <v>444</v>
      </c>
      <c r="AP34" s="82" t="b">
        <v>0</v>
      </c>
      <c r="AQ34" s="86" t="s">
        <v>431</v>
      </c>
      <c r="AR34" s="82"/>
      <c r="AS34" s="82">
        <v>0</v>
      </c>
      <c r="AT34" s="82">
        <v>0</v>
      </c>
      <c r="AU34" s="82"/>
      <c r="AV34" s="82"/>
      <c r="AW34" s="82"/>
      <c r="AX34" s="82"/>
      <c r="AY34" s="82"/>
      <c r="AZ34" s="82"/>
      <c r="BA34" s="82"/>
      <c r="BB34" s="82"/>
      <c r="BC34">
        <v>1</v>
      </c>
      <c r="BD34" s="81" t="str">
        <f>REPLACE(INDEX(GroupVertices[Group],MATCH(Edges[[#This Row],[Vertex 1]],GroupVertices[Vertex],0)),1,1,"")</f>
        <v>1</v>
      </c>
      <c r="BE34" s="81" t="str">
        <f>REPLACE(INDEX(GroupVertices[Group],MATCH(Edges[[#This Row],[Vertex 2]],GroupVertices[Vertex],0)),1,1,"")</f>
        <v>1</v>
      </c>
      <c r="BF34" s="49"/>
      <c r="BG34" s="50"/>
      <c r="BH34" s="49"/>
      <c r="BI34" s="50"/>
      <c r="BJ34" s="49"/>
      <c r="BK34" s="50"/>
      <c r="BL34" s="49"/>
      <c r="BM34" s="50"/>
      <c r="BN34" s="49"/>
    </row>
    <row r="35" spans="1:66" ht="15">
      <c r="A35" s="66" t="s">
        <v>259</v>
      </c>
      <c r="B35" s="66" t="s">
        <v>291</v>
      </c>
      <c r="C35" s="67" t="s">
        <v>1011</v>
      </c>
      <c r="D35" s="68">
        <v>3</v>
      </c>
      <c r="E35" s="69" t="s">
        <v>132</v>
      </c>
      <c r="F35" s="70">
        <v>32</v>
      </c>
      <c r="G35" s="67"/>
      <c r="H35" s="71"/>
      <c r="I35" s="72"/>
      <c r="J35" s="72"/>
      <c r="K35" s="35" t="s">
        <v>65</v>
      </c>
      <c r="L35" s="80">
        <v>35</v>
      </c>
      <c r="M35" s="80"/>
      <c r="N35" s="74"/>
      <c r="O35" s="82" t="s">
        <v>302</v>
      </c>
      <c r="P35" s="84">
        <v>44483.38625</v>
      </c>
      <c r="Q35" s="82" t="s">
        <v>312</v>
      </c>
      <c r="R35" s="82"/>
      <c r="S35" s="82"/>
      <c r="T35" s="82"/>
      <c r="U35" s="82"/>
      <c r="V35" s="85" t="str">
        <f>HYPERLINK("https://pbs.twimg.com/profile_images/877644585698197504/aV8XLf2P_normal.jpg")</f>
        <v>https://pbs.twimg.com/profile_images/877644585698197504/aV8XLf2P_normal.jpg</v>
      </c>
      <c r="W35" s="84">
        <v>44483.38625</v>
      </c>
      <c r="X35" s="89">
        <v>44483</v>
      </c>
      <c r="Y35" s="86" t="s">
        <v>357</v>
      </c>
      <c r="Z35" s="85" t="str">
        <f>HYPERLINK("https://twitter.com/19averil/status/1448578376013320194")</f>
        <v>https://twitter.com/19averil/status/1448578376013320194</v>
      </c>
      <c r="AA35" s="82"/>
      <c r="AB35" s="82"/>
      <c r="AC35" s="86" t="s">
        <v>398</v>
      </c>
      <c r="AD35" s="86" t="s">
        <v>431</v>
      </c>
      <c r="AE35" s="82" t="b">
        <v>0</v>
      </c>
      <c r="AF35" s="82">
        <v>6</v>
      </c>
      <c r="AG35" s="86" t="s">
        <v>432</v>
      </c>
      <c r="AH35" s="82" t="b">
        <v>0</v>
      </c>
      <c r="AI35" s="82" t="s">
        <v>439</v>
      </c>
      <c r="AJ35" s="82"/>
      <c r="AK35" s="86" t="s">
        <v>441</v>
      </c>
      <c r="AL35" s="82" t="b">
        <v>0</v>
      </c>
      <c r="AM35" s="82">
        <v>0</v>
      </c>
      <c r="AN35" s="86" t="s">
        <v>441</v>
      </c>
      <c r="AO35" s="86" t="s">
        <v>444</v>
      </c>
      <c r="AP35" s="82" t="b">
        <v>0</v>
      </c>
      <c r="AQ35" s="86" t="s">
        <v>431</v>
      </c>
      <c r="AR35" s="82"/>
      <c r="AS35" s="82">
        <v>0</v>
      </c>
      <c r="AT35" s="82">
        <v>0</v>
      </c>
      <c r="AU35" s="82"/>
      <c r="AV35" s="82"/>
      <c r="AW35" s="82"/>
      <c r="AX35" s="82"/>
      <c r="AY35" s="82"/>
      <c r="AZ35" s="82"/>
      <c r="BA35" s="82"/>
      <c r="BB35" s="82"/>
      <c r="BC35">
        <v>1</v>
      </c>
      <c r="BD35" s="81" t="str">
        <f>REPLACE(INDEX(GroupVertices[Group],MATCH(Edges[[#This Row],[Vertex 1]],GroupVertices[Vertex],0)),1,1,"")</f>
        <v>1</v>
      </c>
      <c r="BE35" s="81" t="str">
        <f>REPLACE(INDEX(GroupVertices[Group],MATCH(Edges[[#This Row],[Vertex 2]],GroupVertices[Vertex],0)),1,1,"")</f>
        <v>1</v>
      </c>
      <c r="BF35" s="49"/>
      <c r="BG35" s="50"/>
      <c r="BH35" s="49"/>
      <c r="BI35" s="50"/>
      <c r="BJ35" s="49"/>
      <c r="BK35" s="50"/>
      <c r="BL35" s="49"/>
      <c r="BM35" s="50"/>
      <c r="BN35" s="49"/>
    </row>
    <row r="36" spans="1:66" ht="15">
      <c r="A36" s="66" t="s">
        <v>259</v>
      </c>
      <c r="B36" s="66" t="s">
        <v>289</v>
      </c>
      <c r="C36" s="67" t="s">
        <v>1011</v>
      </c>
      <c r="D36" s="68">
        <v>3</v>
      </c>
      <c r="E36" s="69" t="s">
        <v>132</v>
      </c>
      <c r="F36" s="70">
        <v>32</v>
      </c>
      <c r="G36" s="67"/>
      <c r="H36" s="71"/>
      <c r="I36" s="72"/>
      <c r="J36" s="72"/>
      <c r="K36" s="35" t="s">
        <v>65</v>
      </c>
      <c r="L36" s="80">
        <v>36</v>
      </c>
      <c r="M36" s="80"/>
      <c r="N36" s="74"/>
      <c r="O36" s="82" t="s">
        <v>303</v>
      </c>
      <c r="P36" s="84">
        <v>44483.38625</v>
      </c>
      <c r="Q36" s="82" t="s">
        <v>312</v>
      </c>
      <c r="R36" s="82"/>
      <c r="S36" s="82"/>
      <c r="T36" s="82"/>
      <c r="U36" s="82"/>
      <c r="V36" s="85" t="str">
        <f>HYPERLINK("https://pbs.twimg.com/profile_images/877644585698197504/aV8XLf2P_normal.jpg")</f>
        <v>https://pbs.twimg.com/profile_images/877644585698197504/aV8XLf2P_normal.jpg</v>
      </c>
      <c r="W36" s="84">
        <v>44483.38625</v>
      </c>
      <c r="X36" s="89">
        <v>44483</v>
      </c>
      <c r="Y36" s="86" t="s">
        <v>357</v>
      </c>
      <c r="Z36" s="85" t="str">
        <f>HYPERLINK("https://twitter.com/19averil/status/1448578376013320194")</f>
        <v>https://twitter.com/19averil/status/1448578376013320194</v>
      </c>
      <c r="AA36" s="82"/>
      <c r="AB36" s="82"/>
      <c r="AC36" s="86" t="s">
        <v>398</v>
      </c>
      <c r="AD36" s="86" t="s">
        <v>431</v>
      </c>
      <c r="AE36" s="82" t="b">
        <v>0</v>
      </c>
      <c r="AF36" s="82">
        <v>6</v>
      </c>
      <c r="AG36" s="86" t="s">
        <v>432</v>
      </c>
      <c r="AH36" s="82" t="b">
        <v>0</v>
      </c>
      <c r="AI36" s="82" t="s">
        <v>439</v>
      </c>
      <c r="AJ36" s="82"/>
      <c r="AK36" s="86" t="s">
        <v>441</v>
      </c>
      <c r="AL36" s="82" t="b">
        <v>0</v>
      </c>
      <c r="AM36" s="82">
        <v>0</v>
      </c>
      <c r="AN36" s="86" t="s">
        <v>441</v>
      </c>
      <c r="AO36" s="86" t="s">
        <v>444</v>
      </c>
      <c r="AP36" s="82" t="b">
        <v>0</v>
      </c>
      <c r="AQ36" s="86" t="s">
        <v>431</v>
      </c>
      <c r="AR36" s="82"/>
      <c r="AS36" s="82">
        <v>0</v>
      </c>
      <c r="AT36" s="82">
        <v>0</v>
      </c>
      <c r="AU36" s="82"/>
      <c r="AV36" s="82"/>
      <c r="AW36" s="82"/>
      <c r="AX36" s="82"/>
      <c r="AY36" s="82"/>
      <c r="AZ36" s="82"/>
      <c r="BA36" s="82"/>
      <c r="BB36" s="82"/>
      <c r="BC36">
        <v>1</v>
      </c>
      <c r="BD36" s="81" t="str">
        <f>REPLACE(INDEX(GroupVertices[Group],MATCH(Edges[[#This Row],[Vertex 1]],GroupVertices[Vertex],0)),1,1,"")</f>
        <v>1</v>
      </c>
      <c r="BE36" s="81" t="str">
        <f>REPLACE(INDEX(GroupVertices[Group],MATCH(Edges[[#This Row],[Vertex 2]],GroupVertices[Vertex],0)),1,1,"")</f>
        <v>1</v>
      </c>
      <c r="BF36" s="49">
        <v>1</v>
      </c>
      <c r="BG36" s="50">
        <v>6.666666666666667</v>
      </c>
      <c r="BH36" s="49">
        <v>2</v>
      </c>
      <c r="BI36" s="50">
        <v>13.333333333333334</v>
      </c>
      <c r="BJ36" s="49">
        <v>0</v>
      </c>
      <c r="BK36" s="50">
        <v>0</v>
      </c>
      <c r="BL36" s="49">
        <v>12</v>
      </c>
      <c r="BM36" s="50">
        <v>80</v>
      </c>
      <c r="BN36" s="49">
        <v>15</v>
      </c>
    </row>
    <row r="37" spans="1:66" ht="15">
      <c r="A37" s="66" t="s">
        <v>260</v>
      </c>
      <c r="B37" s="66" t="s">
        <v>290</v>
      </c>
      <c r="C37" s="67" t="s">
        <v>1011</v>
      </c>
      <c r="D37" s="68">
        <v>3</v>
      </c>
      <c r="E37" s="69" t="s">
        <v>132</v>
      </c>
      <c r="F37" s="70">
        <v>32</v>
      </c>
      <c r="G37" s="67"/>
      <c r="H37" s="71"/>
      <c r="I37" s="72"/>
      <c r="J37" s="72"/>
      <c r="K37" s="35" t="s">
        <v>65</v>
      </c>
      <c r="L37" s="80">
        <v>37</v>
      </c>
      <c r="M37" s="80"/>
      <c r="N37" s="74"/>
      <c r="O37" s="82" t="s">
        <v>302</v>
      </c>
      <c r="P37" s="84">
        <v>44483.456655092596</v>
      </c>
      <c r="Q37" s="82" t="s">
        <v>313</v>
      </c>
      <c r="R37" s="82"/>
      <c r="S37" s="82"/>
      <c r="T37" s="82"/>
      <c r="U37" s="82"/>
      <c r="V37" s="85" t="str">
        <f>HYPERLINK("https://pbs.twimg.com/profile_images/1431711560121077764/-qIbpvxx_normal.jpg")</f>
        <v>https://pbs.twimg.com/profile_images/1431711560121077764/-qIbpvxx_normal.jpg</v>
      </c>
      <c r="W37" s="84">
        <v>44483.456655092596</v>
      </c>
      <c r="X37" s="89">
        <v>44483</v>
      </c>
      <c r="Y37" s="86" t="s">
        <v>358</v>
      </c>
      <c r="Z37" s="85" t="str">
        <f>HYPERLINK("https://twitter.com/ancienthiker/status/1448603889482280960")</f>
        <v>https://twitter.com/ancienthiker/status/1448603889482280960</v>
      </c>
      <c r="AA37" s="82"/>
      <c r="AB37" s="82"/>
      <c r="AC37" s="86" t="s">
        <v>399</v>
      </c>
      <c r="AD37" s="86" t="s">
        <v>431</v>
      </c>
      <c r="AE37" s="82" t="b">
        <v>0</v>
      </c>
      <c r="AF37" s="82">
        <v>0</v>
      </c>
      <c r="AG37" s="86" t="s">
        <v>432</v>
      </c>
      <c r="AH37" s="82" t="b">
        <v>0</v>
      </c>
      <c r="AI37" s="82" t="s">
        <v>439</v>
      </c>
      <c r="AJ37" s="82"/>
      <c r="AK37" s="86" t="s">
        <v>441</v>
      </c>
      <c r="AL37" s="82" t="b">
        <v>0</v>
      </c>
      <c r="AM37" s="82">
        <v>0</v>
      </c>
      <c r="AN37" s="86" t="s">
        <v>441</v>
      </c>
      <c r="AO37" s="86" t="s">
        <v>445</v>
      </c>
      <c r="AP37" s="82" t="b">
        <v>0</v>
      </c>
      <c r="AQ37" s="86" t="s">
        <v>431</v>
      </c>
      <c r="AR37" s="82"/>
      <c r="AS37" s="82">
        <v>0</v>
      </c>
      <c r="AT37" s="82">
        <v>0</v>
      </c>
      <c r="AU37" s="82"/>
      <c r="AV37" s="82"/>
      <c r="AW37" s="82"/>
      <c r="AX37" s="82"/>
      <c r="AY37" s="82"/>
      <c r="AZ37" s="82"/>
      <c r="BA37" s="82"/>
      <c r="BB37" s="82"/>
      <c r="BC37">
        <v>1</v>
      </c>
      <c r="BD37" s="81" t="str">
        <f>REPLACE(INDEX(GroupVertices[Group],MATCH(Edges[[#This Row],[Vertex 1]],GroupVertices[Vertex],0)),1,1,"")</f>
        <v>1</v>
      </c>
      <c r="BE37" s="81" t="str">
        <f>REPLACE(INDEX(GroupVertices[Group],MATCH(Edges[[#This Row],[Vertex 2]],GroupVertices[Vertex],0)),1,1,"")</f>
        <v>1</v>
      </c>
      <c r="BF37" s="49"/>
      <c r="BG37" s="50"/>
      <c r="BH37" s="49"/>
      <c r="BI37" s="50"/>
      <c r="BJ37" s="49"/>
      <c r="BK37" s="50"/>
      <c r="BL37" s="49"/>
      <c r="BM37" s="50"/>
      <c r="BN37" s="49"/>
    </row>
    <row r="38" spans="1:66" ht="15">
      <c r="A38" s="66" t="s">
        <v>260</v>
      </c>
      <c r="B38" s="66" t="s">
        <v>291</v>
      </c>
      <c r="C38" s="67" t="s">
        <v>1011</v>
      </c>
      <c r="D38" s="68">
        <v>3</v>
      </c>
      <c r="E38" s="69" t="s">
        <v>132</v>
      </c>
      <c r="F38" s="70">
        <v>32</v>
      </c>
      <c r="G38" s="67"/>
      <c r="H38" s="71"/>
      <c r="I38" s="72"/>
      <c r="J38" s="72"/>
      <c r="K38" s="35" t="s">
        <v>65</v>
      </c>
      <c r="L38" s="80">
        <v>38</v>
      </c>
      <c r="M38" s="80"/>
      <c r="N38" s="74"/>
      <c r="O38" s="82" t="s">
        <v>302</v>
      </c>
      <c r="P38" s="84">
        <v>44483.456655092596</v>
      </c>
      <c r="Q38" s="82" t="s">
        <v>313</v>
      </c>
      <c r="R38" s="82"/>
      <c r="S38" s="82"/>
      <c r="T38" s="82"/>
      <c r="U38" s="82"/>
      <c r="V38" s="85" t="str">
        <f>HYPERLINK("https://pbs.twimg.com/profile_images/1431711560121077764/-qIbpvxx_normal.jpg")</f>
        <v>https://pbs.twimg.com/profile_images/1431711560121077764/-qIbpvxx_normal.jpg</v>
      </c>
      <c r="W38" s="84">
        <v>44483.456655092596</v>
      </c>
      <c r="X38" s="89">
        <v>44483</v>
      </c>
      <c r="Y38" s="86" t="s">
        <v>358</v>
      </c>
      <c r="Z38" s="85" t="str">
        <f>HYPERLINK("https://twitter.com/ancienthiker/status/1448603889482280960")</f>
        <v>https://twitter.com/ancienthiker/status/1448603889482280960</v>
      </c>
      <c r="AA38" s="82"/>
      <c r="AB38" s="82"/>
      <c r="AC38" s="86" t="s">
        <v>399</v>
      </c>
      <c r="AD38" s="86" t="s">
        <v>431</v>
      </c>
      <c r="AE38" s="82" t="b">
        <v>0</v>
      </c>
      <c r="AF38" s="82">
        <v>0</v>
      </c>
      <c r="AG38" s="86" t="s">
        <v>432</v>
      </c>
      <c r="AH38" s="82" t="b">
        <v>0</v>
      </c>
      <c r="AI38" s="82" t="s">
        <v>439</v>
      </c>
      <c r="AJ38" s="82"/>
      <c r="AK38" s="86" t="s">
        <v>441</v>
      </c>
      <c r="AL38" s="82" t="b">
        <v>0</v>
      </c>
      <c r="AM38" s="82">
        <v>0</v>
      </c>
      <c r="AN38" s="86" t="s">
        <v>441</v>
      </c>
      <c r="AO38" s="86" t="s">
        <v>445</v>
      </c>
      <c r="AP38" s="82" t="b">
        <v>0</v>
      </c>
      <c r="AQ38" s="86" t="s">
        <v>431</v>
      </c>
      <c r="AR38" s="82"/>
      <c r="AS38" s="82">
        <v>0</v>
      </c>
      <c r="AT38" s="82">
        <v>0</v>
      </c>
      <c r="AU38" s="82"/>
      <c r="AV38" s="82"/>
      <c r="AW38" s="82"/>
      <c r="AX38" s="82"/>
      <c r="AY38" s="82"/>
      <c r="AZ38" s="82"/>
      <c r="BA38" s="82"/>
      <c r="BB38" s="82"/>
      <c r="BC38">
        <v>1</v>
      </c>
      <c r="BD38" s="81" t="str">
        <f>REPLACE(INDEX(GroupVertices[Group],MATCH(Edges[[#This Row],[Vertex 1]],GroupVertices[Vertex],0)),1,1,"")</f>
        <v>1</v>
      </c>
      <c r="BE38" s="81" t="str">
        <f>REPLACE(INDEX(GroupVertices[Group],MATCH(Edges[[#This Row],[Vertex 2]],GroupVertices[Vertex],0)),1,1,"")</f>
        <v>1</v>
      </c>
      <c r="BF38" s="49"/>
      <c r="BG38" s="50"/>
      <c r="BH38" s="49"/>
      <c r="BI38" s="50"/>
      <c r="BJ38" s="49"/>
      <c r="BK38" s="50"/>
      <c r="BL38" s="49"/>
      <c r="BM38" s="50"/>
      <c r="BN38" s="49"/>
    </row>
    <row r="39" spans="1:66" ht="15">
      <c r="A39" s="66" t="s">
        <v>260</v>
      </c>
      <c r="B39" s="66" t="s">
        <v>292</v>
      </c>
      <c r="C39" s="67" t="s">
        <v>1011</v>
      </c>
      <c r="D39" s="68">
        <v>3</v>
      </c>
      <c r="E39" s="69" t="s">
        <v>132</v>
      </c>
      <c r="F39" s="70">
        <v>32</v>
      </c>
      <c r="G39" s="67"/>
      <c r="H39" s="71"/>
      <c r="I39" s="72"/>
      <c r="J39" s="72"/>
      <c r="K39" s="35" t="s">
        <v>65</v>
      </c>
      <c r="L39" s="80">
        <v>39</v>
      </c>
      <c r="M39" s="80"/>
      <c r="N39" s="74"/>
      <c r="O39" s="82" t="s">
        <v>302</v>
      </c>
      <c r="P39" s="84">
        <v>44483.456655092596</v>
      </c>
      <c r="Q39" s="82" t="s">
        <v>313</v>
      </c>
      <c r="R39" s="82"/>
      <c r="S39" s="82"/>
      <c r="T39" s="82"/>
      <c r="U39" s="82"/>
      <c r="V39" s="85" t="str">
        <f>HYPERLINK("https://pbs.twimg.com/profile_images/1431711560121077764/-qIbpvxx_normal.jpg")</f>
        <v>https://pbs.twimg.com/profile_images/1431711560121077764/-qIbpvxx_normal.jpg</v>
      </c>
      <c r="W39" s="84">
        <v>44483.456655092596</v>
      </c>
      <c r="X39" s="89">
        <v>44483</v>
      </c>
      <c r="Y39" s="86" t="s">
        <v>358</v>
      </c>
      <c r="Z39" s="85" t="str">
        <f>HYPERLINK("https://twitter.com/ancienthiker/status/1448603889482280960")</f>
        <v>https://twitter.com/ancienthiker/status/1448603889482280960</v>
      </c>
      <c r="AA39" s="82"/>
      <c r="AB39" s="82"/>
      <c r="AC39" s="86" t="s">
        <v>399</v>
      </c>
      <c r="AD39" s="86" t="s">
        <v>431</v>
      </c>
      <c r="AE39" s="82" t="b">
        <v>0</v>
      </c>
      <c r="AF39" s="82">
        <v>0</v>
      </c>
      <c r="AG39" s="86" t="s">
        <v>432</v>
      </c>
      <c r="AH39" s="82" t="b">
        <v>0</v>
      </c>
      <c r="AI39" s="82" t="s">
        <v>439</v>
      </c>
      <c r="AJ39" s="82"/>
      <c r="AK39" s="86" t="s">
        <v>441</v>
      </c>
      <c r="AL39" s="82" t="b">
        <v>0</v>
      </c>
      <c r="AM39" s="82">
        <v>0</v>
      </c>
      <c r="AN39" s="86" t="s">
        <v>441</v>
      </c>
      <c r="AO39" s="86" t="s">
        <v>445</v>
      </c>
      <c r="AP39" s="82" t="b">
        <v>0</v>
      </c>
      <c r="AQ39" s="86" t="s">
        <v>431</v>
      </c>
      <c r="AR39" s="82"/>
      <c r="AS39" s="82">
        <v>0</v>
      </c>
      <c r="AT39" s="82">
        <v>0</v>
      </c>
      <c r="AU39" s="82"/>
      <c r="AV39" s="82"/>
      <c r="AW39" s="82"/>
      <c r="AX39" s="82"/>
      <c r="AY39" s="82"/>
      <c r="AZ39" s="82"/>
      <c r="BA39" s="82"/>
      <c r="BB39" s="82"/>
      <c r="BC39">
        <v>1</v>
      </c>
      <c r="BD39" s="81" t="str">
        <f>REPLACE(INDEX(GroupVertices[Group],MATCH(Edges[[#This Row],[Vertex 1]],GroupVertices[Vertex],0)),1,1,"")</f>
        <v>1</v>
      </c>
      <c r="BE39" s="81" t="str">
        <f>REPLACE(INDEX(GroupVertices[Group],MATCH(Edges[[#This Row],[Vertex 2]],GroupVertices[Vertex],0)),1,1,"")</f>
        <v>2</v>
      </c>
      <c r="BF39" s="49"/>
      <c r="BG39" s="50"/>
      <c r="BH39" s="49"/>
      <c r="BI39" s="50"/>
      <c r="BJ39" s="49"/>
      <c r="BK39" s="50"/>
      <c r="BL39" s="49"/>
      <c r="BM39" s="50"/>
      <c r="BN39" s="49"/>
    </row>
    <row r="40" spans="1:66" ht="15">
      <c r="A40" s="66" t="s">
        <v>260</v>
      </c>
      <c r="B40" s="66" t="s">
        <v>289</v>
      </c>
      <c r="C40" s="67" t="s">
        <v>1011</v>
      </c>
      <c r="D40" s="68">
        <v>3</v>
      </c>
      <c r="E40" s="69" t="s">
        <v>132</v>
      </c>
      <c r="F40" s="70">
        <v>32</v>
      </c>
      <c r="G40" s="67"/>
      <c r="H40" s="71"/>
      <c r="I40" s="72"/>
      <c r="J40" s="72"/>
      <c r="K40" s="35" t="s">
        <v>65</v>
      </c>
      <c r="L40" s="80">
        <v>40</v>
      </c>
      <c r="M40" s="80"/>
      <c r="N40" s="74"/>
      <c r="O40" s="82" t="s">
        <v>303</v>
      </c>
      <c r="P40" s="84">
        <v>44483.456655092596</v>
      </c>
      <c r="Q40" s="82" t="s">
        <v>313</v>
      </c>
      <c r="R40" s="82"/>
      <c r="S40" s="82"/>
      <c r="T40" s="82"/>
      <c r="U40" s="82"/>
      <c r="V40" s="85" t="str">
        <f>HYPERLINK("https://pbs.twimg.com/profile_images/1431711560121077764/-qIbpvxx_normal.jpg")</f>
        <v>https://pbs.twimg.com/profile_images/1431711560121077764/-qIbpvxx_normal.jpg</v>
      </c>
      <c r="W40" s="84">
        <v>44483.456655092596</v>
      </c>
      <c r="X40" s="89">
        <v>44483</v>
      </c>
      <c r="Y40" s="86" t="s">
        <v>358</v>
      </c>
      <c r="Z40" s="85" t="str">
        <f>HYPERLINK("https://twitter.com/ancienthiker/status/1448603889482280960")</f>
        <v>https://twitter.com/ancienthiker/status/1448603889482280960</v>
      </c>
      <c r="AA40" s="82"/>
      <c r="AB40" s="82"/>
      <c r="AC40" s="86" t="s">
        <v>399</v>
      </c>
      <c r="AD40" s="86" t="s">
        <v>431</v>
      </c>
      <c r="AE40" s="82" t="b">
        <v>0</v>
      </c>
      <c r="AF40" s="82">
        <v>0</v>
      </c>
      <c r="AG40" s="86" t="s">
        <v>432</v>
      </c>
      <c r="AH40" s="82" t="b">
        <v>0</v>
      </c>
      <c r="AI40" s="82" t="s">
        <v>439</v>
      </c>
      <c r="AJ40" s="82"/>
      <c r="AK40" s="86" t="s">
        <v>441</v>
      </c>
      <c r="AL40" s="82" t="b">
        <v>0</v>
      </c>
      <c r="AM40" s="82">
        <v>0</v>
      </c>
      <c r="AN40" s="86" t="s">
        <v>441</v>
      </c>
      <c r="AO40" s="86" t="s">
        <v>445</v>
      </c>
      <c r="AP40" s="82" t="b">
        <v>0</v>
      </c>
      <c r="AQ40" s="86" t="s">
        <v>431</v>
      </c>
      <c r="AR40" s="82"/>
      <c r="AS40" s="82">
        <v>0</v>
      </c>
      <c r="AT40" s="82">
        <v>0</v>
      </c>
      <c r="AU40" s="82"/>
      <c r="AV40" s="82"/>
      <c r="AW40" s="82"/>
      <c r="AX40" s="82"/>
      <c r="AY40" s="82"/>
      <c r="AZ40" s="82"/>
      <c r="BA40" s="82"/>
      <c r="BB40" s="82"/>
      <c r="BC40">
        <v>1</v>
      </c>
      <c r="BD40" s="81" t="str">
        <f>REPLACE(INDEX(GroupVertices[Group],MATCH(Edges[[#This Row],[Vertex 1]],GroupVertices[Vertex],0)),1,1,"")</f>
        <v>1</v>
      </c>
      <c r="BE40" s="81" t="str">
        <f>REPLACE(INDEX(GroupVertices[Group],MATCH(Edges[[#This Row],[Vertex 2]],GroupVertices[Vertex],0)),1,1,"")</f>
        <v>1</v>
      </c>
      <c r="BF40" s="49">
        <v>0</v>
      </c>
      <c r="BG40" s="50">
        <v>0</v>
      </c>
      <c r="BH40" s="49">
        <v>0</v>
      </c>
      <c r="BI40" s="50">
        <v>0</v>
      </c>
      <c r="BJ40" s="49">
        <v>0</v>
      </c>
      <c r="BK40" s="50">
        <v>0</v>
      </c>
      <c r="BL40" s="49">
        <v>11</v>
      </c>
      <c r="BM40" s="50">
        <v>100</v>
      </c>
      <c r="BN40" s="49">
        <v>11</v>
      </c>
    </row>
    <row r="41" spans="1:66" ht="15">
      <c r="A41" s="66" t="s">
        <v>261</v>
      </c>
      <c r="B41" s="66" t="s">
        <v>290</v>
      </c>
      <c r="C41" s="67" t="s">
        <v>1011</v>
      </c>
      <c r="D41" s="68">
        <v>3</v>
      </c>
      <c r="E41" s="69" t="s">
        <v>132</v>
      </c>
      <c r="F41" s="70">
        <v>32</v>
      </c>
      <c r="G41" s="67"/>
      <c r="H41" s="71"/>
      <c r="I41" s="72"/>
      <c r="J41" s="72"/>
      <c r="K41" s="35" t="s">
        <v>65</v>
      </c>
      <c r="L41" s="80">
        <v>41</v>
      </c>
      <c r="M41" s="80"/>
      <c r="N41" s="74"/>
      <c r="O41" s="82" t="s">
        <v>302</v>
      </c>
      <c r="P41" s="84">
        <v>44483.422118055554</v>
      </c>
      <c r="Q41" s="82" t="s">
        <v>314</v>
      </c>
      <c r="R41" s="82"/>
      <c r="S41" s="82"/>
      <c r="T41" s="82"/>
      <c r="U41" s="82"/>
      <c r="V41" s="85" t="str">
        <f>HYPERLINK("https://pbs.twimg.com/profile_images/499310701567938561/QWhJ7F2P_normal.jpeg")</f>
        <v>https://pbs.twimg.com/profile_images/499310701567938561/QWhJ7F2P_normal.jpeg</v>
      </c>
      <c r="W41" s="84">
        <v>44483.422118055554</v>
      </c>
      <c r="X41" s="89">
        <v>44483</v>
      </c>
      <c r="Y41" s="86" t="s">
        <v>359</v>
      </c>
      <c r="Z41" s="85" t="str">
        <f>HYPERLINK("https://twitter.com/indysilverfox/status/1448591371841966086")</f>
        <v>https://twitter.com/indysilverfox/status/1448591371841966086</v>
      </c>
      <c r="AA41" s="82"/>
      <c r="AB41" s="82"/>
      <c r="AC41" s="86" t="s">
        <v>400</v>
      </c>
      <c r="AD41" s="86" t="s">
        <v>431</v>
      </c>
      <c r="AE41" s="82" t="b">
        <v>0</v>
      </c>
      <c r="AF41" s="82">
        <v>8</v>
      </c>
      <c r="AG41" s="86" t="s">
        <v>432</v>
      </c>
      <c r="AH41" s="82" t="b">
        <v>0</v>
      </c>
      <c r="AI41" s="82" t="s">
        <v>439</v>
      </c>
      <c r="AJ41" s="82"/>
      <c r="AK41" s="86" t="s">
        <v>441</v>
      </c>
      <c r="AL41" s="82" t="b">
        <v>0</v>
      </c>
      <c r="AM41" s="82">
        <v>1</v>
      </c>
      <c r="AN41" s="86" t="s">
        <v>441</v>
      </c>
      <c r="AO41" s="86" t="s">
        <v>446</v>
      </c>
      <c r="AP41" s="82" t="b">
        <v>0</v>
      </c>
      <c r="AQ41" s="86" t="s">
        <v>431</v>
      </c>
      <c r="AR41" s="82"/>
      <c r="AS41" s="82">
        <v>0</v>
      </c>
      <c r="AT41" s="82">
        <v>0</v>
      </c>
      <c r="AU41" s="82"/>
      <c r="AV41" s="82"/>
      <c r="AW41" s="82"/>
      <c r="AX41" s="82"/>
      <c r="AY41" s="82"/>
      <c r="AZ41" s="82"/>
      <c r="BA41" s="82"/>
      <c r="BB41" s="82"/>
      <c r="BC41">
        <v>1</v>
      </c>
      <c r="BD41" s="81" t="str">
        <f>REPLACE(INDEX(GroupVertices[Group],MATCH(Edges[[#This Row],[Vertex 1]],GroupVertices[Vertex],0)),1,1,"")</f>
        <v>1</v>
      </c>
      <c r="BE41" s="81" t="str">
        <f>REPLACE(INDEX(GroupVertices[Group],MATCH(Edges[[#This Row],[Vertex 2]],GroupVertices[Vertex],0)),1,1,"")</f>
        <v>1</v>
      </c>
      <c r="BF41" s="49"/>
      <c r="BG41" s="50"/>
      <c r="BH41" s="49"/>
      <c r="BI41" s="50"/>
      <c r="BJ41" s="49"/>
      <c r="BK41" s="50"/>
      <c r="BL41" s="49"/>
      <c r="BM41" s="50"/>
      <c r="BN41" s="49"/>
    </row>
    <row r="42" spans="1:66" ht="15">
      <c r="A42" s="66" t="s">
        <v>261</v>
      </c>
      <c r="B42" s="66" t="s">
        <v>291</v>
      </c>
      <c r="C42" s="67" t="s">
        <v>1011</v>
      </c>
      <c r="D42" s="68">
        <v>3</v>
      </c>
      <c r="E42" s="69" t="s">
        <v>132</v>
      </c>
      <c r="F42" s="70">
        <v>32</v>
      </c>
      <c r="G42" s="67"/>
      <c r="H42" s="71"/>
      <c r="I42" s="72"/>
      <c r="J42" s="72"/>
      <c r="K42" s="35" t="s">
        <v>65</v>
      </c>
      <c r="L42" s="80">
        <v>42</v>
      </c>
      <c r="M42" s="80"/>
      <c r="N42" s="74"/>
      <c r="O42" s="82" t="s">
        <v>302</v>
      </c>
      <c r="P42" s="84">
        <v>44483.422118055554</v>
      </c>
      <c r="Q42" s="82" t="s">
        <v>314</v>
      </c>
      <c r="R42" s="82"/>
      <c r="S42" s="82"/>
      <c r="T42" s="82"/>
      <c r="U42" s="82"/>
      <c r="V42" s="85" t="str">
        <f>HYPERLINK("https://pbs.twimg.com/profile_images/499310701567938561/QWhJ7F2P_normal.jpeg")</f>
        <v>https://pbs.twimg.com/profile_images/499310701567938561/QWhJ7F2P_normal.jpeg</v>
      </c>
      <c r="W42" s="84">
        <v>44483.422118055554</v>
      </c>
      <c r="X42" s="89">
        <v>44483</v>
      </c>
      <c r="Y42" s="86" t="s">
        <v>359</v>
      </c>
      <c r="Z42" s="85" t="str">
        <f>HYPERLINK("https://twitter.com/indysilverfox/status/1448591371841966086")</f>
        <v>https://twitter.com/indysilverfox/status/1448591371841966086</v>
      </c>
      <c r="AA42" s="82"/>
      <c r="AB42" s="82"/>
      <c r="AC42" s="86" t="s">
        <v>400</v>
      </c>
      <c r="AD42" s="86" t="s">
        <v>431</v>
      </c>
      <c r="AE42" s="82" t="b">
        <v>0</v>
      </c>
      <c r="AF42" s="82">
        <v>8</v>
      </c>
      <c r="AG42" s="86" t="s">
        <v>432</v>
      </c>
      <c r="AH42" s="82" t="b">
        <v>0</v>
      </c>
      <c r="AI42" s="82" t="s">
        <v>439</v>
      </c>
      <c r="AJ42" s="82"/>
      <c r="AK42" s="86" t="s">
        <v>441</v>
      </c>
      <c r="AL42" s="82" t="b">
        <v>0</v>
      </c>
      <c r="AM42" s="82">
        <v>1</v>
      </c>
      <c r="AN42" s="86" t="s">
        <v>441</v>
      </c>
      <c r="AO42" s="86" t="s">
        <v>446</v>
      </c>
      <c r="AP42" s="82" t="b">
        <v>0</v>
      </c>
      <c r="AQ42" s="86" t="s">
        <v>431</v>
      </c>
      <c r="AR42" s="82"/>
      <c r="AS42" s="82">
        <v>0</v>
      </c>
      <c r="AT42" s="82">
        <v>0</v>
      </c>
      <c r="AU42" s="82"/>
      <c r="AV42" s="82"/>
      <c r="AW42" s="82"/>
      <c r="AX42" s="82"/>
      <c r="AY42" s="82"/>
      <c r="AZ42" s="82"/>
      <c r="BA42" s="82"/>
      <c r="BB42" s="82"/>
      <c r="BC42">
        <v>1</v>
      </c>
      <c r="BD42" s="81" t="str">
        <f>REPLACE(INDEX(GroupVertices[Group],MATCH(Edges[[#This Row],[Vertex 1]],GroupVertices[Vertex],0)),1,1,"")</f>
        <v>1</v>
      </c>
      <c r="BE42" s="81" t="str">
        <f>REPLACE(INDEX(GroupVertices[Group],MATCH(Edges[[#This Row],[Vertex 2]],GroupVertices[Vertex],0)),1,1,"")</f>
        <v>1</v>
      </c>
      <c r="BF42" s="49"/>
      <c r="BG42" s="50"/>
      <c r="BH42" s="49"/>
      <c r="BI42" s="50"/>
      <c r="BJ42" s="49"/>
      <c r="BK42" s="50"/>
      <c r="BL42" s="49"/>
      <c r="BM42" s="50"/>
      <c r="BN42" s="49"/>
    </row>
    <row r="43" spans="1:66" ht="15">
      <c r="A43" s="66" t="s">
        <v>261</v>
      </c>
      <c r="B43" s="66" t="s">
        <v>278</v>
      </c>
      <c r="C43" s="67" t="s">
        <v>1011</v>
      </c>
      <c r="D43" s="68">
        <v>3</v>
      </c>
      <c r="E43" s="69" t="s">
        <v>132</v>
      </c>
      <c r="F43" s="70">
        <v>32</v>
      </c>
      <c r="G43" s="67"/>
      <c r="H43" s="71"/>
      <c r="I43" s="72"/>
      <c r="J43" s="72"/>
      <c r="K43" s="35" t="s">
        <v>65</v>
      </c>
      <c r="L43" s="80">
        <v>43</v>
      </c>
      <c r="M43" s="80"/>
      <c r="N43" s="74"/>
      <c r="O43" s="82" t="s">
        <v>302</v>
      </c>
      <c r="P43" s="84">
        <v>44483.422118055554</v>
      </c>
      <c r="Q43" s="82" t="s">
        <v>314</v>
      </c>
      <c r="R43" s="82"/>
      <c r="S43" s="82"/>
      <c r="T43" s="82"/>
      <c r="U43" s="82"/>
      <c r="V43" s="85" t="str">
        <f>HYPERLINK("https://pbs.twimg.com/profile_images/499310701567938561/QWhJ7F2P_normal.jpeg")</f>
        <v>https://pbs.twimg.com/profile_images/499310701567938561/QWhJ7F2P_normal.jpeg</v>
      </c>
      <c r="W43" s="84">
        <v>44483.422118055554</v>
      </c>
      <c r="X43" s="89">
        <v>44483</v>
      </c>
      <c r="Y43" s="86" t="s">
        <v>359</v>
      </c>
      <c r="Z43" s="85" t="str">
        <f>HYPERLINK("https://twitter.com/indysilverfox/status/1448591371841966086")</f>
        <v>https://twitter.com/indysilverfox/status/1448591371841966086</v>
      </c>
      <c r="AA43" s="82"/>
      <c r="AB43" s="82"/>
      <c r="AC43" s="86" t="s">
        <v>400</v>
      </c>
      <c r="AD43" s="86" t="s">
        <v>431</v>
      </c>
      <c r="AE43" s="82" t="b">
        <v>0</v>
      </c>
      <c r="AF43" s="82">
        <v>8</v>
      </c>
      <c r="AG43" s="86" t="s">
        <v>432</v>
      </c>
      <c r="AH43" s="82" t="b">
        <v>0</v>
      </c>
      <c r="AI43" s="82" t="s">
        <v>439</v>
      </c>
      <c r="AJ43" s="82"/>
      <c r="AK43" s="86" t="s">
        <v>441</v>
      </c>
      <c r="AL43" s="82" t="b">
        <v>0</v>
      </c>
      <c r="AM43" s="82">
        <v>1</v>
      </c>
      <c r="AN43" s="86" t="s">
        <v>441</v>
      </c>
      <c r="AO43" s="86" t="s">
        <v>446</v>
      </c>
      <c r="AP43" s="82" t="b">
        <v>0</v>
      </c>
      <c r="AQ43" s="86" t="s">
        <v>431</v>
      </c>
      <c r="AR43" s="82"/>
      <c r="AS43" s="82">
        <v>0</v>
      </c>
      <c r="AT43" s="82">
        <v>0</v>
      </c>
      <c r="AU43" s="82"/>
      <c r="AV43" s="82"/>
      <c r="AW43" s="82"/>
      <c r="AX43" s="82"/>
      <c r="AY43" s="82"/>
      <c r="AZ43" s="82"/>
      <c r="BA43" s="82"/>
      <c r="BB43" s="82"/>
      <c r="BC43">
        <v>1</v>
      </c>
      <c r="BD43" s="81" t="str">
        <f>REPLACE(INDEX(GroupVertices[Group],MATCH(Edges[[#This Row],[Vertex 1]],GroupVertices[Vertex],0)),1,1,"")</f>
        <v>1</v>
      </c>
      <c r="BE43" s="81" t="str">
        <f>REPLACE(INDEX(GroupVertices[Group],MATCH(Edges[[#This Row],[Vertex 2]],GroupVertices[Vertex],0)),1,1,"")</f>
        <v>1</v>
      </c>
      <c r="BF43" s="49">
        <v>0</v>
      </c>
      <c r="BG43" s="50">
        <v>0</v>
      </c>
      <c r="BH43" s="49">
        <v>2</v>
      </c>
      <c r="BI43" s="50">
        <v>8.695652173913043</v>
      </c>
      <c r="BJ43" s="49">
        <v>0</v>
      </c>
      <c r="BK43" s="50">
        <v>0</v>
      </c>
      <c r="BL43" s="49">
        <v>21</v>
      </c>
      <c r="BM43" s="50">
        <v>91.30434782608695</v>
      </c>
      <c r="BN43" s="49">
        <v>23</v>
      </c>
    </row>
    <row r="44" spans="1:66" ht="15">
      <c r="A44" s="66" t="s">
        <v>261</v>
      </c>
      <c r="B44" s="66" t="s">
        <v>289</v>
      </c>
      <c r="C44" s="67" t="s">
        <v>1011</v>
      </c>
      <c r="D44" s="68">
        <v>3</v>
      </c>
      <c r="E44" s="69" t="s">
        <v>132</v>
      </c>
      <c r="F44" s="70">
        <v>32</v>
      </c>
      <c r="G44" s="67"/>
      <c r="H44" s="71"/>
      <c r="I44" s="72"/>
      <c r="J44" s="72"/>
      <c r="K44" s="35" t="s">
        <v>65</v>
      </c>
      <c r="L44" s="80">
        <v>44</v>
      </c>
      <c r="M44" s="80"/>
      <c r="N44" s="74"/>
      <c r="O44" s="82" t="s">
        <v>303</v>
      </c>
      <c r="P44" s="84">
        <v>44483.422118055554</v>
      </c>
      <c r="Q44" s="82" t="s">
        <v>314</v>
      </c>
      <c r="R44" s="82"/>
      <c r="S44" s="82"/>
      <c r="T44" s="82"/>
      <c r="U44" s="82"/>
      <c r="V44" s="85" t="str">
        <f>HYPERLINK("https://pbs.twimg.com/profile_images/499310701567938561/QWhJ7F2P_normal.jpeg")</f>
        <v>https://pbs.twimg.com/profile_images/499310701567938561/QWhJ7F2P_normal.jpeg</v>
      </c>
      <c r="W44" s="84">
        <v>44483.422118055554</v>
      </c>
      <c r="X44" s="89">
        <v>44483</v>
      </c>
      <c r="Y44" s="86" t="s">
        <v>359</v>
      </c>
      <c r="Z44" s="85" t="str">
        <f>HYPERLINK("https://twitter.com/indysilverfox/status/1448591371841966086")</f>
        <v>https://twitter.com/indysilverfox/status/1448591371841966086</v>
      </c>
      <c r="AA44" s="82"/>
      <c r="AB44" s="82"/>
      <c r="AC44" s="86" t="s">
        <v>400</v>
      </c>
      <c r="AD44" s="86" t="s">
        <v>431</v>
      </c>
      <c r="AE44" s="82" t="b">
        <v>0</v>
      </c>
      <c r="AF44" s="82">
        <v>8</v>
      </c>
      <c r="AG44" s="86" t="s">
        <v>432</v>
      </c>
      <c r="AH44" s="82" t="b">
        <v>0</v>
      </c>
      <c r="AI44" s="82" t="s">
        <v>439</v>
      </c>
      <c r="AJ44" s="82"/>
      <c r="AK44" s="86" t="s">
        <v>441</v>
      </c>
      <c r="AL44" s="82" t="b">
        <v>0</v>
      </c>
      <c r="AM44" s="82">
        <v>1</v>
      </c>
      <c r="AN44" s="86" t="s">
        <v>441</v>
      </c>
      <c r="AO44" s="86" t="s">
        <v>446</v>
      </c>
      <c r="AP44" s="82" t="b">
        <v>0</v>
      </c>
      <c r="AQ44" s="86" t="s">
        <v>431</v>
      </c>
      <c r="AR44" s="82"/>
      <c r="AS44" s="82">
        <v>0</v>
      </c>
      <c r="AT44" s="82">
        <v>0</v>
      </c>
      <c r="AU44" s="82"/>
      <c r="AV44" s="82"/>
      <c r="AW44" s="82"/>
      <c r="AX44" s="82"/>
      <c r="AY44" s="82"/>
      <c r="AZ44" s="82"/>
      <c r="BA44" s="82"/>
      <c r="BB44" s="82"/>
      <c r="BC44">
        <v>1</v>
      </c>
      <c r="BD44" s="81" t="str">
        <f>REPLACE(INDEX(GroupVertices[Group],MATCH(Edges[[#This Row],[Vertex 1]],GroupVertices[Vertex],0)),1,1,"")</f>
        <v>1</v>
      </c>
      <c r="BE44" s="81" t="str">
        <f>REPLACE(INDEX(GroupVertices[Group],MATCH(Edges[[#This Row],[Vertex 2]],GroupVertices[Vertex],0)),1,1,"")</f>
        <v>1</v>
      </c>
      <c r="BF44" s="49"/>
      <c r="BG44" s="50"/>
      <c r="BH44" s="49"/>
      <c r="BI44" s="50"/>
      <c r="BJ44" s="49"/>
      <c r="BK44" s="50"/>
      <c r="BL44" s="49"/>
      <c r="BM44" s="50"/>
      <c r="BN44" s="49"/>
    </row>
    <row r="45" spans="1:66" ht="15">
      <c r="A45" s="66" t="s">
        <v>262</v>
      </c>
      <c r="B45" s="66" t="s">
        <v>290</v>
      </c>
      <c r="C45" s="67" t="s">
        <v>1011</v>
      </c>
      <c r="D45" s="68">
        <v>3</v>
      </c>
      <c r="E45" s="69" t="s">
        <v>132</v>
      </c>
      <c r="F45" s="70">
        <v>32</v>
      </c>
      <c r="G45" s="67"/>
      <c r="H45" s="71"/>
      <c r="I45" s="72"/>
      <c r="J45" s="72"/>
      <c r="K45" s="35" t="s">
        <v>65</v>
      </c>
      <c r="L45" s="80">
        <v>45</v>
      </c>
      <c r="M45" s="80"/>
      <c r="N45" s="74"/>
      <c r="O45" s="82" t="s">
        <v>302</v>
      </c>
      <c r="P45" s="84">
        <v>44483.5047337963</v>
      </c>
      <c r="Q45" s="82" t="s">
        <v>315</v>
      </c>
      <c r="R45" s="82"/>
      <c r="S45" s="82"/>
      <c r="T45" s="86" t="s">
        <v>348</v>
      </c>
      <c r="U45" s="82"/>
      <c r="V45" s="85" t="str">
        <f>HYPERLINK("https://pbs.twimg.com/profile_images/999239916998410240/isrkn2oH_normal.jpg")</f>
        <v>https://pbs.twimg.com/profile_images/999239916998410240/isrkn2oH_normal.jpg</v>
      </c>
      <c r="W45" s="84">
        <v>44483.5047337963</v>
      </c>
      <c r="X45" s="89">
        <v>44483</v>
      </c>
      <c r="Y45" s="86" t="s">
        <v>360</v>
      </c>
      <c r="Z45" s="85" t="str">
        <f>HYPERLINK("https://twitter.com/gary4463150386/status/1448621312558211081")</f>
        <v>https://twitter.com/gary4463150386/status/1448621312558211081</v>
      </c>
      <c r="AA45" s="82"/>
      <c r="AB45" s="82"/>
      <c r="AC45" s="86" t="s">
        <v>401</v>
      </c>
      <c r="AD45" s="86" t="s">
        <v>431</v>
      </c>
      <c r="AE45" s="82" t="b">
        <v>0</v>
      </c>
      <c r="AF45" s="82">
        <v>1</v>
      </c>
      <c r="AG45" s="86" t="s">
        <v>432</v>
      </c>
      <c r="AH45" s="82" t="b">
        <v>0</v>
      </c>
      <c r="AI45" s="82" t="s">
        <v>440</v>
      </c>
      <c r="AJ45" s="82"/>
      <c r="AK45" s="86" t="s">
        <v>441</v>
      </c>
      <c r="AL45" s="82" t="b">
        <v>0</v>
      </c>
      <c r="AM45" s="82">
        <v>0</v>
      </c>
      <c r="AN45" s="86" t="s">
        <v>441</v>
      </c>
      <c r="AO45" s="86" t="s">
        <v>446</v>
      </c>
      <c r="AP45" s="82" t="b">
        <v>0</v>
      </c>
      <c r="AQ45" s="86" t="s">
        <v>431</v>
      </c>
      <c r="AR45" s="82"/>
      <c r="AS45" s="82">
        <v>0</v>
      </c>
      <c r="AT45" s="82">
        <v>0</v>
      </c>
      <c r="AU45" s="82"/>
      <c r="AV45" s="82"/>
      <c r="AW45" s="82"/>
      <c r="AX45" s="82"/>
      <c r="AY45" s="82"/>
      <c r="AZ45" s="82"/>
      <c r="BA45" s="82"/>
      <c r="BB45" s="82"/>
      <c r="BC45">
        <v>1</v>
      </c>
      <c r="BD45" s="81" t="str">
        <f>REPLACE(INDEX(GroupVertices[Group],MATCH(Edges[[#This Row],[Vertex 1]],GroupVertices[Vertex],0)),1,1,"")</f>
        <v>2</v>
      </c>
      <c r="BE45" s="81" t="str">
        <f>REPLACE(INDEX(GroupVertices[Group],MATCH(Edges[[#This Row],[Vertex 2]],GroupVertices[Vertex],0)),1,1,"")</f>
        <v>1</v>
      </c>
      <c r="BF45" s="49"/>
      <c r="BG45" s="50"/>
      <c r="BH45" s="49"/>
      <c r="BI45" s="50"/>
      <c r="BJ45" s="49"/>
      <c r="BK45" s="50"/>
      <c r="BL45" s="49"/>
      <c r="BM45" s="50"/>
      <c r="BN45" s="49"/>
    </row>
    <row r="46" spans="1:66" ht="15">
      <c r="A46" s="66" t="s">
        <v>262</v>
      </c>
      <c r="B46" s="66" t="s">
        <v>291</v>
      </c>
      <c r="C46" s="67" t="s">
        <v>1011</v>
      </c>
      <c r="D46" s="68">
        <v>3</v>
      </c>
      <c r="E46" s="69" t="s">
        <v>132</v>
      </c>
      <c r="F46" s="70">
        <v>32</v>
      </c>
      <c r="G46" s="67"/>
      <c r="H46" s="71"/>
      <c r="I46" s="72"/>
      <c r="J46" s="72"/>
      <c r="K46" s="35" t="s">
        <v>65</v>
      </c>
      <c r="L46" s="80">
        <v>46</v>
      </c>
      <c r="M46" s="80"/>
      <c r="N46" s="74"/>
      <c r="O46" s="82" t="s">
        <v>302</v>
      </c>
      <c r="P46" s="84">
        <v>44483.5047337963</v>
      </c>
      <c r="Q46" s="82" t="s">
        <v>315</v>
      </c>
      <c r="R46" s="82"/>
      <c r="S46" s="82"/>
      <c r="T46" s="86" t="s">
        <v>348</v>
      </c>
      <c r="U46" s="82"/>
      <c r="V46" s="85" t="str">
        <f>HYPERLINK("https://pbs.twimg.com/profile_images/999239916998410240/isrkn2oH_normal.jpg")</f>
        <v>https://pbs.twimg.com/profile_images/999239916998410240/isrkn2oH_normal.jpg</v>
      </c>
      <c r="W46" s="84">
        <v>44483.5047337963</v>
      </c>
      <c r="X46" s="89">
        <v>44483</v>
      </c>
      <c r="Y46" s="86" t="s">
        <v>360</v>
      </c>
      <c r="Z46" s="85" t="str">
        <f>HYPERLINK("https://twitter.com/gary4463150386/status/1448621312558211081")</f>
        <v>https://twitter.com/gary4463150386/status/1448621312558211081</v>
      </c>
      <c r="AA46" s="82"/>
      <c r="AB46" s="82"/>
      <c r="AC46" s="86" t="s">
        <v>401</v>
      </c>
      <c r="AD46" s="86" t="s">
        <v>431</v>
      </c>
      <c r="AE46" s="82" t="b">
        <v>0</v>
      </c>
      <c r="AF46" s="82">
        <v>1</v>
      </c>
      <c r="AG46" s="86" t="s">
        <v>432</v>
      </c>
      <c r="AH46" s="82" t="b">
        <v>0</v>
      </c>
      <c r="AI46" s="82" t="s">
        <v>440</v>
      </c>
      <c r="AJ46" s="82"/>
      <c r="AK46" s="86" t="s">
        <v>441</v>
      </c>
      <c r="AL46" s="82" t="b">
        <v>0</v>
      </c>
      <c r="AM46" s="82">
        <v>0</v>
      </c>
      <c r="AN46" s="86" t="s">
        <v>441</v>
      </c>
      <c r="AO46" s="86" t="s">
        <v>446</v>
      </c>
      <c r="AP46" s="82" t="b">
        <v>0</v>
      </c>
      <c r="AQ46" s="86" t="s">
        <v>431</v>
      </c>
      <c r="AR46" s="82"/>
      <c r="AS46" s="82">
        <v>0</v>
      </c>
      <c r="AT46" s="82">
        <v>0</v>
      </c>
      <c r="AU46" s="82"/>
      <c r="AV46" s="82"/>
      <c r="AW46" s="82"/>
      <c r="AX46" s="82"/>
      <c r="AY46" s="82"/>
      <c r="AZ46" s="82"/>
      <c r="BA46" s="82"/>
      <c r="BB46" s="82"/>
      <c r="BC46">
        <v>1</v>
      </c>
      <c r="BD46" s="81" t="str">
        <f>REPLACE(INDEX(GroupVertices[Group],MATCH(Edges[[#This Row],[Vertex 1]],GroupVertices[Vertex],0)),1,1,"")</f>
        <v>2</v>
      </c>
      <c r="BE46" s="81" t="str">
        <f>REPLACE(INDEX(GroupVertices[Group],MATCH(Edges[[#This Row],[Vertex 2]],GroupVertices[Vertex],0)),1,1,"")</f>
        <v>1</v>
      </c>
      <c r="BF46" s="49"/>
      <c r="BG46" s="50"/>
      <c r="BH46" s="49"/>
      <c r="BI46" s="50"/>
      <c r="BJ46" s="49"/>
      <c r="BK46" s="50"/>
      <c r="BL46" s="49"/>
      <c r="BM46" s="50"/>
      <c r="BN46" s="49"/>
    </row>
    <row r="47" spans="1:66" ht="15">
      <c r="A47" s="66" t="s">
        <v>262</v>
      </c>
      <c r="B47" s="66" t="s">
        <v>292</v>
      </c>
      <c r="C47" s="67" t="s">
        <v>1011</v>
      </c>
      <c r="D47" s="68">
        <v>3</v>
      </c>
      <c r="E47" s="69" t="s">
        <v>132</v>
      </c>
      <c r="F47" s="70">
        <v>32</v>
      </c>
      <c r="G47" s="67"/>
      <c r="H47" s="71"/>
      <c r="I47" s="72"/>
      <c r="J47" s="72"/>
      <c r="K47" s="35" t="s">
        <v>65</v>
      </c>
      <c r="L47" s="80">
        <v>47</v>
      </c>
      <c r="M47" s="80"/>
      <c r="N47" s="74"/>
      <c r="O47" s="82" t="s">
        <v>302</v>
      </c>
      <c r="P47" s="84">
        <v>44483.5047337963</v>
      </c>
      <c r="Q47" s="82" t="s">
        <v>315</v>
      </c>
      <c r="R47" s="82"/>
      <c r="S47" s="82"/>
      <c r="T47" s="86" t="s">
        <v>348</v>
      </c>
      <c r="U47" s="82"/>
      <c r="V47" s="85" t="str">
        <f>HYPERLINK("https://pbs.twimg.com/profile_images/999239916998410240/isrkn2oH_normal.jpg")</f>
        <v>https://pbs.twimg.com/profile_images/999239916998410240/isrkn2oH_normal.jpg</v>
      </c>
      <c r="W47" s="84">
        <v>44483.5047337963</v>
      </c>
      <c r="X47" s="89">
        <v>44483</v>
      </c>
      <c r="Y47" s="86" t="s">
        <v>360</v>
      </c>
      <c r="Z47" s="85" t="str">
        <f>HYPERLINK("https://twitter.com/gary4463150386/status/1448621312558211081")</f>
        <v>https://twitter.com/gary4463150386/status/1448621312558211081</v>
      </c>
      <c r="AA47" s="82"/>
      <c r="AB47" s="82"/>
      <c r="AC47" s="86" t="s">
        <v>401</v>
      </c>
      <c r="AD47" s="86" t="s">
        <v>431</v>
      </c>
      <c r="AE47" s="82" t="b">
        <v>0</v>
      </c>
      <c r="AF47" s="82">
        <v>1</v>
      </c>
      <c r="AG47" s="86" t="s">
        <v>432</v>
      </c>
      <c r="AH47" s="82" t="b">
        <v>0</v>
      </c>
      <c r="AI47" s="82" t="s">
        <v>440</v>
      </c>
      <c r="AJ47" s="82"/>
      <c r="AK47" s="86" t="s">
        <v>441</v>
      </c>
      <c r="AL47" s="82" t="b">
        <v>0</v>
      </c>
      <c r="AM47" s="82">
        <v>0</v>
      </c>
      <c r="AN47" s="86" t="s">
        <v>441</v>
      </c>
      <c r="AO47" s="86" t="s">
        <v>446</v>
      </c>
      <c r="AP47" s="82" t="b">
        <v>0</v>
      </c>
      <c r="AQ47" s="86" t="s">
        <v>431</v>
      </c>
      <c r="AR47" s="82"/>
      <c r="AS47" s="82">
        <v>0</v>
      </c>
      <c r="AT47" s="82">
        <v>0</v>
      </c>
      <c r="AU47" s="82"/>
      <c r="AV47" s="82"/>
      <c r="AW47" s="82"/>
      <c r="AX47" s="82"/>
      <c r="AY47" s="82"/>
      <c r="AZ47" s="82"/>
      <c r="BA47" s="82"/>
      <c r="BB47" s="82"/>
      <c r="BC47">
        <v>1</v>
      </c>
      <c r="BD47" s="81" t="str">
        <f>REPLACE(INDEX(GroupVertices[Group],MATCH(Edges[[#This Row],[Vertex 1]],GroupVertices[Vertex],0)),1,1,"")</f>
        <v>2</v>
      </c>
      <c r="BE47" s="81" t="str">
        <f>REPLACE(INDEX(GroupVertices[Group],MATCH(Edges[[#This Row],[Vertex 2]],GroupVertices[Vertex],0)),1,1,"")</f>
        <v>2</v>
      </c>
      <c r="BF47" s="49"/>
      <c r="BG47" s="50"/>
      <c r="BH47" s="49"/>
      <c r="BI47" s="50"/>
      <c r="BJ47" s="49"/>
      <c r="BK47" s="50"/>
      <c r="BL47" s="49"/>
      <c r="BM47" s="50"/>
      <c r="BN47" s="49"/>
    </row>
    <row r="48" spans="1:66" ht="15">
      <c r="A48" s="66" t="s">
        <v>262</v>
      </c>
      <c r="B48" s="66" t="s">
        <v>289</v>
      </c>
      <c r="C48" s="67" t="s">
        <v>1011</v>
      </c>
      <c r="D48" s="68">
        <v>3</v>
      </c>
      <c r="E48" s="69" t="s">
        <v>132</v>
      </c>
      <c r="F48" s="70">
        <v>32</v>
      </c>
      <c r="G48" s="67"/>
      <c r="H48" s="71"/>
      <c r="I48" s="72"/>
      <c r="J48" s="72"/>
      <c r="K48" s="35" t="s">
        <v>65</v>
      </c>
      <c r="L48" s="80">
        <v>48</v>
      </c>
      <c r="M48" s="80"/>
      <c r="N48" s="74"/>
      <c r="O48" s="82" t="s">
        <v>303</v>
      </c>
      <c r="P48" s="84">
        <v>44483.5047337963</v>
      </c>
      <c r="Q48" s="82" t="s">
        <v>315</v>
      </c>
      <c r="R48" s="82"/>
      <c r="S48" s="82"/>
      <c r="T48" s="86" t="s">
        <v>348</v>
      </c>
      <c r="U48" s="82"/>
      <c r="V48" s="85" t="str">
        <f>HYPERLINK("https://pbs.twimg.com/profile_images/999239916998410240/isrkn2oH_normal.jpg")</f>
        <v>https://pbs.twimg.com/profile_images/999239916998410240/isrkn2oH_normal.jpg</v>
      </c>
      <c r="W48" s="84">
        <v>44483.5047337963</v>
      </c>
      <c r="X48" s="89">
        <v>44483</v>
      </c>
      <c r="Y48" s="86" t="s">
        <v>360</v>
      </c>
      <c r="Z48" s="85" t="str">
        <f>HYPERLINK("https://twitter.com/gary4463150386/status/1448621312558211081")</f>
        <v>https://twitter.com/gary4463150386/status/1448621312558211081</v>
      </c>
      <c r="AA48" s="82"/>
      <c r="AB48" s="82"/>
      <c r="AC48" s="86" t="s">
        <v>401</v>
      </c>
      <c r="AD48" s="86" t="s">
        <v>431</v>
      </c>
      <c r="AE48" s="82" t="b">
        <v>0</v>
      </c>
      <c r="AF48" s="82">
        <v>1</v>
      </c>
      <c r="AG48" s="86" t="s">
        <v>432</v>
      </c>
      <c r="AH48" s="82" t="b">
        <v>0</v>
      </c>
      <c r="AI48" s="82" t="s">
        <v>440</v>
      </c>
      <c r="AJ48" s="82"/>
      <c r="AK48" s="86" t="s">
        <v>441</v>
      </c>
      <c r="AL48" s="82" t="b">
        <v>0</v>
      </c>
      <c r="AM48" s="82">
        <v>0</v>
      </c>
      <c r="AN48" s="86" t="s">
        <v>441</v>
      </c>
      <c r="AO48" s="86" t="s">
        <v>446</v>
      </c>
      <c r="AP48" s="82" t="b">
        <v>0</v>
      </c>
      <c r="AQ48" s="86" t="s">
        <v>431</v>
      </c>
      <c r="AR48" s="82"/>
      <c r="AS48" s="82">
        <v>0</v>
      </c>
      <c r="AT48" s="82">
        <v>0</v>
      </c>
      <c r="AU48" s="82"/>
      <c r="AV48" s="82"/>
      <c r="AW48" s="82"/>
      <c r="AX48" s="82"/>
      <c r="AY48" s="82"/>
      <c r="AZ48" s="82"/>
      <c r="BA48" s="82"/>
      <c r="BB48" s="82"/>
      <c r="BC48">
        <v>1</v>
      </c>
      <c r="BD48" s="81" t="str">
        <f>REPLACE(INDEX(GroupVertices[Group],MATCH(Edges[[#This Row],[Vertex 1]],GroupVertices[Vertex],0)),1,1,"")</f>
        <v>2</v>
      </c>
      <c r="BE48" s="81" t="str">
        <f>REPLACE(INDEX(GroupVertices[Group],MATCH(Edges[[#This Row],[Vertex 2]],GroupVertices[Vertex],0)),1,1,"")</f>
        <v>1</v>
      </c>
      <c r="BF48" s="49">
        <v>0</v>
      </c>
      <c r="BG48" s="50">
        <v>0</v>
      </c>
      <c r="BH48" s="49">
        <v>0</v>
      </c>
      <c r="BI48" s="50">
        <v>0</v>
      </c>
      <c r="BJ48" s="49">
        <v>0</v>
      </c>
      <c r="BK48" s="50">
        <v>0</v>
      </c>
      <c r="BL48" s="49">
        <v>5</v>
      </c>
      <c r="BM48" s="50">
        <v>100</v>
      </c>
      <c r="BN48" s="49">
        <v>5</v>
      </c>
    </row>
    <row r="49" spans="1:66" ht="15">
      <c r="A49" s="66" t="s">
        <v>263</v>
      </c>
      <c r="B49" s="66" t="s">
        <v>290</v>
      </c>
      <c r="C49" s="67" t="s">
        <v>1011</v>
      </c>
      <c r="D49" s="68">
        <v>3</v>
      </c>
      <c r="E49" s="69" t="s">
        <v>132</v>
      </c>
      <c r="F49" s="70">
        <v>32</v>
      </c>
      <c r="G49" s="67"/>
      <c r="H49" s="71"/>
      <c r="I49" s="72"/>
      <c r="J49" s="72"/>
      <c r="K49" s="35" t="s">
        <v>65</v>
      </c>
      <c r="L49" s="80">
        <v>49</v>
      </c>
      <c r="M49" s="80"/>
      <c r="N49" s="74"/>
      <c r="O49" s="82" t="s">
        <v>302</v>
      </c>
      <c r="P49" s="84">
        <v>44483.48541666667</v>
      </c>
      <c r="Q49" s="82" t="s">
        <v>316</v>
      </c>
      <c r="R49" s="82"/>
      <c r="S49" s="82"/>
      <c r="T49" s="82"/>
      <c r="U49" s="82"/>
      <c r="V49" s="85" t="str">
        <f>HYPERLINK("https://pbs.twimg.com/profile_images/675105126449856517/Rq25BWyI_normal.jpg")</f>
        <v>https://pbs.twimg.com/profile_images/675105126449856517/Rq25BWyI_normal.jpg</v>
      </c>
      <c r="W49" s="84">
        <v>44483.48541666667</v>
      </c>
      <c r="X49" s="89">
        <v>44483</v>
      </c>
      <c r="Y49" s="86" t="s">
        <v>361</v>
      </c>
      <c r="Z49" s="85" t="str">
        <f>HYPERLINK("https://twitter.com/tess1959/status/1448614309597175814")</f>
        <v>https://twitter.com/tess1959/status/1448614309597175814</v>
      </c>
      <c r="AA49" s="82"/>
      <c r="AB49" s="82"/>
      <c r="AC49" s="86" t="s">
        <v>402</v>
      </c>
      <c r="AD49" s="86" t="s">
        <v>412</v>
      </c>
      <c r="AE49" s="82" t="b">
        <v>0</v>
      </c>
      <c r="AF49" s="82">
        <v>9</v>
      </c>
      <c r="AG49" s="86" t="s">
        <v>435</v>
      </c>
      <c r="AH49" s="82" t="b">
        <v>0</v>
      </c>
      <c r="AI49" s="82" t="s">
        <v>439</v>
      </c>
      <c r="AJ49" s="82"/>
      <c r="AK49" s="86" t="s">
        <v>441</v>
      </c>
      <c r="AL49" s="82" t="b">
        <v>0</v>
      </c>
      <c r="AM49" s="82">
        <v>1</v>
      </c>
      <c r="AN49" s="86" t="s">
        <v>441</v>
      </c>
      <c r="AO49" s="86" t="s">
        <v>445</v>
      </c>
      <c r="AP49" s="82" t="b">
        <v>0</v>
      </c>
      <c r="AQ49" s="86" t="s">
        <v>412</v>
      </c>
      <c r="AR49" s="82"/>
      <c r="AS49" s="82">
        <v>0</v>
      </c>
      <c r="AT49" s="82">
        <v>0</v>
      </c>
      <c r="AU49" s="82"/>
      <c r="AV49" s="82"/>
      <c r="AW49" s="82"/>
      <c r="AX49" s="82"/>
      <c r="AY49" s="82"/>
      <c r="AZ49" s="82"/>
      <c r="BA49" s="82"/>
      <c r="BB49" s="82"/>
      <c r="BC49">
        <v>1</v>
      </c>
      <c r="BD49" s="81" t="str">
        <f>REPLACE(INDEX(GroupVertices[Group],MATCH(Edges[[#This Row],[Vertex 1]],GroupVertices[Vertex],0)),1,1,"")</f>
        <v>2</v>
      </c>
      <c r="BE49" s="81" t="str">
        <f>REPLACE(INDEX(GroupVertices[Group],MATCH(Edges[[#This Row],[Vertex 2]],GroupVertices[Vertex],0)),1,1,"")</f>
        <v>1</v>
      </c>
      <c r="BF49" s="49"/>
      <c r="BG49" s="50"/>
      <c r="BH49" s="49"/>
      <c r="BI49" s="50"/>
      <c r="BJ49" s="49"/>
      <c r="BK49" s="50"/>
      <c r="BL49" s="49"/>
      <c r="BM49" s="50"/>
      <c r="BN49" s="49"/>
    </row>
    <row r="50" spans="1:66" ht="15">
      <c r="A50" s="66" t="s">
        <v>263</v>
      </c>
      <c r="B50" s="66" t="s">
        <v>291</v>
      </c>
      <c r="C50" s="67" t="s">
        <v>1011</v>
      </c>
      <c r="D50" s="68">
        <v>3</v>
      </c>
      <c r="E50" s="69" t="s">
        <v>132</v>
      </c>
      <c r="F50" s="70">
        <v>32</v>
      </c>
      <c r="G50" s="67"/>
      <c r="H50" s="71"/>
      <c r="I50" s="72"/>
      <c r="J50" s="72"/>
      <c r="K50" s="35" t="s">
        <v>65</v>
      </c>
      <c r="L50" s="80">
        <v>50</v>
      </c>
      <c r="M50" s="80"/>
      <c r="N50" s="74"/>
      <c r="O50" s="82" t="s">
        <v>302</v>
      </c>
      <c r="P50" s="84">
        <v>44483.48541666667</v>
      </c>
      <c r="Q50" s="82" t="s">
        <v>316</v>
      </c>
      <c r="R50" s="82"/>
      <c r="S50" s="82"/>
      <c r="T50" s="82"/>
      <c r="U50" s="82"/>
      <c r="V50" s="85" t="str">
        <f>HYPERLINK("https://pbs.twimg.com/profile_images/675105126449856517/Rq25BWyI_normal.jpg")</f>
        <v>https://pbs.twimg.com/profile_images/675105126449856517/Rq25BWyI_normal.jpg</v>
      </c>
      <c r="W50" s="84">
        <v>44483.48541666667</v>
      </c>
      <c r="X50" s="89">
        <v>44483</v>
      </c>
      <c r="Y50" s="86" t="s">
        <v>361</v>
      </c>
      <c r="Z50" s="85" t="str">
        <f>HYPERLINK("https://twitter.com/tess1959/status/1448614309597175814")</f>
        <v>https://twitter.com/tess1959/status/1448614309597175814</v>
      </c>
      <c r="AA50" s="82"/>
      <c r="AB50" s="82"/>
      <c r="AC50" s="86" t="s">
        <v>402</v>
      </c>
      <c r="AD50" s="86" t="s">
        <v>412</v>
      </c>
      <c r="AE50" s="82" t="b">
        <v>0</v>
      </c>
      <c r="AF50" s="82">
        <v>9</v>
      </c>
      <c r="AG50" s="86" t="s">
        <v>435</v>
      </c>
      <c r="AH50" s="82" t="b">
        <v>0</v>
      </c>
      <c r="AI50" s="82" t="s">
        <v>439</v>
      </c>
      <c r="AJ50" s="82"/>
      <c r="AK50" s="86" t="s">
        <v>441</v>
      </c>
      <c r="AL50" s="82" t="b">
        <v>0</v>
      </c>
      <c r="AM50" s="82">
        <v>1</v>
      </c>
      <c r="AN50" s="86" t="s">
        <v>441</v>
      </c>
      <c r="AO50" s="86" t="s">
        <v>445</v>
      </c>
      <c r="AP50" s="82" t="b">
        <v>0</v>
      </c>
      <c r="AQ50" s="86" t="s">
        <v>412</v>
      </c>
      <c r="AR50" s="82"/>
      <c r="AS50" s="82">
        <v>0</v>
      </c>
      <c r="AT50" s="82">
        <v>0</v>
      </c>
      <c r="AU50" s="82"/>
      <c r="AV50" s="82"/>
      <c r="AW50" s="82"/>
      <c r="AX50" s="82"/>
      <c r="AY50" s="82"/>
      <c r="AZ50" s="82"/>
      <c r="BA50" s="82"/>
      <c r="BB50" s="82"/>
      <c r="BC50">
        <v>1</v>
      </c>
      <c r="BD50" s="81" t="str">
        <f>REPLACE(INDEX(GroupVertices[Group],MATCH(Edges[[#This Row],[Vertex 1]],GroupVertices[Vertex],0)),1,1,"")</f>
        <v>2</v>
      </c>
      <c r="BE50" s="81" t="str">
        <f>REPLACE(INDEX(GroupVertices[Group],MATCH(Edges[[#This Row],[Vertex 2]],GroupVertices[Vertex],0)),1,1,"")</f>
        <v>1</v>
      </c>
      <c r="BF50" s="49"/>
      <c r="BG50" s="50"/>
      <c r="BH50" s="49"/>
      <c r="BI50" s="50"/>
      <c r="BJ50" s="49"/>
      <c r="BK50" s="50"/>
      <c r="BL50" s="49"/>
      <c r="BM50" s="50"/>
      <c r="BN50" s="49"/>
    </row>
    <row r="51" spans="1:66" ht="15">
      <c r="A51" s="66" t="s">
        <v>263</v>
      </c>
      <c r="B51" s="66" t="s">
        <v>292</v>
      </c>
      <c r="C51" s="67" t="s">
        <v>1011</v>
      </c>
      <c r="D51" s="68">
        <v>3</v>
      </c>
      <c r="E51" s="69" t="s">
        <v>132</v>
      </c>
      <c r="F51" s="70">
        <v>32</v>
      </c>
      <c r="G51" s="67"/>
      <c r="H51" s="71"/>
      <c r="I51" s="72"/>
      <c r="J51" s="72"/>
      <c r="K51" s="35" t="s">
        <v>65</v>
      </c>
      <c r="L51" s="80">
        <v>51</v>
      </c>
      <c r="M51" s="80"/>
      <c r="N51" s="74"/>
      <c r="O51" s="82" t="s">
        <v>302</v>
      </c>
      <c r="P51" s="84">
        <v>44483.48541666667</v>
      </c>
      <c r="Q51" s="82" t="s">
        <v>316</v>
      </c>
      <c r="R51" s="82"/>
      <c r="S51" s="82"/>
      <c r="T51" s="82"/>
      <c r="U51" s="82"/>
      <c r="V51" s="85" t="str">
        <f>HYPERLINK("https://pbs.twimg.com/profile_images/675105126449856517/Rq25BWyI_normal.jpg")</f>
        <v>https://pbs.twimg.com/profile_images/675105126449856517/Rq25BWyI_normal.jpg</v>
      </c>
      <c r="W51" s="84">
        <v>44483.48541666667</v>
      </c>
      <c r="X51" s="89">
        <v>44483</v>
      </c>
      <c r="Y51" s="86" t="s">
        <v>361</v>
      </c>
      <c r="Z51" s="85" t="str">
        <f>HYPERLINK("https://twitter.com/tess1959/status/1448614309597175814")</f>
        <v>https://twitter.com/tess1959/status/1448614309597175814</v>
      </c>
      <c r="AA51" s="82"/>
      <c r="AB51" s="82"/>
      <c r="AC51" s="86" t="s">
        <v>402</v>
      </c>
      <c r="AD51" s="86" t="s">
        <v>412</v>
      </c>
      <c r="AE51" s="82" t="b">
        <v>0</v>
      </c>
      <c r="AF51" s="82">
        <v>9</v>
      </c>
      <c r="AG51" s="86" t="s">
        <v>435</v>
      </c>
      <c r="AH51" s="82" t="b">
        <v>0</v>
      </c>
      <c r="AI51" s="82" t="s">
        <v>439</v>
      </c>
      <c r="AJ51" s="82"/>
      <c r="AK51" s="86" t="s">
        <v>441</v>
      </c>
      <c r="AL51" s="82" t="b">
        <v>0</v>
      </c>
      <c r="AM51" s="82">
        <v>1</v>
      </c>
      <c r="AN51" s="86" t="s">
        <v>441</v>
      </c>
      <c r="AO51" s="86" t="s">
        <v>445</v>
      </c>
      <c r="AP51" s="82" t="b">
        <v>0</v>
      </c>
      <c r="AQ51" s="86" t="s">
        <v>412</v>
      </c>
      <c r="AR51" s="82"/>
      <c r="AS51" s="82">
        <v>0</v>
      </c>
      <c r="AT51" s="82">
        <v>0</v>
      </c>
      <c r="AU51" s="82"/>
      <c r="AV51" s="82"/>
      <c r="AW51" s="82"/>
      <c r="AX51" s="82"/>
      <c r="AY51" s="82"/>
      <c r="AZ51" s="82"/>
      <c r="BA51" s="82"/>
      <c r="BB51" s="82"/>
      <c r="BC51">
        <v>1</v>
      </c>
      <c r="BD51" s="81" t="str">
        <f>REPLACE(INDEX(GroupVertices[Group],MATCH(Edges[[#This Row],[Vertex 1]],GroupVertices[Vertex],0)),1,1,"")</f>
        <v>2</v>
      </c>
      <c r="BE51" s="81" t="str">
        <f>REPLACE(INDEX(GroupVertices[Group],MATCH(Edges[[#This Row],[Vertex 2]],GroupVertices[Vertex],0)),1,1,"")</f>
        <v>2</v>
      </c>
      <c r="BF51" s="49"/>
      <c r="BG51" s="50"/>
      <c r="BH51" s="49"/>
      <c r="BI51" s="50"/>
      <c r="BJ51" s="49"/>
      <c r="BK51" s="50"/>
      <c r="BL51" s="49"/>
      <c r="BM51" s="50"/>
      <c r="BN51" s="49"/>
    </row>
    <row r="52" spans="1:66" ht="15">
      <c r="A52" s="66" t="s">
        <v>263</v>
      </c>
      <c r="B52" s="66" t="s">
        <v>289</v>
      </c>
      <c r="C52" s="67" t="s">
        <v>1011</v>
      </c>
      <c r="D52" s="68">
        <v>3</v>
      </c>
      <c r="E52" s="69" t="s">
        <v>132</v>
      </c>
      <c r="F52" s="70">
        <v>32</v>
      </c>
      <c r="G52" s="67"/>
      <c r="H52" s="71"/>
      <c r="I52" s="72"/>
      <c r="J52" s="72"/>
      <c r="K52" s="35" t="s">
        <v>65</v>
      </c>
      <c r="L52" s="80">
        <v>52</v>
      </c>
      <c r="M52" s="80"/>
      <c r="N52" s="74"/>
      <c r="O52" s="82" t="s">
        <v>302</v>
      </c>
      <c r="P52" s="84">
        <v>44483.48541666667</v>
      </c>
      <c r="Q52" s="82" t="s">
        <v>316</v>
      </c>
      <c r="R52" s="82"/>
      <c r="S52" s="82"/>
      <c r="T52" s="82"/>
      <c r="U52" s="82"/>
      <c r="V52" s="85" t="str">
        <f>HYPERLINK("https://pbs.twimg.com/profile_images/675105126449856517/Rq25BWyI_normal.jpg")</f>
        <v>https://pbs.twimg.com/profile_images/675105126449856517/Rq25BWyI_normal.jpg</v>
      </c>
      <c r="W52" s="84">
        <v>44483.48541666667</v>
      </c>
      <c r="X52" s="89">
        <v>44483</v>
      </c>
      <c r="Y52" s="86" t="s">
        <v>361</v>
      </c>
      <c r="Z52" s="85" t="str">
        <f>HYPERLINK("https://twitter.com/tess1959/status/1448614309597175814")</f>
        <v>https://twitter.com/tess1959/status/1448614309597175814</v>
      </c>
      <c r="AA52" s="82"/>
      <c r="AB52" s="82"/>
      <c r="AC52" s="86" t="s">
        <v>402</v>
      </c>
      <c r="AD52" s="86" t="s">
        <v>412</v>
      </c>
      <c r="AE52" s="82" t="b">
        <v>0</v>
      </c>
      <c r="AF52" s="82">
        <v>9</v>
      </c>
      <c r="AG52" s="86" t="s">
        <v>435</v>
      </c>
      <c r="AH52" s="82" t="b">
        <v>0</v>
      </c>
      <c r="AI52" s="82" t="s">
        <v>439</v>
      </c>
      <c r="AJ52" s="82"/>
      <c r="AK52" s="86" t="s">
        <v>441</v>
      </c>
      <c r="AL52" s="82" t="b">
        <v>0</v>
      </c>
      <c r="AM52" s="82">
        <v>1</v>
      </c>
      <c r="AN52" s="86" t="s">
        <v>441</v>
      </c>
      <c r="AO52" s="86" t="s">
        <v>445</v>
      </c>
      <c r="AP52" s="82" t="b">
        <v>0</v>
      </c>
      <c r="AQ52" s="86" t="s">
        <v>412</v>
      </c>
      <c r="AR52" s="82"/>
      <c r="AS52" s="82">
        <v>0</v>
      </c>
      <c r="AT52" s="82">
        <v>0</v>
      </c>
      <c r="AU52" s="82"/>
      <c r="AV52" s="82"/>
      <c r="AW52" s="82"/>
      <c r="AX52" s="82"/>
      <c r="AY52" s="82"/>
      <c r="AZ52" s="82"/>
      <c r="BA52" s="82"/>
      <c r="BB52" s="82"/>
      <c r="BC52">
        <v>1</v>
      </c>
      <c r="BD52" s="81" t="str">
        <f>REPLACE(INDEX(GroupVertices[Group],MATCH(Edges[[#This Row],[Vertex 1]],GroupVertices[Vertex],0)),1,1,"")</f>
        <v>2</v>
      </c>
      <c r="BE52" s="81" t="str">
        <f>REPLACE(INDEX(GroupVertices[Group],MATCH(Edges[[#This Row],[Vertex 2]],GroupVertices[Vertex],0)),1,1,"")</f>
        <v>1</v>
      </c>
      <c r="BF52" s="49"/>
      <c r="BG52" s="50"/>
      <c r="BH52" s="49"/>
      <c r="BI52" s="50"/>
      <c r="BJ52" s="49"/>
      <c r="BK52" s="50"/>
      <c r="BL52" s="49"/>
      <c r="BM52" s="50"/>
      <c r="BN52" s="49"/>
    </row>
    <row r="53" spans="1:66" ht="15">
      <c r="A53" s="66" t="s">
        <v>263</v>
      </c>
      <c r="B53" s="66" t="s">
        <v>272</v>
      </c>
      <c r="C53" s="67" t="s">
        <v>1011</v>
      </c>
      <c r="D53" s="68">
        <v>3</v>
      </c>
      <c r="E53" s="69" t="s">
        <v>132</v>
      </c>
      <c r="F53" s="70">
        <v>32</v>
      </c>
      <c r="G53" s="67"/>
      <c r="H53" s="71"/>
      <c r="I53" s="72"/>
      <c r="J53" s="72"/>
      <c r="K53" s="35" t="s">
        <v>65</v>
      </c>
      <c r="L53" s="80">
        <v>53</v>
      </c>
      <c r="M53" s="80"/>
      <c r="N53" s="74"/>
      <c r="O53" s="82" t="s">
        <v>303</v>
      </c>
      <c r="P53" s="84">
        <v>44483.48541666667</v>
      </c>
      <c r="Q53" s="82" t="s">
        <v>316</v>
      </c>
      <c r="R53" s="82"/>
      <c r="S53" s="82"/>
      <c r="T53" s="82"/>
      <c r="U53" s="82"/>
      <c r="V53" s="85" t="str">
        <f>HYPERLINK("https://pbs.twimg.com/profile_images/675105126449856517/Rq25BWyI_normal.jpg")</f>
        <v>https://pbs.twimg.com/profile_images/675105126449856517/Rq25BWyI_normal.jpg</v>
      </c>
      <c r="W53" s="84">
        <v>44483.48541666667</v>
      </c>
      <c r="X53" s="89">
        <v>44483</v>
      </c>
      <c r="Y53" s="86" t="s">
        <v>361</v>
      </c>
      <c r="Z53" s="85" t="str">
        <f>HYPERLINK("https://twitter.com/tess1959/status/1448614309597175814")</f>
        <v>https://twitter.com/tess1959/status/1448614309597175814</v>
      </c>
      <c r="AA53" s="82"/>
      <c r="AB53" s="82"/>
      <c r="AC53" s="86" t="s">
        <v>402</v>
      </c>
      <c r="AD53" s="86" t="s">
        <v>412</v>
      </c>
      <c r="AE53" s="82" t="b">
        <v>0</v>
      </c>
      <c r="AF53" s="82">
        <v>9</v>
      </c>
      <c r="AG53" s="86" t="s">
        <v>435</v>
      </c>
      <c r="AH53" s="82" t="b">
        <v>0</v>
      </c>
      <c r="AI53" s="82" t="s">
        <v>439</v>
      </c>
      <c r="AJ53" s="82"/>
      <c r="AK53" s="86" t="s">
        <v>441</v>
      </c>
      <c r="AL53" s="82" t="b">
        <v>0</v>
      </c>
      <c r="AM53" s="82">
        <v>1</v>
      </c>
      <c r="AN53" s="86" t="s">
        <v>441</v>
      </c>
      <c r="AO53" s="86" t="s">
        <v>445</v>
      </c>
      <c r="AP53" s="82" t="b">
        <v>0</v>
      </c>
      <c r="AQ53" s="86" t="s">
        <v>412</v>
      </c>
      <c r="AR53" s="82"/>
      <c r="AS53" s="82">
        <v>0</v>
      </c>
      <c r="AT53" s="82">
        <v>0</v>
      </c>
      <c r="AU53" s="82"/>
      <c r="AV53" s="82"/>
      <c r="AW53" s="82"/>
      <c r="AX53" s="82"/>
      <c r="AY53" s="82"/>
      <c r="AZ53" s="82"/>
      <c r="BA53" s="82"/>
      <c r="BB53" s="82"/>
      <c r="BC53">
        <v>1</v>
      </c>
      <c r="BD53" s="81" t="str">
        <f>REPLACE(INDEX(GroupVertices[Group],MATCH(Edges[[#This Row],[Vertex 1]],GroupVertices[Vertex],0)),1,1,"")</f>
        <v>2</v>
      </c>
      <c r="BE53" s="81" t="str">
        <f>REPLACE(INDEX(GroupVertices[Group],MATCH(Edges[[#This Row],[Vertex 2]],GroupVertices[Vertex],0)),1,1,"")</f>
        <v>2</v>
      </c>
      <c r="BF53" s="49">
        <v>0</v>
      </c>
      <c r="BG53" s="50">
        <v>0</v>
      </c>
      <c r="BH53" s="49">
        <v>1</v>
      </c>
      <c r="BI53" s="50">
        <v>8.333333333333334</v>
      </c>
      <c r="BJ53" s="49">
        <v>0</v>
      </c>
      <c r="BK53" s="50">
        <v>0</v>
      </c>
      <c r="BL53" s="49">
        <v>11</v>
      </c>
      <c r="BM53" s="50">
        <v>91.66666666666667</v>
      </c>
      <c r="BN53" s="49">
        <v>12</v>
      </c>
    </row>
    <row r="54" spans="1:66" ht="15">
      <c r="A54" s="66" t="s">
        <v>264</v>
      </c>
      <c r="B54" s="66" t="s">
        <v>293</v>
      </c>
      <c r="C54" s="67" t="s">
        <v>1012</v>
      </c>
      <c r="D54" s="68">
        <v>3</v>
      </c>
      <c r="E54" s="69" t="s">
        <v>136</v>
      </c>
      <c r="F54" s="70">
        <v>6</v>
      </c>
      <c r="G54" s="67"/>
      <c r="H54" s="71"/>
      <c r="I54" s="72"/>
      <c r="J54" s="72"/>
      <c r="K54" s="35" t="s">
        <v>65</v>
      </c>
      <c r="L54" s="80">
        <v>54</v>
      </c>
      <c r="M54" s="80"/>
      <c r="N54" s="74"/>
      <c r="O54" s="82" t="s">
        <v>302</v>
      </c>
      <c r="P54" s="84">
        <v>44484.25274305556</v>
      </c>
      <c r="Q54" s="82" t="s">
        <v>317</v>
      </c>
      <c r="R54" s="85" t="str">
        <f>HYPERLINK("https://twitter.com/PlanetZuma/status/1448577058943143937")</f>
        <v>https://twitter.com/PlanetZuma/status/1448577058943143937</v>
      </c>
      <c r="S54" s="82" t="s">
        <v>345</v>
      </c>
      <c r="T54" s="82"/>
      <c r="U54" s="82"/>
      <c r="V54" s="85" t="str">
        <f>HYPERLINK("https://pbs.twimg.com/profile_images/938357653516050433/GXzFMhtJ_normal.jpg")</f>
        <v>https://pbs.twimg.com/profile_images/938357653516050433/GXzFMhtJ_normal.jpg</v>
      </c>
      <c r="W54" s="84">
        <v>44484.25274305556</v>
      </c>
      <c r="X54" s="89">
        <v>44484</v>
      </c>
      <c r="Y54" s="86" t="s">
        <v>362</v>
      </c>
      <c r="Z54" s="85" t="str">
        <f>HYPERLINK("https://twitter.com/russellengland/status/1448892382175453188")</f>
        <v>https://twitter.com/russellengland/status/1448892382175453188</v>
      </c>
      <c r="AA54" s="82"/>
      <c r="AB54" s="82"/>
      <c r="AC54" s="86" t="s">
        <v>403</v>
      </c>
      <c r="AD54" s="86" t="s">
        <v>404</v>
      </c>
      <c r="AE54" s="82" t="b">
        <v>0</v>
      </c>
      <c r="AF54" s="82">
        <v>1</v>
      </c>
      <c r="AG54" s="86" t="s">
        <v>436</v>
      </c>
      <c r="AH54" s="82" t="b">
        <v>1</v>
      </c>
      <c r="AI54" s="82" t="s">
        <v>439</v>
      </c>
      <c r="AJ54" s="82"/>
      <c r="AK54" s="86" t="s">
        <v>443</v>
      </c>
      <c r="AL54" s="82" t="b">
        <v>0</v>
      </c>
      <c r="AM54" s="82">
        <v>0</v>
      </c>
      <c r="AN54" s="86" t="s">
        <v>441</v>
      </c>
      <c r="AO54" s="86" t="s">
        <v>444</v>
      </c>
      <c r="AP54" s="82" t="b">
        <v>0</v>
      </c>
      <c r="AQ54" s="86" t="s">
        <v>404</v>
      </c>
      <c r="AR54" s="82"/>
      <c r="AS54" s="82">
        <v>0</v>
      </c>
      <c r="AT54" s="82">
        <v>0</v>
      </c>
      <c r="AU54" s="82"/>
      <c r="AV54" s="82"/>
      <c r="AW54" s="82"/>
      <c r="AX54" s="82"/>
      <c r="AY54" s="82"/>
      <c r="AZ54" s="82"/>
      <c r="BA54" s="82"/>
      <c r="BB54" s="82"/>
      <c r="BC54">
        <v>2</v>
      </c>
      <c r="BD54" s="81" t="str">
        <f>REPLACE(INDEX(GroupVertices[Group],MATCH(Edges[[#This Row],[Vertex 1]],GroupVertices[Vertex],0)),1,1,"")</f>
        <v>3</v>
      </c>
      <c r="BE54" s="81" t="str">
        <f>REPLACE(INDEX(GroupVertices[Group],MATCH(Edges[[#This Row],[Vertex 2]],GroupVertices[Vertex],0)),1,1,"")</f>
        <v>3</v>
      </c>
      <c r="BF54" s="49">
        <v>0</v>
      </c>
      <c r="BG54" s="50">
        <v>0</v>
      </c>
      <c r="BH54" s="49">
        <v>1</v>
      </c>
      <c r="BI54" s="50">
        <v>12.5</v>
      </c>
      <c r="BJ54" s="49">
        <v>0</v>
      </c>
      <c r="BK54" s="50">
        <v>0</v>
      </c>
      <c r="BL54" s="49">
        <v>7</v>
      </c>
      <c r="BM54" s="50">
        <v>87.5</v>
      </c>
      <c r="BN54" s="49">
        <v>8</v>
      </c>
    </row>
    <row r="55" spans="1:66" ht="15">
      <c r="A55" s="66" t="s">
        <v>264</v>
      </c>
      <c r="B55" s="66" t="s">
        <v>293</v>
      </c>
      <c r="C55" s="67" t="s">
        <v>1012</v>
      </c>
      <c r="D55" s="68">
        <v>3</v>
      </c>
      <c r="E55" s="69" t="s">
        <v>136</v>
      </c>
      <c r="F55" s="70">
        <v>6</v>
      </c>
      <c r="G55" s="67"/>
      <c r="H55" s="71"/>
      <c r="I55" s="72"/>
      <c r="J55" s="72"/>
      <c r="K55" s="35" t="s">
        <v>65</v>
      </c>
      <c r="L55" s="80">
        <v>55</v>
      </c>
      <c r="M55" s="80"/>
      <c r="N55" s="74"/>
      <c r="O55" s="82" t="s">
        <v>302</v>
      </c>
      <c r="P55" s="84">
        <v>44484.25194444445</v>
      </c>
      <c r="Q55" s="82" t="s">
        <v>318</v>
      </c>
      <c r="R55" s="82"/>
      <c r="S55" s="82"/>
      <c r="T55" s="82"/>
      <c r="U55" s="82"/>
      <c r="V55" s="85" t="str">
        <f>HYPERLINK("https://pbs.twimg.com/profile_images/938357653516050433/GXzFMhtJ_normal.jpg")</f>
        <v>https://pbs.twimg.com/profile_images/938357653516050433/GXzFMhtJ_normal.jpg</v>
      </c>
      <c r="W55" s="84">
        <v>44484.25194444445</v>
      </c>
      <c r="X55" s="89">
        <v>44484</v>
      </c>
      <c r="Y55" s="86" t="s">
        <v>363</v>
      </c>
      <c r="Z55" s="85" t="str">
        <f>HYPERLINK("https://twitter.com/russellengland/status/1448892092068028448")</f>
        <v>https://twitter.com/russellengland/status/1448892092068028448</v>
      </c>
      <c r="AA55" s="82"/>
      <c r="AB55" s="82"/>
      <c r="AC55" s="86" t="s">
        <v>404</v>
      </c>
      <c r="AD55" s="86" t="s">
        <v>431</v>
      </c>
      <c r="AE55" s="82" t="b">
        <v>0</v>
      </c>
      <c r="AF55" s="82">
        <v>2</v>
      </c>
      <c r="AG55" s="86" t="s">
        <v>432</v>
      </c>
      <c r="AH55" s="82" t="b">
        <v>0</v>
      </c>
      <c r="AI55" s="82" t="s">
        <v>439</v>
      </c>
      <c r="AJ55" s="82"/>
      <c r="AK55" s="86" t="s">
        <v>441</v>
      </c>
      <c r="AL55" s="82" t="b">
        <v>0</v>
      </c>
      <c r="AM55" s="82">
        <v>0</v>
      </c>
      <c r="AN55" s="86" t="s">
        <v>441</v>
      </c>
      <c r="AO55" s="86" t="s">
        <v>444</v>
      </c>
      <c r="AP55" s="82" t="b">
        <v>0</v>
      </c>
      <c r="AQ55" s="86" t="s">
        <v>431</v>
      </c>
      <c r="AR55" s="82"/>
      <c r="AS55" s="82">
        <v>0</v>
      </c>
      <c r="AT55" s="82">
        <v>0</v>
      </c>
      <c r="AU55" s="82"/>
      <c r="AV55" s="82"/>
      <c r="AW55" s="82"/>
      <c r="AX55" s="82"/>
      <c r="AY55" s="82"/>
      <c r="AZ55" s="82"/>
      <c r="BA55" s="82"/>
      <c r="BB55" s="82"/>
      <c r="BC55">
        <v>2</v>
      </c>
      <c r="BD55" s="81" t="str">
        <f>REPLACE(INDEX(GroupVertices[Group],MATCH(Edges[[#This Row],[Vertex 1]],GroupVertices[Vertex],0)),1,1,"")</f>
        <v>3</v>
      </c>
      <c r="BE55" s="81" t="str">
        <f>REPLACE(INDEX(GroupVertices[Group],MATCH(Edges[[#This Row],[Vertex 2]],GroupVertices[Vertex],0)),1,1,"")</f>
        <v>3</v>
      </c>
      <c r="BF55" s="49">
        <v>0</v>
      </c>
      <c r="BG55" s="50">
        <v>0</v>
      </c>
      <c r="BH55" s="49">
        <v>1</v>
      </c>
      <c r="BI55" s="50">
        <v>3.4482758620689653</v>
      </c>
      <c r="BJ55" s="49">
        <v>0</v>
      </c>
      <c r="BK55" s="50">
        <v>0</v>
      </c>
      <c r="BL55" s="49">
        <v>28</v>
      </c>
      <c r="BM55" s="50">
        <v>96.55172413793103</v>
      </c>
      <c r="BN55" s="49">
        <v>29</v>
      </c>
    </row>
    <row r="56" spans="1:66" ht="15">
      <c r="A56" s="66" t="s">
        <v>264</v>
      </c>
      <c r="B56" s="66" t="s">
        <v>290</v>
      </c>
      <c r="C56" s="67" t="s">
        <v>1012</v>
      </c>
      <c r="D56" s="68">
        <v>3</v>
      </c>
      <c r="E56" s="69" t="s">
        <v>136</v>
      </c>
      <c r="F56" s="70">
        <v>6</v>
      </c>
      <c r="G56" s="67"/>
      <c r="H56" s="71"/>
      <c r="I56" s="72"/>
      <c r="J56" s="72"/>
      <c r="K56" s="35" t="s">
        <v>65</v>
      </c>
      <c r="L56" s="80">
        <v>56</v>
      </c>
      <c r="M56" s="80"/>
      <c r="N56" s="74"/>
      <c r="O56" s="82" t="s">
        <v>302</v>
      </c>
      <c r="P56" s="84">
        <v>44484.25274305556</v>
      </c>
      <c r="Q56" s="82" t="s">
        <v>317</v>
      </c>
      <c r="R56" s="85" t="str">
        <f>HYPERLINK("https://twitter.com/PlanetZuma/status/1448577058943143937")</f>
        <v>https://twitter.com/PlanetZuma/status/1448577058943143937</v>
      </c>
      <c r="S56" s="82" t="s">
        <v>345</v>
      </c>
      <c r="T56" s="82"/>
      <c r="U56" s="82"/>
      <c r="V56" s="85" t="str">
        <f>HYPERLINK("https://pbs.twimg.com/profile_images/938357653516050433/GXzFMhtJ_normal.jpg")</f>
        <v>https://pbs.twimg.com/profile_images/938357653516050433/GXzFMhtJ_normal.jpg</v>
      </c>
      <c r="W56" s="84">
        <v>44484.25274305556</v>
      </c>
      <c r="X56" s="89">
        <v>44484</v>
      </c>
      <c r="Y56" s="86" t="s">
        <v>362</v>
      </c>
      <c r="Z56" s="85" t="str">
        <f>HYPERLINK("https://twitter.com/russellengland/status/1448892382175453188")</f>
        <v>https://twitter.com/russellengland/status/1448892382175453188</v>
      </c>
      <c r="AA56" s="82"/>
      <c r="AB56" s="82"/>
      <c r="AC56" s="86" t="s">
        <v>403</v>
      </c>
      <c r="AD56" s="86" t="s">
        <v>404</v>
      </c>
      <c r="AE56" s="82" t="b">
        <v>0</v>
      </c>
      <c r="AF56" s="82">
        <v>1</v>
      </c>
      <c r="AG56" s="86" t="s">
        <v>436</v>
      </c>
      <c r="AH56" s="82" t="b">
        <v>1</v>
      </c>
      <c r="AI56" s="82" t="s">
        <v>439</v>
      </c>
      <c r="AJ56" s="82"/>
      <c r="AK56" s="86" t="s">
        <v>443</v>
      </c>
      <c r="AL56" s="82" t="b">
        <v>0</v>
      </c>
      <c r="AM56" s="82">
        <v>0</v>
      </c>
      <c r="AN56" s="86" t="s">
        <v>441</v>
      </c>
      <c r="AO56" s="86" t="s">
        <v>444</v>
      </c>
      <c r="AP56" s="82" t="b">
        <v>0</v>
      </c>
      <c r="AQ56" s="86" t="s">
        <v>404</v>
      </c>
      <c r="AR56" s="82"/>
      <c r="AS56" s="82">
        <v>0</v>
      </c>
      <c r="AT56" s="82">
        <v>0</v>
      </c>
      <c r="AU56" s="82"/>
      <c r="AV56" s="82"/>
      <c r="AW56" s="82"/>
      <c r="AX56" s="82"/>
      <c r="AY56" s="82"/>
      <c r="AZ56" s="82"/>
      <c r="BA56" s="82"/>
      <c r="BB56" s="82"/>
      <c r="BC56">
        <v>2</v>
      </c>
      <c r="BD56" s="81" t="str">
        <f>REPLACE(INDEX(GroupVertices[Group],MATCH(Edges[[#This Row],[Vertex 1]],GroupVertices[Vertex],0)),1,1,"")</f>
        <v>3</v>
      </c>
      <c r="BE56" s="81" t="str">
        <f>REPLACE(INDEX(GroupVertices[Group],MATCH(Edges[[#This Row],[Vertex 2]],GroupVertices[Vertex],0)),1,1,"")</f>
        <v>1</v>
      </c>
      <c r="BF56" s="49"/>
      <c r="BG56" s="50"/>
      <c r="BH56" s="49"/>
      <c r="BI56" s="50"/>
      <c r="BJ56" s="49"/>
      <c r="BK56" s="50"/>
      <c r="BL56" s="49"/>
      <c r="BM56" s="50"/>
      <c r="BN56" s="49"/>
    </row>
    <row r="57" spans="1:66" ht="15">
      <c r="A57" s="66" t="s">
        <v>264</v>
      </c>
      <c r="B57" s="66" t="s">
        <v>291</v>
      </c>
      <c r="C57" s="67" t="s">
        <v>1012</v>
      </c>
      <c r="D57" s="68">
        <v>3</v>
      </c>
      <c r="E57" s="69" t="s">
        <v>136</v>
      </c>
      <c r="F57" s="70">
        <v>6</v>
      </c>
      <c r="G57" s="67"/>
      <c r="H57" s="71"/>
      <c r="I57" s="72"/>
      <c r="J57" s="72"/>
      <c r="K57" s="35" t="s">
        <v>65</v>
      </c>
      <c r="L57" s="80">
        <v>57</v>
      </c>
      <c r="M57" s="80"/>
      <c r="N57" s="74"/>
      <c r="O57" s="82" t="s">
        <v>302</v>
      </c>
      <c r="P57" s="84">
        <v>44484.25274305556</v>
      </c>
      <c r="Q57" s="82" t="s">
        <v>317</v>
      </c>
      <c r="R57" s="85" t="str">
        <f>HYPERLINK("https://twitter.com/PlanetZuma/status/1448577058943143937")</f>
        <v>https://twitter.com/PlanetZuma/status/1448577058943143937</v>
      </c>
      <c r="S57" s="82" t="s">
        <v>345</v>
      </c>
      <c r="T57" s="82"/>
      <c r="U57" s="82"/>
      <c r="V57" s="85" t="str">
        <f>HYPERLINK("https://pbs.twimg.com/profile_images/938357653516050433/GXzFMhtJ_normal.jpg")</f>
        <v>https://pbs.twimg.com/profile_images/938357653516050433/GXzFMhtJ_normal.jpg</v>
      </c>
      <c r="W57" s="84">
        <v>44484.25274305556</v>
      </c>
      <c r="X57" s="89">
        <v>44484</v>
      </c>
      <c r="Y57" s="86" t="s">
        <v>362</v>
      </c>
      <c r="Z57" s="85" t="str">
        <f>HYPERLINK("https://twitter.com/russellengland/status/1448892382175453188")</f>
        <v>https://twitter.com/russellengland/status/1448892382175453188</v>
      </c>
      <c r="AA57" s="82"/>
      <c r="AB57" s="82"/>
      <c r="AC57" s="86" t="s">
        <v>403</v>
      </c>
      <c r="AD57" s="86" t="s">
        <v>404</v>
      </c>
      <c r="AE57" s="82" t="b">
        <v>0</v>
      </c>
      <c r="AF57" s="82">
        <v>1</v>
      </c>
      <c r="AG57" s="86" t="s">
        <v>436</v>
      </c>
      <c r="AH57" s="82" t="b">
        <v>1</v>
      </c>
      <c r="AI57" s="82" t="s">
        <v>439</v>
      </c>
      <c r="AJ57" s="82"/>
      <c r="AK57" s="86" t="s">
        <v>443</v>
      </c>
      <c r="AL57" s="82" t="b">
        <v>0</v>
      </c>
      <c r="AM57" s="82">
        <v>0</v>
      </c>
      <c r="AN57" s="86" t="s">
        <v>441</v>
      </c>
      <c r="AO57" s="86" t="s">
        <v>444</v>
      </c>
      <c r="AP57" s="82" t="b">
        <v>0</v>
      </c>
      <c r="AQ57" s="86" t="s">
        <v>404</v>
      </c>
      <c r="AR57" s="82"/>
      <c r="AS57" s="82">
        <v>0</v>
      </c>
      <c r="AT57" s="82">
        <v>0</v>
      </c>
      <c r="AU57" s="82"/>
      <c r="AV57" s="82"/>
      <c r="AW57" s="82"/>
      <c r="AX57" s="82"/>
      <c r="AY57" s="82"/>
      <c r="AZ57" s="82"/>
      <c r="BA57" s="82"/>
      <c r="BB57" s="82"/>
      <c r="BC57">
        <v>2</v>
      </c>
      <c r="BD57" s="81" t="str">
        <f>REPLACE(INDEX(GroupVertices[Group],MATCH(Edges[[#This Row],[Vertex 1]],GroupVertices[Vertex],0)),1,1,"")</f>
        <v>3</v>
      </c>
      <c r="BE57" s="81" t="str">
        <f>REPLACE(INDEX(GroupVertices[Group],MATCH(Edges[[#This Row],[Vertex 2]],GroupVertices[Vertex],0)),1,1,"")</f>
        <v>1</v>
      </c>
      <c r="BF57" s="49"/>
      <c r="BG57" s="50"/>
      <c r="BH57" s="49"/>
      <c r="BI57" s="50"/>
      <c r="BJ57" s="49"/>
      <c r="BK57" s="50"/>
      <c r="BL57" s="49"/>
      <c r="BM57" s="50"/>
      <c r="BN57" s="49"/>
    </row>
    <row r="58" spans="1:66" ht="15">
      <c r="A58" s="66" t="s">
        <v>264</v>
      </c>
      <c r="B58" s="66" t="s">
        <v>289</v>
      </c>
      <c r="C58" s="67" t="s">
        <v>1012</v>
      </c>
      <c r="D58" s="68">
        <v>3</v>
      </c>
      <c r="E58" s="69" t="s">
        <v>136</v>
      </c>
      <c r="F58" s="70">
        <v>6</v>
      </c>
      <c r="G58" s="67"/>
      <c r="H58" s="71"/>
      <c r="I58" s="72"/>
      <c r="J58" s="72"/>
      <c r="K58" s="35" t="s">
        <v>65</v>
      </c>
      <c r="L58" s="80">
        <v>58</v>
      </c>
      <c r="M58" s="80"/>
      <c r="N58" s="74"/>
      <c r="O58" s="82" t="s">
        <v>303</v>
      </c>
      <c r="P58" s="84">
        <v>44484.25274305556</v>
      </c>
      <c r="Q58" s="82" t="s">
        <v>317</v>
      </c>
      <c r="R58" s="85" t="str">
        <f>HYPERLINK("https://twitter.com/PlanetZuma/status/1448577058943143937")</f>
        <v>https://twitter.com/PlanetZuma/status/1448577058943143937</v>
      </c>
      <c r="S58" s="82" t="s">
        <v>345</v>
      </c>
      <c r="T58" s="82"/>
      <c r="U58" s="82"/>
      <c r="V58" s="85" t="str">
        <f>HYPERLINK("https://pbs.twimg.com/profile_images/938357653516050433/GXzFMhtJ_normal.jpg")</f>
        <v>https://pbs.twimg.com/profile_images/938357653516050433/GXzFMhtJ_normal.jpg</v>
      </c>
      <c r="W58" s="84">
        <v>44484.25274305556</v>
      </c>
      <c r="X58" s="89">
        <v>44484</v>
      </c>
      <c r="Y58" s="86" t="s">
        <v>362</v>
      </c>
      <c r="Z58" s="85" t="str">
        <f>HYPERLINK("https://twitter.com/russellengland/status/1448892382175453188")</f>
        <v>https://twitter.com/russellengland/status/1448892382175453188</v>
      </c>
      <c r="AA58" s="82"/>
      <c r="AB58" s="82"/>
      <c r="AC58" s="86" t="s">
        <v>403</v>
      </c>
      <c r="AD58" s="86" t="s">
        <v>404</v>
      </c>
      <c r="AE58" s="82" t="b">
        <v>0</v>
      </c>
      <c r="AF58" s="82">
        <v>1</v>
      </c>
      <c r="AG58" s="86" t="s">
        <v>436</v>
      </c>
      <c r="AH58" s="82" t="b">
        <v>1</v>
      </c>
      <c r="AI58" s="82" t="s">
        <v>439</v>
      </c>
      <c r="AJ58" s="82"/>
      <c r="AK58" s="86" t="s">
        <v>443</v>
      </c>
      <c r="AL58" s="82" t="b">
        <v>0</v>
      </c>
      <c r="AM58" s="82">
        <v>0</v>
      </c>
      <c r="AN58" s="86" t="s">
        <v>441</v>
      </c>
      <c r="AO58" s="86" t="s">
        <v>444</v>
      </c>
      <c r="AP58" s="82" t="b">
        <v>0</v>
      </c>
      <c r="AQ58" s="86" t="s">
        <v>404</v>
      </c>
      <c r="AR58" s="82"/>
      <c r="AS58" s="82">
        <v>0</v>
      </c>
      <c r="AT58" s="82">
        <v>0</v>
      </c>
      <c r="AU58" s="82"/>
      <c r="AV58" s="82"/>
      <c r="AW58" s="82"/>
      <c r="AX58" s="82"/>
      <c r="AY58" s="82"/>
      <c r="AZ58" s="82"/>
      <c r="BA58" s="82"/>
      <c r="BB58" s="82"/>
      <c r="BC58">
        <v>2</v>
      </c>
      <c r="BD58" s="81" t="str">
        <f>REPLACE(INDEX(GroupVertices[Group],MATCH(Edges[[#This Row],[Vertex 1]],GroupVertices[Vertex],0)),1,1,"")</f>
        <v>3</v>
      </c>
      <c r="BE58" s="81" t="str">
        <f>REPLACE(INDEX(GroupVertices[Group],MATCH(Edges[[#This Row],[Vertex 2]],GroupVertices[Vertex],0)),1,1,"")</f>
        <v>1</v>
      </c>
      <c r="BF58" s="49"/>
      <c r="BG58" s="50"/>
      <c r="BH58" s="49"/>
      <c r="BI58" s="50"/>
      <c r="BJ58" s="49"/>
      <c r="BK58" s="50"/>
      <c r="BL58" s="49"/>
      <c r="BM58" s="50"/>
      <c r="BN58" s="49"/>
    </row>
    <row r="59" spans="1:66" ht="15">
      <c r="A59" s="66" t="s">
        <v>264</v>
      </c>
      <c r="B59" s="66" t="s">
        <v>290</v>
      </c>
      <c r="C59" s="67" t="s">
        <v>1012</v>
      </c>
      <c r="D59" s="68">
        <v>3</v>
      </c>
      <c r="E59" s="69" t="s">
        <v>136</v>
      </c>
      <c r="F59" s="70">
        <v>6</v>
      </c>
      <c r="G59" s="67"/>
      <c r="H59" s="71"/>
      <c r="I59" s="72"/>
      <c r="J59" s="72"/>
      <c r="K59" s="35" t="s">
        <v>65</v>
      </c>
      <c r="L59" s="80">
        <v>59</v>
      </c>
      <c r="M59" s="80"/>
      <c r="N59" s="74"/>
      <c r="O59" s="82" t="s">
        <v>302</v>
      </c>
      <c r="P59" s="84">
        <v>44484.25194444445</v>
      </c>
      <c r="Q59" s="82" t="s">
        <v>318</v>
      </c>
      <c r="R59" s="82"/>
      <c r="S59" s="82"/>
      <c r="T59" s="82"/>
      <c r="U59" s="82"/>
      <c r="V59" s="85" t="str">
        <f>HYPERLINK("https://pbs.twimg.com/profile_images/938357653516050433/GXzFMhtJ_normal.jpg")</f>
        <v>https://pbs.twimg.com/profile_images/938357653516050433/GXzFMhtJ_normal.jpg</v>
      </c>
      <c r="W59" s="84">
        <v>44484.25194444445</v>
      </c>
      <c r="X59" s="89">
        <v>44484</v>
      </c>
      <c r="Y59" s="86" t="s">
        <v>363</v>
      </c>
      <c r="Z59" s="85" t="str">
        <f>HYPERLINK("https://twitter.com/russellengland/status/1448892092068028448")</f>
        <v>https://twitter.com/russellengland/status/1448892092068028448</v>
      </c>
      <c r="AA59" s="82"/>
      <c r="AB59" s="82"/>
      <c r="AC59" s="86" t="s">
        <v>404</v>
      </c>
      <c r="AD59" s="86" t="s">
        <v>431</v>
      </c>
      <c r="AE59" s="82" t="b">
        <v>0</v>
      </c>
      <c r="AF59" s="82">
        <v>2</v>
      </c>
      <c r="AG59" s="86" t="s">
        <v>432</v>
      </c>
      <c r="AH59" s="82" t="b">
        <v>0</v>
      </c>
      <c r="AI59" s="82" t="s">
        <v>439</v>
      </c>
      <c r="AJ59" s="82"/>
      <c r="AK59" s="86" t="s">
        <v>441</v>
      </c>
      <c r="AL59" s="82" t="b">
        <v>0</v>
      </c>
      <c r="AM59" s="82">
        <v>0</v>
      </c>
      <c r="AN59" s="86" t="s">
        <v>441</v>
      </c>
      <c r="AO59" s="86" t="s">
        <v>444</v>
      </c>
      <c r="AP59" s="82" t="b">
        <v>0</v>
      </c>
      <c r="AQ59" s="86" t="s">
        <v>431</v>
      </c>
      <c r="AR59" s="82"/>
      <c r="AS59" s="82">
        <v>0</v>
      </c>
      <c r="AT59" s="82">
        <v>0</v>
      </c>
      <c r="AU59" s="82"/>
      <c r="AV59" s="82"/>
      <c r="AW59" s="82"/>
      <c r="AX59" s="82"/>
      <c r="AY59" s="82"/>
      <c r="AZ59" s="82"/>
      <c r="BA59" s="82"/>
      <c r="BB59" s="82"/>
      <c r="BC59">
        <v>2</v>
      </c>
      <c r="BD59" s="81" t="str">
        <f>REPLACE(INDEX(GroupVertices[Group],MATCH(Edges[[#This Row],[Vertex 1]],GroupVertices[Vertex],0)),1,1,"")</f>
        <v>3</v>
      </c>
      <c r="BE59" s="81" t="str">
        <f>REPLACE(INDEX(GroupVertices[Group],MATCH(Edges[[#This Row],[Vertex 2]],GroupVertices[Vertex],0)),1,1,"")</f>
        <v>1</v>
      </c>
      <c r="BF59" s="49"/>
      <c r="BG59" s="50"/>
      <c r="BH59" s="49"/>
      <c r="BI59" s="50"/>
      <c r="BJ59" s="49"/>
      <c r="BK59" s="50"/>
      <c r="BL59" s="49"/>
      <c r="BM59" s="50"/>
      <c r="BN59" s="49"/>
    </row>
    <row r="60" spans="1:66" ht="15">
      <c r="A60" s="66" t="s">
        <v>264</v>
      </c>
      <c r="B60" s="66" t="s">
        <v>291</v>
      </c>
      <c r="C60" s="67" t="s">
        <v>1012</v>
      </c>
      <c r="D60" s="68">
        <v>3</v>
      </c>
      <c r="E60" s="69" t="s">
        <v>136</v>
      </c>
      <c r="F60" s="70">
        <v>6</v>
      </c>
      <c r="G60" s="67"/>
      <c r="H60" s="71"/>
      <c r="I60" s="72"/>
      <c r="J60" s="72"/>
      <c r="K60" s="35" t="s">
        <v>65</v>
      </c>
      <c r="L60" s="80">
        <v>60</v>
      </c>
      <c r="M60" s="80"/>
      <c r="N60" s="74"/>
      <c r="O60" s="82" t="s">
        <v>302</v>
      </c>
      <c r="P60" s="84">
        <v>44484.25194444445</v>
      </c>
      <c r="Q60" s="82" t="s">
        <v>318</v>
      </c>
      <c r="R60" s="82"/>
      <c r="S60" s="82"/>
      <c r="T60" s="82"/>
      <c r="U60" s="82"/>
      <c r="V60" s="85" t="str">
        <f>HYPERLINK("https://pbs.twimg.com/profile_images/938357653516050433/GXzFMhtJ_normal.jpg")</f>
        <v>https://pbs.twimg.com/profile_images/938357653516050433/GXzFMhtJ_normal.jpg</v>
      </c>
      <c r="W60" s="84">
        <v>44484.25194444445</v>
      </c>
      <c r="X60" s="89">
        <v>44484</v>
      </c>
      <c r="Y60" s="86" t="s">
        <v>363</v>
      </c>
      <c r="Z60" s="85" t="str">
        <f>HYPERLINK("https://twitter.com/russellengland/status/1448892092068028448")</f>
        <v>https://twitter.com/russellengland/status/1448892092068028448</v>
      </c>
      <c r="AA60" s="82"/>
      <c r="AB60" s="82"/>
      <c r="AC60" s="86" t="s">
        <v>404</v>
      </c>
      <c r="AD60" s="86" t="s">
        <v>431</v>
      </c>
      <c r="AE60" s="82" t="b">
        <v>0</v>
      </c>
      <c r="AF60" s="82">
        <v>2</v>
      </c>
      <c r="AG60" s="86" t="s">
        <v>432</v>
      </c>
      <c r="AH60" s="82" t="b">
        <v>0</v>
      </c>
      <c r="AI60" s="82" t="s">
        <v>439</v>
      </c>
      <c r="AJ60" s="82"/>
      <c r="AK60" s="86" t="s">
        <v>441</v>
      </c>
      <c r="AL60" s="82" t="b">
        <v>0</v>
      </c>
      <c r="AM60" s="82">
        <v>0</v>
      </c>
      <c r="AN60" s="86" t="s">
        <v>441</v>
      </c>
      <c r="AO60" s="86" t="s">
        <v>444</v>
      </c>
      <c r="AP60" s="82" t="b">
        <v>0</v>
      </c>
      <c r="AQ60" s="86" t="s">
        <v>431</v>
      </c>
      <c r="AR60" s="82"/>
      <c r="AS60" s="82">
        <v>0</v>
      </c>
      <c r="AT60" s="82">
        <v>0</v>
      </c>
      <c r="AU60" s="82"/>
      <c r="AV60" s="82"/>
      <c r="AW60" s="82"/>
      <c r="AX60" s="82"/>
      <c r="AY60" s="82"/>
      <c r="AZ60" s="82"/>
      <c r="BA60" s="82"/>
      <c r="BB60" s="82"/>
      <c r="BC60">
        <v>2</v>
      </c>
      <c r="BD60" s="81" t="str">
        <f>REPLACE(INDEX(GroupVertices[Group],MATCH(Edges[[#This Row],[Vertex 1]],GroupVertices[Vertex],0)),1,1,"")</f>
        <v>3</v>
      </c>
      <c r="BE60" s="81" t="str">
        <f>REPLACE(INDEX(GroupVertices[Group],MATCH(Edges[[#This Row],[Vertex 2]],GroupVertices[Vertex],0)),1,1,"")</f>
        <v>1</v>
      </c>
      <c r="BF60" s="49"/>
      <c r="BG60" s="50"/>
      <c r="BH60" s="49"/>
      <c r="BI60" s="50"/>
      <c r="BJ60" s="49"/>
      <c r="BK60" s="50"/>
      <c r="BL60" s="49"/>
      <c r="BM60" s="50"/>
      <c r="BN60" s="49"/>
    </row>
    <row r="61" spans="1:66" ht="15">
      <c r="A61" s="66" t="s">
        <v>264</v>
      </c>
      <c r="B61" s="66" t="s">
        <v>289</v>
      </c>
      <c r="C61" s="67" t="s">
        <v>1012</v>
      </c>
      <c r="D61" s="68">
        <v>3</v>
      </c>
      <c r="E61" s="69" t="s">
        <v>136</v>
      </c>
      <c r="F61" s="70">
        <v>6</v>
      </c>
      <c r="G61" s="67"/>
      <c r="H61" s="71"/>
      <c r="I61" s="72"/>
      <c r="J61" s="72"/>
      <c r="K61" s="35" t="s">
        <v>65</v>
      </c>
      <c r="L61" s="80">
        <v>61</v>
      </c>
      <c r="M61" s="80"/>
      <c r="N61" s="74"/>
      <c r="O61" s="82" t="s">
        <v>303</v>
      </c>
      <c r="P61" s="84">
        <v>44484.25194444445</v>
      </c>
      <c r="Q61" s="82" t="s">
        <v>318</v>
      </c>
      <c r="R61" s="82"/>
      <c r="S61" s="82"/>
      <c r="T61" s="82"/>
      <c r="U61" s="82"/>
      <c r="V61" s="85" t="str">
        <f>HYPERLINK("https://pbs.twimg.com/profile_images/938357653516050433/GXzFMhtJ_normal.jpg")</f>
        <v>https://pbs.twimg.com/profile_images/938357653516050433/GXzFMhtJ_normal.jpg</v>
      </c>
      <c r="W61" s="84">
        <v>44484.25194444445</v>
      </c>
      <c r="X61" s="89">
        <v>44484</v>
      </c>
      <c r="Y61" s="86" t="s">
        <v>363</v>
      </c>
      <c r="Z61" s="85" t="str">
        <f>HYPERLINK("https://twitter.com/russellengland/status/1448892092068028448")</f>
        <v>https://twitter.com/russellengland/status/1448892092068028448</v>
      </c>
      <c r="AA61" s="82"/>
      <c r="AB61" s="82"/>
      <c r="AC61" s="86" t="s">
        <v>404</v>
      </c>
      <c r="AD61" s="86" t="s">
        <v>431</v>
      </c>
      <c r="AE61" s="82" t="b">
        <v>0</v>
      </c>
      <c r="AF61" s="82">
        <v>2</v>
      </c>
      <c r="AG61" s="86" t="s">
        <v>432</v>
      </c>
      <c r="AH61" s="82" t="b">
        <v>0</v>
      </c>
      <c r="AI61" s="82" t="s">
        <v>439</v>
      </c>
      <c r="AJ61" s="82"/>
      <c r="AK61" s="86" t="s">
        <v>441</v>
      </c>
      <c r="AL61" s="82" t="b">
        <v>0</v>
      </c>
      <c r="AM61" s="82">
        <v>0</v>
      </c>
      <c r="AN61" s="86" t="s">
        <v>441</v>
      </c>
      <c r="AO61" s="86" t="s">
        <v>444</v>
      </c>
      <c r="AP61" s="82" t="b">
        <v>0</v>
      </c>
      <c r="AQ61" s="86" t="s">
        <v>431</v>
      </c>
      <c r="AR61" s="82"/>
      <c r="AS61" s="82">
        <v>0</v>
      </c>
      <c r="AT61" s="82">
        <v>0</v>
      </c>
      <c r="AU61" s="82"/>
      <c r="AV61" s="82"/>
      <c r="AW61" s="82"/>
      <c r="AX61" s="82"/>
      <c r="AY61" s="82"/>
      <c r="AZ61" s="82"/>
      <c r="BA61" s="82"/>
      <c r="BB61" s="82"/>
      <c r="BC61">
        <v>2</v>
      </c>
      <c r="BD61" s="81" t="str">
        <f>REPLACE(INDEX(GroupVertices[Group],MATCH(Edges[[#This Row],[Vertex 1]],GroupVertices[Vertex],0)),1,1,"")</f>
        <v>3</v>
      </c>
      <c r="BE61" s="81" t="str">
        <f>REPLACE(INDEX(GroupVertices[Group],MATCH(Edges[[#This Row],[Vertex 2]],GroupVertices[Vertex],0)),1,1,"")</f>
        <v>1</v>
      </c>
      <c r="BF61" s="49"/>
      <c r="BG61" s="50"/>
      <c r="BH61" s="49"/>
      <c r="BI61" s="50"/>
      <c r="BJ61" s="49"/>
      <c r="BK61" s="50"/>
      <c r="BL61" s="49"/>
      <c r="BM61" s="50"/>
      <c r="BN61" s="49"/>
    </row>
    <row r="62" spans="1:66" ht="15">
      <c r="A62" s="66" t="s">
        <v>265</v>
      </c>
      <c r="B62" s="66" t="s">
        <v>290</v>
      </c>
      <c r="C62" s="67" t="s">
        <v>1011</v>
      </c>
      <c r="D62" s="68">
        <v>3</v>
      </c>
      <c r="E62" s="69" t="s">
        <v>132</v>
      </c>
      <c r="F62" s="70">
        <v>32</v>
      </c>
      <c r="G62" s="67"/>
      <c r="H62" s="71"/>
      <c r="I62" s="72"/>
      <c r="J62" s="72"/>
      <c r="K62" s="35" t="s">
        <v>65</v>
      </c>
      <c r="L62" s="80">
        <v>62</v>
      </c>
      <c r="M62" s="80"/>
      <c r="N62" s="74"/>
      <c r="O62" s="82" t="s">
        <v>302</v>
      </c>
      <c r="P62" s="84">
        <v>44483.52512731482</v>
      </c>
      <c r="Q62" s="82" t="s">
        <v>319</v>
      </c>
      <c r="R62" s="82"/>
      <c r="S62" s="82"/>
      <c r="T62" s="82"/>
      <c r="U62" s="82"/>
      <c r="V62" s="85" t="str">
        <f>HYPERLINK("https://pbs.twimg.com/profile_images/1408089878332592131/hUF1a4yW_normal.jpg")</f>
        <v>https://pbs.twimg.com/profile_images/1408089878332592131/hUF1a4yW_normal.jpg</v>
      </c>
      <c r="W62" s="84">
        <v>44483.52512731482</v>
      </c>
      <c r="X62" s="89">
        <v>44483</v>
      </c>
      <c r="Y62" s="86" t="s">
        <v>364</v>
      </c>
      <c r="Z62" s="85" t="str">
        <f>HYPERLINK("https://twitter.com/viclfc/status/1448628700254191616")</f>
        <v>https://twitter.com/viclfc/status/1448628700254191616</v>
      </c>
      <c r="AA62" s="82"/>
      <c r="AB62" s="82"/>
      <c r="AC62" s="86" t="s">
        <v>405</v>
      </c>
      <c r="AD62" s="86" t="s">
        <v>431</v>
      </c>
      <c r="AE62" s="82" t="b">
        <v>0</v>
      </c>
      <c r="AF62" s="82">
        <v>1</v>
      </c>
      <c r="AG62" s="86" t="s">
        <v>432</v>
      </c>
      <c r="AH62" s="82" t="b">
        <v>0</v>
      </c>
      <c r="AI62" s="82" t="s">
        <v>439</v>
      </c>
      <c r="AJ62" s="82"/>
      <c r="AK62" s="86" t="s">
        <v>441</v>
      </c>
      <c r="AL62" s="82" t="b">
        <v>0</v>
      </c>
      <c r="AM62" s="82">
        <v>0</v>
      </c>
      <c r="AN62" s="86" t="s">
        <v>441</v>
      </c>
      <c r="AO62" s="86" t="s">
        <v>446</v>
      </c>
      <c r="AP62" s="82" t="b">
        <v>0</v>
      </c>
      <c r="AQ62" s="86" t="s">
        <v>431</v>
      </c>
      <c r="AR62" s="82"/>
      <c r="AS62" s="82">
        <v>0</v>
      </c>
      <c r="AT62" s="82">
        <v>0</v>
      </c>
      <c r="AU62" s="82"/>
      <c r="AV62" s="82"/>
      <c r="AW62" s="82"/>
      <c r="AX62" s="82"/>
      <c r="AY62" s="82"/>
      <c r="AZ62" s="82"/>
      <c r="BA62" s="82"/>
      <c r="BB62" s="82"/>
      <c r="BC62">
        <v>1</v>
      </c>
      <c r="BD62" s="81" t="str">
        <f>REPLACE(INDEX(GroupVertices[Group],MATCH(Edges[[#This Row],[Vertex 1]],GroupVertices[Vertex],0)),1,1,"")</f>
        <v>1</v>
      </c>
      <c r="BE62" s="81" t="str">
        <f>REPLACE(INDEX(GroupVertices[Group],MATCH(Edges[[#This Row],[Vertex 2]],GroupVertices[Vertex],0)),1,1,"")</f>
        <v>1</v>
      </c>
      <c r="BF62" s="49"/>
      <c r="BG62" s="50"/>
      <c r="BH62" s="49"/>
      <c r="BI62" s="50"/>
      <c r="BJ62" s="49"/>
      <c r="BK62" s="50"/>
      <c r="BL62" s="49"/>
      <c r="BM62" s="50"/>
      <c r="BN62" s="49"/>
    </row>
    <row r="63" spans="1:66" ht="15">
      <c r="A63" s="66" t="s">
        <v>265</v>
      </c>
      <c r="B63" s="66" t="s">
        <v>291</v>
      </c>
      <c r="C63" s="67" t="s">
        <v>1011</v>
      </c>
      <c r="D63" s="68">
        <v>3</v>
      </c>
      <c r="E63" s="69" t="s">
        <v>132</v>
      </c>
      <c r="F63" s="70">
        <v>32</v>
      </c>
      <c r="G63" s="67"/>
      <c r="H63" s="71"/>
      <c r="I63" s="72"/>
      <c r="J63" s="72"/>
      <c r="K63" s="35" t="s">
        <v>65</v>
      </c>
      <c r="L63" s="80">
        <v>63</v>
      </c>
      <c r="M63" s="80"/>
      <c r="N63" s="74"/>
      <c r="O63" s="82" t="s">
        <v>302</v>
      </c>
      <c r="P63" s="84">
        <v>44483.52512731482</v>
      </c>
      <c r="Q63" s="82" t="s">
        <v>319</v>
      </c>
      <c r="R63" s="82"/>
      <c r="S63" s="82"/>
      <c r="T63" s="82"/>
      <c r="U63" s="82"/>
      <c r="V63" s="85" t="str">
        <f>HYPERLINK("https://pbs.twimg.com/profile_images/1408089878332592131/hUF1a4yW_normal.jpg")</f>
        <v>https://pbs.twimg.com/profile_images/1408089878332592131/hUF1a4yW_normal.jpg</v>
      </c>
      <c r="W63" s="84">
        <v>44483.52512731482</v>
      </c>
      <c r="X63" s="89">
        <v>44483</v>
      </c>
      <c r="Y63" s="86" t="s">
        <v>364</v>
      </c>
      <c r="Z63" s="85" t="str">
        <f>HYPERLINK("https://twitter.com/viclfc/status/1448628700254191616")</f>
        <v>https://twitter.com/viclfc/status/1448628700254191616</v>
      </c>
      <c r="AA63" s="82"/>
      <c r="AB63" s="82"/>
      <c r="AC63" s="86" t="s">
        <v>405</v>
      </c>
      <c r="AD63" s="86" t="s">
        <v>431</v>
      </c>
      <c r="AE63" s="82" t="b">
        <v>0</v>
      </c>
      <c r="AF63" s="82">
        <v>1</v>
      </c>
      <c r="AG63" s="86" t="s">
        <v>432</v>
      </c>
      <c r="AH63" s="82" t="b">
        <v>0</v>
      </c>
      <c r="AI63" s="82" t="s">
        <v>439</v>
      </c>
      <c r="AJ63" s="82"/>
      <c r="AK63" s="86" t="s">
        <v>441</v>
      </c>
      <c r="AL63" s="82" t="b">
        <v>0</v>
      </c>
      <c r="AM63" s="82">
        <v>0</v>
      </c>
      <c r="AN63" s="86" t="s">
        <v>441</v>
      </c>
      <c r="AO63" s="86" t="s">
        <v>446</v>
      </c>
      <c r="AP63" s="82" t="b">
        <v>0</v>
      </c>
      <c r="AQ63" s="86" t="s">
        <v>431</v>
      </c>
      <c r="AR63" s="82"/>
      <c r="AS63" s="82">
        <v>0</v>
      </c>
      <c r="AT63" s="82">
        <v>0</v>
      </c>
      <c r="AU63" s="82"/>
      <c r="AV63" s="82"/>
      <c r="AW63" s="82"/>
      <c r="AX63" s="82"/>
      <c r="AY63" s="82"/>
      <c r="AZ63" s="82"/>
      <c r="BA63" s="82"/>
      <c r="BB63" s="82"/>
      <c r="BC63">
        <v>1</v>
      </c>
      <c r="BD63" s="81" t="str">
        <f>REPLACE(INDEX(GroupVertices[Group],MATCH(Edges[[#This Row],[Vertex 1]],GroupVertices[Vertex],0)),1,1,"")</f>
        <v>1</v>
      </c>
      <c r="BE63" s="81" t="str">
        <f>REPLACE(INDEX(GroupVertices[Group],MATCH(Edges[[#This Row],[Vertex 2]],GroupVertices[Vertex],0)),1,1,"")</f>
        <v>1</v>
      </c>
      <c r="BF63" s="49"/>
      <c r="BG63" s="50"/>
      <c r="BH63" s="49"/>
      <c r="BI63" s="50"/>
      <c r="BJ63" s="49"/>
      <c r="BK63" s="50"/>
      <c r="BL63" s="49"/>
      <c r="BM63" s="50"/>
      <c r="BN63" s="49"/>
    </row>
    <row r="64" spans="1:66" ht="15">
      <c r="A64" s="66" t="s">
        <v>265</v>
      </c>
      <c r="B64" s="66" t="s">
        <v>289</v>
      </c>
      <c r="C64" s="67" t="s">
        <v>1011</v>
      </c>
      <c r="D64" s="68">
        <v>3</v>
      </c>
      <c r="E64" s="69" t="s">
        <v>132</v>
      </c>
      <c r="F64" s="70">
        <v>32</v>
      </c>
      <c r="G64" s="67"/>
      <c r="H64" s="71"/>
      <c r="I64" s="72"/>
      <c r="J64" s="72"/>
      <c r="K64" s="35" t="s">
        <v>65</v>
      </c>
      <c r="L64" s="80">
        <v>64</v>
      </c>
      <c r="M64" s="80"/>
      <c r="N64" s="74"/>
      <c r="O64" s="82" t="s">
        <v>303</v>
      </c>
      <c r="P64" s="84">
        <v>44483.52512731482</v>
      </c>
      <c r="Q64" s="82" t="s">
        <v>319</v>
      </c>
      <c r="R64" s="82"/>
      <c r="S64" s="82"/>
      <c r="T64" s="82"/>
      <c r="U64" s="82"/>
      <c r="V64" s="85" t="str">
        <f>HYPERLINK("https://pbs.twimg.com/profile_images/1408089878332592131/hUF1a4yW_normal.jpg")</f>
        <v>https://pbs.twimg.com/profile_images/1408089878332592131/hUF1a4yW_normal.jpg</v>
      </c>
      <c r="W64" s="84">
        <v>44483.52512731482</v>
      </c>
      <c r="X64" s="89">
        <v>44483</v>
      </c>
      <c r="Y64" s="86" t="s">
        <v>364</v>
      </c>
      <c r="Z64" s="85" t="str">
        <f>HYPERLINK("https://twitter.com/viclfc/status/1448628700254191616")</f>
        <v>https://twitter.com/viclfc/status/1448628700254191616</v>
      </c>
      <c r="AA64" s="82"/>
      <c r="AB64" s="82"/>
      <c r="AC64" s="86" t="s">
        <v>405</v>
      </c>
      <c r="AD64" s="86" t="s">
        <v>431</v>
      </c>
      <c r="AE64" s="82" t="b">
        <v>0</v>
      </c>
      <c r="AF64" s="82">
        <v>1</v>
      </c>
      <c r="AG64" s="86" t="s">
        <v>432</v>
      </c>
      <c r="AH64" s="82" t="b">
        <v>0</v>
      </c>
      <c r="AI64" s="82" t="s">
        <v>439</v>
      </c>
      <c r="AJ64" s="82"/>
      <c r="AK64" s="86" t="s">
        <v>441</v>
      </c>
      <c r="AL64" s="82" t="b">
        <v>0</v>
      </c>
      <c r="AM64" s="82">
        <v>0</v>
      </c>
      <c r="AN64" s="86" t="s">
        <v>441</v>
      </c>
      <c r="AO64" s="86" t="s">
        <v>446</v>
      </c>
      <c r="AP64" s="82" t="b">
        <v>0</v>
      </c>
      <c r="AQ64" s="86" t="s">
        <v>431</v>
      </c>
      <c r="AR64" s="82"/>
      <c r="AS64" s="82">
        <v>0</v>
      </c>
      <c r="AT64" s="82">
        <v>0</v>
      </c>
      <c r="AU64" s="82"/>
      <c r="AV64" s="82"/>
      <c r="AW64" s="82"/>
      <c r="AX64" s="82"/>
      <c r="AY64" s="82"/>
      <c r="AZ64" s="82"/>
      <c r="BA64" s="82"/>
      <c r="BB64" s="82"/>
      <c r="BC64">
        <v>1</v>
      </c>
      <c r="BD64" s="81" t="str">
        <f>REPLACE(INDEX(GroupVertices[Group],MATCH(Edges[[#This Row],[Vertex 1]],GroupVertices[Vertex],0)),1,1,"")</f>
        <v>1</v>
      </c>
      <c r="BE64" s="81" t="str">
        <f>REPLACE(INDEX(GroupVertices[Group],MATCH(Edges[[#This Row],[Vertex 2]],GroupVertices[Vertex],0)),1,1,"")</f>
        <v>1</v>
      </c>
      <c r="BF64" s="49">
        <v>1</v>
      </c>
      <c r="BG64" s="50">
        <v>2.127659574468085</v>
      </c>
      <c r="BH64" s="49">
        <v>1</v>
      </c>
      <c r="BI64" s="50">
        <v>2.127659574468085</v>
      </c>
      <c r="BJ64" s="49">
        <v>0</v>
      </c>
      <c r="BK64" s="50">
        <v>0</v>
      </c>
      <c r="BL64" s="49">
        <v>45</v>
      </c>
      <c r="BM64" s="50">
        <v>95.74468085106383</v>
      </c>
      <c r="BN64" s="49">
        <v>47</v>
      </c>
    </row>
    <row r="65" spans="1:66" ht="15">
      <c r="A65" s="66" t="s">
        <v>266</v>
      </c>
      <c r="B65" s="66" t="s">
        <v>294</v>
      </c>
      <c r="C65" s="67" t="s">
        <v>1011</v>
      </c>
      <c r="D65" s="68">
        <v>3</v>
      </c>
      <c r="E65" s="69" t="s">
        <v>132</v>
      </c>
      <c r="F65" s="70">
        <v>32</v>
      </c>
      <c r="G65" s="67"/>
      <c r="H65" s="71"/>
      <c r="I65" s="72"/>
      <c r="J65" s="72"/>
      <c r="K65" s="35" t="s">
        <v>65</v>
      </c>
      <c r="L65" s="80">
        <v>65</v>
      </c>
      <c r="M65" s="80"/>
      <c r="N65" s="74"/>
      <c r="O65" s="82" t="s">
        <v>302</v>
      </c>
      <c r="P65" s="84">
        <v>44483.45873842593</v>
      </c>
      <c r="Q65" s="82" t="s">
        <v>320</v>
      </c>
      <c r="R65" s="82"/>
      <c r="S65" s="82"/>
      <c r="T65" s="82"/>
      <c r="U65" s="82"/>
      <c r="V65" s="85" t="str">
        <f>HYPERLINK("https://pbs.twimg.com/profile_images/1338174284410314753/tTcftba__normal.jpg")</f>
        <v>https://pbs.twimg.com/profile_images/1338174284410314753/tTcftba__normal.jpg</v>
      </c>
      <c r="W65" s="84">
        <v>44483.45873842593</v>
      </c>
      <c r="X65" s="89">
        <v>44483</v>
      </c>
      <c r="Y65" s="86" t="s">
        <v>365</v>
      </c>
      <c r="Z65" s="85" t="str">
        <f>HYPERLINK("https://twitter.com/juliemo46777750/status/1448604644914122763")</f>
        <v>https://twitter.com/juliemo46777750/status/1448604644914122763</v>
      </c>
      <c r="AA65" s="82"/>
      <c r="AB65" s="82"/>
      <c r="AC65" s="86" t="s">
        <v>406</v>
      </c>
      <c r="AD65" s="86" t="s">
        <v>431</v>
      </c>
      <c r="AE65" s="82" t="b">
        <v>0</v>
      </c>
      <c r="AF65" s="82">
        <v>6</v>
      </c>
      <c r="AG65" s="86" t="s">
        <v>432</v>
      </c>
      <c r="AH65" s="82" t="b">
        <v>0</v>
      </c>
      <c r="AI65" s="82" t="s">
        <v>439</v>
      </c>
      <c r="AJ65" s="82"/>
      <c r="AK65" s="86" t="s">
        <v>441</v>
      </c>
      <c r="AL65" s="82" t="b">
        <v>0</v>
      </c>
      <c r="AM65" s="82">
        <v>2</v>
      </c>
      <c r="AN65" s="86" t="s">
        <v>441</v>
      </c>
      <c r="AO65" s="86" t="s">
        <v>446</v>
      </c>
      <c r="AP65" s="82" t="b">
        <v>0</v>
      </c>
      <c r="AQ65" s="86" t="s">
        <v>431</v>
      </c>
      <c r="AR65" s="82"/>
      <c r="AS65" s="82">
        <v>0</v>
      </c>
      <c r="AT65" s="82">
        <v>0</v>
      </c>
      <c r="AU65" s="82"/>
      <c r="AV65" s="82"/>
      <c r="AW65" s="82"/>
      <c r="AX65" s="82"/>
      <c r="AY65" s="82"/>
      <c r="AZ65" s="82"/>
      <c r="BA65" s="82"/>
      <c r="BB65" s="82"/>
      <c r="BC65">
        <v>1</v>
      </c>
      <c r="BD65" s="81" t="str">
        <f>REPLACE(INDEX(GroupVertices[Group],MATCH(Edges[[#This Row],[Vertex 1]],GroupVertices[Vertex],0)),1,1,"")</f>
        <v>1</v>
      </c>
      <c r="BE65" s="81" t="str">
        <f>REPLACE(INDEX(GroupVertices[Group],MATCH(Edges[[#This Row],[Vertex 2]],GroupVertices[Vertex],0)),1,1,"")</f>
        <v>1</v>
      </c>
      <c r="BF65" s="49">
        <v>0</v>
      </c>
      <c r="BG65" s="50">
        <v>0</v>
      </c>
      <c r="BH65" s="49">
        <v>0</v>
      </c>
      <c r="BI65" s="50">
        <v>0</v>
      </c>
      <c r="BJ65" s="49">
        <v>0</v>
      </c>
      <c r="BK65" s="50">
        <v>0</v>
      </c>
      <c r="BL65" s="49">
        <v>15</v>
      </c>
      <c r="BM65" s="50">
        <v>100</v>
      </c>
      <c r="BN65" s="49">
        <v>15</v>
      </c>
    </row>
    <row r="66" spans="1:66" ht="15">
      <c r="A66" s="66" t="s">
        <v>266</v>
      </c>
      <c r="B66" s="66" t="s">
        <v>290</v>
      </c>
      <c r="C66" s="67" t="s">
        <v>1011</v>
      </c>
      <c r="D66" s="68">
        <v>3</v>
      </c>
      <c r="E66" s="69" t="s">
        <v>132</v>
      </c>
      <c r="F66" s="70">
        <v>32</v>
      </c>
      <c r="G66" s="67"/>
      <c r="H66" s="71"/>
      <c r="I66" s="72"/>
      <c r="J66" s="72"/>
      <c r="K66" s="35" t="s">
        <v>65</v>
      </c>
      <c r="L66" s="80">
        <v>66</v>
      </c>
      <c r="M66" s="80"/>
      <c r="N66" s="74"/>
      <c r="O66" s="82" t="s">
        <v>302</v>
      </c>
      <c r="P66" s="84">
        <v>44483.45873842593</v>
      </c>
      <c r="Q66" s="82" t="s">
        <v>320</v>
      </c>
      <c r="R66" s="82"/>
      <c r="S66" s="82"/>
      <c r="T66" s="82"/>
      <c r="U66" s="82"/>
      <c r="V66" s="85" t="str">
        <f>HYPERLINK("https://pbs.twimg.com/profile_images/1338174284410314753/tTcftba__normal.jpg")</f>
        <v>https://pbs.twimg.com/profile_images/1338174284410314753/tTcftba__normal.jpg</v>
      </c>
      <c r="W66" s="84">
        <v>44483.45873842593</v>
      </c>
      <c r="X66" s="89">
        <v>44483</v>
      </c>
      <c r="Y66" s="86" t="s">
        <v>365</v>
      </c>
      <c r="Z66" s="85" t="str">
        <f>HYPERLINK("https://twitter.com/juliemo46777750/status/1448604644914122763")</f>
        <v>https://twitter.com/juliemo46777750/status/1448604644914122763</v>
      </c>
      <c r="AA66" s="82"/>
      <c r="AB66" s="82"/>
      <c r="AC66" s="86" t="s">
        <v>406</v>
      </c>
      <c r="AD66" s="86" t="s">
        <v>431</v>
      </c>
      <c r="AE66" s="82" t="b">
        <v>0</v>
      </c>
      <c r="AF66" s="82">
        <v>6</v>
      </c>
      <c r="AG66" s="86" t="s">
        <v>432</v>
      </c>
      <c r="AH66" s="82" t="b">
        <v>0</v>
      </c>
      <c r="AI66" s="82" t="s">
        <v>439</v>
      </c>
      <c r="AJ66" s="82"/>
      <c r="AK66" s="86" t="s">
        <v>441</v>
      </c>
      <c r="AL66" s="82" t="b">
        <v>0</v>
      </c>
      <c r="AM66" s="82">
        <v>2</v>
      </c>
      <c r="AN66" s="86" t="s">
        <v>441</v>
      </c>
      <c r="AO66" s="86" t="s">
        <v>446</v>
      </c>
      <c r="AP66" s="82" t="b">
        <v>0</v>
      </c>
      <c r="AQ66" s="86" t="s">
        <v>431</v>
      </c>
      <c r="AR66" s="82"/>
      <c r="AS66" s="82">
        <v>0</v>
      </c>
      <c r="AT66" s="82">
        <v>0</v>
      </c>
      <c r="AU66" s="82"/>
      <c r="AV66" s="82"/>
      <c r="AW66" s="82"/>
      <c r="AX66" s="82"/>
      <c r="AY66" s="82"/>
      <c r="AZ66" s="82"/>
      <c r="BA66" s="82"/>
      <c r="BB66" s="82"/>
      <c r="BC66">
        <v>1</v>
      </c>
      <c r="BD66" s="81" t="str">
        <f>REPLACE(INDEX(GroupVertices[Group],MATCH(Edges[[#This Row],[Vertex 1]],GroupVertices[Vertex],0)),1,1,"")</f>
        <v>1</v>
      </c>
      <c r="BE66" s="81" t="str">
        <f>REPLACE(INDEX(GroupVertices[Group],MATCH(Edges[[#This Row],[Vertex 2]],GroupVertices[Vertex],0)),1,1,"")</f>
        <v>1</v>
      </c>
      <c r="BF66" s="49"/>
      <c r="BG66" s="50"/>
      <c r="BH66" s="49"/>
      <c r="BI66" s="50"/>
      <c r="BJ66" s="49"/>
      <c r="BK66" s="50"/>
      <c r="BL66" s="49"/>
      <c r="BM66" s="50"/>
      <c r="BN66" s="49"/>
    </row>
    <row r="67" spans="1:66" ht="15">
      <c r="A67" s="66" t="s">
        <v>266</v>
      </c>
      <c r="B67" s="66" t="s">
        <v>291</v>
      </c>
      <c r="C67" s="67" t="s">
        <v>1011</v>
      </c>
      <c r="D67" s="68">
        <v>3</v>
      </c>
      <c r="E67" s="69" t="s">
        <v>132</v>
      </c>
      <c r="F67" s="70">
        <v>32</v>
      </c>
      <c r="G67" s="67"/>
      <c r="H67" s="71"/>
      <c r="I67" s="72"/>
      <c r="J67" s="72"/>
      <c r="K67" s="35" t="s">
        <v>65</v>
      </c>
      <c r="L67" s="80">
        <v>67</v>
      </c>
      <c r="M67" s="80"/>
      <c r="N67" s="74"/>
      <c r="O67" s="82" t="s">
        <v>302</v>
      </c>
      <c r="P67" s="84">
        <v>44483.45873842593</v>
      </c>
      <c r="Q67" s="82" t="s">
        <v>320</v>
      </c>
      <c r="R67" s="82"/>
      <c r="S67" s="82"/>
      <c r="T67" s="82"/>
      <c r="U67" s="82"/>
      <c r="V67" s="85" t="str">
        <f>HYPERLINK("https://pbs.twimg.com/profile_images/1338174284410314753/tTcftba__normal.jpg")</f>
        <v>https://pbs.twimg.com/profile_images/1338174284410314753/tTcftba__normal.jpg</v>
      </c>
      <c r="W67" s="84">
        <v>44483.45873842593</v>
      </c>
      <c r="X67" s="89">
        <v>44483</v>
      </c>
      <c r="Y67" s="86" t="s">
        <v>365</v>
      </c>
      <c r="Z67" s="85" t="str">
        <f>HYPERLINK("https://twitter.com/juliemo46777750/status/1448604644914122763")</f>
        <v>https://twitter.com/juliemo46777750/status/1448604644914122763</v>
      </c>
      <c r="AA67" s="82"/>
      <c r="AB67" s="82"/>
      <c r="AC67" s="86" t="s">
        <v>406</v>
      </c>
      <c r="AD67" s="86" t="s">
        <v>431</v>
      </c>
      <c r="AE67" s="82" t="b">
        <v>0</v>
      </c>
      <c r="AF67" s="82">
        <v>6</v>
      </c>
      <c r="AG67" s="86" t="s">
        <v>432</v>
      </c>
      <c r="AH67" s="82" t="b">
        <v>0</v>
      </c>
      <c r="AI67" s="82" t="s">
        <v>439</v>
      </c>
      <c r="AJ67" s="82"/>
      <c r="AK67" s="86" t="s">
        <v>441</v>
      </c>
      <c r="AL67" s="82" t="b">
        <v>0</v>
      </c>
      <c r="AM67" s="82">
        <v>2</v>
      </c>
      <c r="AN67" s="86" t="s">
        <v>441</v>
      </c>
      <c r="AO67" s="86" t="s">
        <v>446</v>
      </c>
      <c r="AP67" s="82" t="b">
        <v>0</v>
      </c>
      <c r="AQ67" s="86" t="s">
        <v>431</v>
      </c>
      <c r="AR67" s="82"/>
      <c r="AS67" s="82">
        <v>0</v>
      </c>
      <c r="AT67" s="82">
        <v>0</v>
      </c>
      <c r="AU67" s="82"/>
      <c r="AV67" s="82"/>
      <c r="AW67" s="82"/>
      <c r="AX67" s="82"/>
      <c r="AY67" s="82"/>
      <c r="AZ67" s="82"/>
      <c r="BA67" s="82"/>
      <c r="BB67" s="82"/>
      <c r="BC67">
        <v>1</v>
      </c>
      <c r="BD67" s="81" t="str">
        <f>REPLACE(INDEX(GroupVertices[Group],MATCH(Edges[[#This Row],[Vertex 1]],GroupVertices[Vertex],0)),1,1,"")</f>
        <v>1</v>
      </c>
      <c r="BE67" s="81" t="str">
        <f>REPLACE(INDEX(GroupVertices[Group],MATCH(Edges[[#This Row],[Vertex 2]],GroupVertices[Vertex],0)),1,1,"")</f>
        <v>1</v>
      </c>
      <c r="BF67" s="49"/>
      <c r="BG67" s="50"/>
      <c r="BH67" s="49"/>
      <c r="BI67" s="50"/>
      <c r="BJ67" s="49"/>
      <c r="BK67" s="50"/>
      <c r="BL67" s="49"/>
      <c r="BM67" s="50"/>
      <c r="BN67" s="49"/>
    </row>
    <row r="68" spans="1:66" ht="15">
      <c r="A68" s="66" t="s">
        <v>266</v>
      </c>
      <c r="B68" s="66" t="s">
        <v>289</v>
      </c>
      <c r="C68" s="67" t="s">
        <v>1011</v>
      </c>
      <c r="D68" s="68">
        <v>3</v>
      </c>
      <c r="E68" s="69" t="s">
        <v>132</v>
      </c>
      <c r="F68" s="70">
        <v>32</v>
      </c>
      <c r="G68" s="67"/>
      <c r="H68" s="71"/>
      <c r="I68" s="72"/>
      <c r="J68" s="72"/>
      <c r="K68" s="35" t="s">
        <v>65</v>
      </c>
      <c r="L68" s="80">
        <v>68</v>
      </c>
      <c r="M68" s="80"/>
      <c r="N68" s="74"/>
      <c r="O68" s="82" t="s">
        <v>303</v>
      </c>
      <c r="P68" s="84">
        <v>44483.45873842593</v>
      </c>
      <c r="Q68" s="82" t="s">
        <v>320</v>
      </c>
      <c r="R68" s="82"/>
      <c r="S68" s="82"/>
      <c r="T68" s="82"/>
      <c r="U68" s="82"/>
      <c r="V68" s="85" t="str">
        <f>HYPERLINK("https://pbs.twimg.com/profile_images/1338174284410314753/tTcftba__normal.jpg")</f>
        <v>https://pbs.twimg.com/profile_images/1338174284410314753/tTcftba__normal.jpg</v>
      </c>
      <c r="W68" s="84">
        <v>44483.45873842593</v>
      </c>
      <c r="X68" s="89">
        <v>44483</v>
      </c>
      <c r="Y68" s="86" t="s">
        <v>365</v>
      </c>
      <c r="Z68" s="85" t="str">
        <f>HYPERLINK("https://twitter.com/juliemo46777750/status/1448604644914122763")</f>
        <v>https://twitter.com/juliemo46777750/status/1448604644914122763</v>
      </c>
      <c r="AA68" s="82"/>
      <c r="AB68" s="82"/>
      <c r="AC68" s="86" t="s">
        <v>406</v>
      </c>
      <c r="AD68" s="86" t="s">
        <v>431</v>
      </c>
      <c r="AE68" s="82" t="b">
        <v>0</v>
      </c>
      <c r="AF68" s="82">
        <v>6</v>
      </c>
      <c r="AG68" s="86" t="s">
        <v>432</v>
      </c>
      <c r="AH68" s="82" t="b">
        <v>0</v>
      </c>
      <c r="AI68" s="82" t="s">
        <v>439</v>
      </c>
      <c r="AJ68" s="82"/>
      <c r="AK68" s="86" t="s">
        <v>441</v>
      </c>
      <c r="AL68" s="82" t="b">
        <v>0</v>
      </c>
      <c r="AM68" s="82">
        <v>2</v>
      </c>
      <c r="AN68" s="86" t="s">
        <v>441</v>
      </c>
      <c r="AO68" s="86" t="s">
        <v>446</v>
      </c>
      <c r="AP68" s="82" t="b">
        <v>0</v>
      </c>
      <c r="AQ68" s="86" t="s">
        <v>431</v>
      </c>
      <c r="AR68" s="82"/>
      <c r="AS68" s="82">
        <v>0</v>
      </c>
      <c r="AT68" s="82">
        <v>0</v>
      </c>
      <c r="AU68" s="82"/>
      <c r="AV68" s="82"/>
      <c r="AW68" s="82"/>
      <c r="AX68" s="82"/>
      <c r="AY68" s="82"/>
      <c r="AZ68" s="82"/>
      <c r="BA68" s="82"/>
      <c r="BB68" s="82"/>
      <c r="BC68">
        <v>1</v>
      </c>
      <c r="BD68" s="81" t="str">
        <f>REPLACE(INDEX(GroupVertices[Group],MATCH(Edges[[#This Row],[Vertex 1]],GroupVertices[Vertex],0)),1,1,"")</f>
        <v>1</v>
      </c>
      <c r="BE68" s="81" t="str">
        <f>REPLACE(INDEX(GroupVertices[Group],MATCH(Edges[[#This Row],[Vertex 2]],GroupVertices[Vertex],0)),1,1,"")</f>
        <v>1</v>
      </c>
      <c r="BF68" s="49"/>
      <c r="BG68" s="50"/>
      <c r="BH68" s="49"/>
      <c r="BI68" s="50"/>
      <c r="BJ68" s="49"/>
      <c r="BK68" s="50"/>
      <c r="BL68" s="49"/>
      <c r="BM68" s="50"/>
      <c r="BN68" s="49"/>
    </row>
    <row r="69" spans="1:66" ht="15">
      <c r="A69" s="66" t="s">
        <v>267</v>
      </c>
      <c r="B69" s="66" t="s">
        <v>295</v>
      </c>
      <c r="C69" s="67" t="s">
        <v>1011</v>
      </c>
      <c r="D69" s="68">
        <v>3</v>
      </c>
      <c r="E69" s="69" t="s">
        <v>132</v>
      </c>
      <c r="F69" s="70">
        <v>32</v>
      </c>
      <c r="G69" s="67"/>
      <c r="H69" s="71"/>
      <c r="I69" s="72"/>
      <c r="J69" s="72"/>
      <c r="K69" s="35" t="s">
        <v>65</v>
      </c>
      <c r="L69" s="80">
        <v>69</v>
      </c>
      <c r="M69" s="80"/>
      <c r="N69" s="74"/>
      <c r="O69" s="82" t="s">
        <v>302</v>
      </c>
      <c r="P69" s="84">
        <v>44483.537881944445</v>
      </c>
      <c r="Q69" s="82" t="s">
        <v>321</v>
      </c>
      <c r="R69" s="82"/>
      <c r="S69" s="82"/>
      <c r="T69" s="82"/>
      <c r="U69" s="82"/>
      <c r="V69" s="85" t="str">
        <f>HYPERLINK("https://pbs.twimg.com/profile_images/1382805167360327681/AkoyRuKo_normal.jpg")</f>
        <v>https://pbs.twimg.com/profile_images/1382805167360327681/AkoyRuKo_normal.jpg</v>
      </c>
      <c r="W69" s="84">
        <v>44483.537881944445</v>
      </c>
      <c r="X69" s="89">
        <v>44483</v>
      </c>
      <c r="Y69" s="86" t="s">
        <v>366</v>
      </c>
      <c r="Z69" s="85" t="str">
        <f>HYPERLINK("https://twitter.com/margaridafawke/status/1448633325682315269")</f>
        <v>https://twitter.com/margaridafawke/status/1448633325682315269</v>
      </c>
      <c r="AA69" s="82"/>
      <c r="AB69" s="82"/>
      <c r="AC69" s="86" t="s">
        <v>407</v>
      </c>
      <c r="AD69" s="86" t="s">
        <v>431</v>
      </c>
      <c r="AE69" s="82" t="b">
        <v>0</v>
      </c>
      <c r="AF69" s="82">
        <v>2</v>
      </c>
      <c r="AG69" s="86" t="s">
        <v>432</v>
      </c>
      <c r="AH69" s="82" t="b">
        <v>0</v>
      </c>
      <c r="AI69" s="82" t="s">
        <v>439</v>
      </c>
      <c r="AJ69" s="82"/>
      <c r="AK69" s="86" t="s">
        <v>441</v>
      </c>
      <c r="AL69" s="82" t="b">
        <v>0</v>
      </c>
      <c r="AM69" s="82">
        <v>1</v>
      </c>
      <c r="AN69" s="86" t="s">
        <v>441</v>
      </c>
      <c r="AO69" s="86" t="s">
        <v>446</v>
      </c>
      <c r="AP69" s="82" t="b">
        <v>0</v>
      </c>
      <c r="AQ69" s="86" t="s">
        <v>431</v>
      </c>
      <c r="AR69" s="82"/>
      <c r="AS69" s="82">
        <v>0</v>
      </c>
      <c r="AT69" s="82">
        <v>0</v>
      </c>
      <c r="AU69" s="82"/>
      <c r="AV69" s="82"/>
      <c r="AW69" s="82"/>
      <c r="AX69" s="82"/>
      <c r="AY69" s="82"/>
      <c r="AZ69" s="82"/>
      <c r="BA69" s="82"/>
      <c r="BB69" s="82"/>
      <c r="BC69">
        <v>1</v>
      </c>
      <c r="BD69" s="81" t="str">
        <f>REPLACE(INDEX(GroupVertices[Group],MATCH(Edges[[#This Row],[Vertex 1]],GroupVertices[Vertex],0)),1,1,"")</f>
        <v>1</v>
      </c>
      <c r="BE69" s="81" t="str">
        <f>REPLACE(INDEX(GroupVertices[Group],MATCH(Edges[[#This Row],[Vertex 2]],GroupVertices[Vertex],0)),1,1,"")</f>
        <v>1</v>
      </c>
      <c r="BF69" s="49">
        <v>0</v>
      </c>
      <c r="BG69" s="50">
        <v>0</v>
      </c>
      <c r="BH69" s="49">
        <v>3</v>
      </c>
      <c r="BI69" s="50">
        <v>16.666666666666668</v>
      </c>
      <c r="BJ69" s="49">
        <v>0</v>
      </c>
      <c r="BK69" s="50">
        <v>0</v>
      </c>
      <c r="BL69" s="49">
        <v>15</v>
      </c>
      <c r="BM69" s="50">
        <v>83.33333333333333</v>
      </c>
      <c r="BN69" s="49">
        <v>18</v>
      </c>
    </row>
    <row r="70" spans="1:66" ht="15">
      <c r="A70" s="66" t="s">
        <v>267</v>
      </c>
      <c r="B70" s="66" t="s">
        <v>290</v>
      </c>
      <c r="C70" s="67" t="s">
        <v>1011</v>
      </c>
      <c r="D70" s="68">
        <v>3</v>
      </c>
      <c r="E70" s="69" t="s">
        <v>132</v>
      </c>
      <c r="F70" s="70">
        <v>32</v>
      </c>
      <c r="G70" s="67"/>
      <c r="H70" s="71"/>
      <c r="I70" s="72"/>
      <c r="J70" s="72"/>
      <c r="K70" s="35" t="s">
        <v>65</v>
      </c>
      <c r="L70" s="80">
        <v>70</v>
      </c>
      <c r="M70" s="80"/>
      <c r="N70" s="74"/>
      <c r="O70" s="82" t="s">
        <v>302</v>
      </c>
      <c r="P70" s="84">
        <v>44483.537881944445</v>
      </c>
      <c r="Q70" s="82" t="s">
        <v>321</v>
      </c>
      <c r="R70" s="82"/>
      <c r="S70" s="82"/>
      <c r="T70" s="82"/>
      <c r="U70" s="82"/>
      <c r="V70" s="85" t="str">
        <f>HYPERLINK("https://pbs.twimg.com/profile_images/1382805167360327681/AkoyRuKo_normal.jpg")</f>
        <v>https://pbs.twimg.com/profile_images/1382805167360327681/AkoyRuKo_normal.jpg</v>
      </c>
      <c r="W70" s="84">
        <v>44483.537881944445</v>
      </c>
      <c r="X70" s="89">
        <v>44483</v>
      </c>
      <c r="Y70" s="86" t="s">
        <v>366</v>
      </c>
      <c r="Z70" s="85" t="str">
        <f>HYPERLINK("https://twitter.com/margaridafawke/status/1448633325682315269")</f>
        <v>https://twitter.com/margaridafawke/status/1448633325682315269</v>
      </c>
      <c r="AA70" s="82"/>
      <c r="AB70" s="82"/>
      <c r="AC70" s="86" t="s">
        <v>407</v>
      </c>
      <c r="AD70" s="86" t="s">
        <v>431</v>
      </c>
      <c r="AE70" s="82" t="b">
        <v>0</v>
      </c>
      <c r="AF70" s="82">
        <v>2</v>
      </c>
      <c r="AG70" s="86" t="s">
        <v>432</v>
      </c>
      <c r="AH70" s="82" t="b">
        <v>0</v>
      </c>
      <c r="AI70" s="82" t="s">
        <v>439</v>
      </c>
      <c r="AJ70" s="82"/>
      <c r="AK70" s="86" t="s">
        <v>441</v>
      </c>
      <c r="AL70" s="82" t="b">
        <v>0</v>
      </c>
      <c r="AM70" s="82">
        <v>1</v>
      </c>
      <c r="AN70" s="86" t="s">
        <v>441</v>
      </c>
      <c r="AO70" s="86" t="s">
        <v>446</v>
      </c>
      <c r="AP70" s="82" t="b">
        <v>0</v>
      </c>
      <c r="AQ70" s="86" t="s">
        <v>431</v>
      </c>
      <c r="AR70" s="82"/>
      <c r="AS70" s="82">
        <v>0</v>
      </c>
      <c r="AT70" s="82">
        <v>0</v>
      </c>
      <c r="AU70" s="82"/>
      <c r="AV70" s="82"/>
      <c r="AW70" s="82"/>
      <c r="AX70" s="82"/>
      <c r="AY70" s="82"/>
      <c r="AZ70" s="82"/>
      <c r="BA70" s="82"/>
      <c r="BB70" s="82"/>
      <c r="BC70">
        <v>1</v>
      </c>
      <c r="BD70" s="81" t="str">
        <f>REPLACE(INDEX(GroupVertices[Group],MATCH(Edges[[#This Row],[Vertex 1]],GroupVertices[Vertex],0)),1,1,"")</f>
        <v>1</v>
      </c>
      <c r="BE70" s="81" t="str">
        <f>REPLACE(INDEX(GroupVertices[Group],MATCH(Edges[[#This Row],[Vertex 2]],GroupVertices[Vertex],0)),1,1,"")</f>
        <v>1</v>
      </c>
      <c r="BF70" s="49"/>
      <c r="BG70" s="50"/>
      <c r="BH70" s="49"/>
      <c r="BI70" s="50"/>
      <c r="BJ70" s="49"/>
      <c r="BK70" s="50"/>
      <c r="BL70" s="49"/>
      <c r="BM70" s="50"/>
      <c r="BN70" s="49"/>
    </row>
    <row r="71" spans="1:66" ht="15">
      <c r="A71" s="66" t="s">
        <v>267</v>
      </c>
      <c r="B71" s="66" t="s">
        <v>291</v>
      </c>
      <c r="C71" s="67" t="s">
        <v>1011</v>
      </c>
      <c r="D71" s="68">
        <v>3</v>
      </c>
      <c r="E71" s="69" t="s">
        <v>132</v>
      </c>
      <c r="F71" s="70">
        <v>32</v>
      </c>
      <c r="G71" s="67"/>
      <c r="H71" s="71"/>
      <c r="I71" s="72"/>
      <c r="J71" s="72"/>
      <c r="K71" s="35" t="s">
        <v>65</v>
      </c>
      <c r="L71" s="80">
        <v>71</v>
      </c>
      <c r="M71" s="80"/>
      <c r="N71" s="74"/>
      <c r="O71" s="82" t="s">
        <v>302</v>
      </c>
      <c r="P71" s="84">
        <v>44483.537881944445</v>
      </c>
      <c r="Q71" s="82" t="s">
        <v>321</v>
      </c>
      <c r="R71" s="82"/>
      <c r="S71" s="82"/>
      <c r="T71" s="82"/>
      <c r="U71" s="82"/>
      <c r="V71" s="85" t="str">
        <f>HYPERLINK("https://pbs.twimg.com/profile_images/1382805167360327681/AkoyRuKo_normal.jpg")</f>
        <v>https://pbs.twimg.com/profile_images/1382805167360327681/AkoyRuKo_normal.jpg</v>
      </c>
      <c r="W71" s="84">
        <v>44483.537881944445</v>
      </c>
      <c r="X71" s="89">
        <v>44483</v>
      </c>
      <c r="Y71" s="86" t="s">
        <v>366</v>
      </c>
      <c r="Z71" s="85" t="str">
        <f>HYPERLINK("https://twitter.com/margaridafawke/status/1448633325682315269")</f>
        <v>https://twitter.com/margaridafawke/status/1448633325682315269</v>
      </c>
      <c r="AA71" s="82"/>
      <c r="AB71" s="82"/>
      <c r="AC71" s="86" t="s">
        <v>407</v>
      </c>
      <c r="AD71" s="86" t="s">
        <v>431</v>
      </c>
      <c r="AE71" s="82" t="b">
        <v>0</v>
      </c>
      <c r="AF71" s="82">
        <v>2</v>
      </c>
      <c r="AG71" s="86" t="s">
        <v>432</v>
      </c>
      <c r="AH71" s="82" t="b">
        <v>0</v>
      </c>
      <c r="AI71" s="82" t="s">
        <v>439</v>
      </c>
      <c r="AJ71" s="82"/>
      <c r="AK71" s="86" t="s">
        <v>441</v>
      </c>
      <c r="AL71" s="82" t="b">
        <v>0</v>
      </c>
      <c r="AM71" s="82">
        <v>1</v>
      </c>
      <c r="AN71" s="86" t="s">
        <v>441</v>
      </c>
      <c r="AO71" s="86" t="s">
        <v>446</v>
      </c>
      <c r="AP71" s="82" t="b">
        <v>0</v>
      </c>
      <c r="AQ71" s="86" t="s">
        <v>431</v>
      </c>
      <c r="AR71" s="82"/>
      <c r="AS71" s="82">
        <v>0</v>
      </c>
      <c r="AT71" s="82">
        <v>0</v>
      </c>
      <c r="AU71" s="82"/>
      <c r="AV71" s="82"/>
      <c r="AW71" s="82"/>
      <c r="AX71" s="82"/>
      <c r="AY71" s="82"/>
      <c r="AZ71" s="82"/>
      <c r="BA71" s="82"/>
      <c r="BB71" s="82"/>
      <c r="BC71">
        <v>1</v>
      </c>
      <c r="BD71" s="81" t="str">
        <f>REPLACE(INDEX(GroupVertices[Group],MATCH(Edges[[#This Row],[Vertex 1]],GroupVertices[Vertex],0)),1,1,"")</f>
        <v>1</v>
      </c>
      <c r="BE71" s="81" t="str">
        <f>REPLACE(INDEX(GroupVertices[Group],MATCH(Edges[[#This Row],[Vertex 2]],GroupVertices[Vertex],0)),1,1,"")</f>
        <v>1</v>
      </c>
      <c r="BF71" s="49"/>
      <c r="BG71" s="50"/>
      <c r="BH71" s="49"/>
      <c r="BI71" s="50"/>
      <c r="BJ71" s="49"/>
      <c r="BK71" s="50"/>
      <c r="BL71" s="49"/>
      <c r="BM71" s="50"/>
      <c r="BN71" s="49"/>
    </row>
    <row r="72" spans="1:66" ht="15">
      <c r="A72" s="66" t="s">
        <v>267</v>
      </c>
      <c r="B72" s="66" t="s">
        <v>289</v>
      </c>
      <c r="C72" s="67" t="s">
        <v>1011</v>
      </c>
      <c r="D72" s="68">
        <v>3</v>
      </c>
      <c r="E72" s="69" t="s">
        <v>132</v>
      </c>
      <c r="F72" s="70">
        <v>32</v>
      </c>
      <c r="G72" s="67"/>
      <c r="H72" s="71"/>
      <c r="I72" s="72"/>
      <c r="J72" s="72"/>
      <c r="K72" s="35" t="s">
        <v>65</v>
      </c>
      <c r="L72" s="80">
        <v>72</v>
      </c>
      <c r="M72" s="80"/>
      <c r="N72" s="74"/>
      <c r="O72" s="82" t="s">
        <v>303</v>
      </c>
      <c r="P72" s="84">
        <v>44483.537881944445</v>
      </c>
      <c r="Q72" s="82" t="s">
        <v>321</v>
      </c>
      <c r="R72" s="82"/>
      <c r="S72" s="82"/>
      <c r="T72" s="82"/>
      <c r="U72" s="82"/>
      <c r="V72" s="85" t="str">
        <f>HYPERLINK("https://pbs.twimg.com/profile_images/1382805167360327681/AkoyRuKo_normal.jpg")</f>
        <v>https://pbs.twimg.com/profile_images/1382805167360327681/AkoyRuKo_normal.jpg</v>
      </c>
      <c r="W72" s="84">
        <v>44483.537881944445</v>
      </c>
      <c r="X72" s="89">
        <v>44483</v>
      </c>
      <c r="Y72" s="86" t="s">
        <v>366</v>
      </c>
      <c r="Z72" s="85" t="str">
        <f>HYPERLINK("https://twitter.com/margaridafawke/status/1448633325682315269")</f>
        <v>https://twitter.com/margaridafawke/status/1448633325682315269</v>
      </c>
      <c r="AA72" s="82"/>
      <c r="AB72" s="82"/>
      <c r="AC72" s="86" t="s">
        <v>407</v>
      </c>
      <c r="AD72" s="86" t="s">
        <v>431</v>
      </c>
      <c r="AE72" s="82" t="b">
        <v>0</v>
      </c>
      <c r="AF72" s="82">
        <v>2</v>
      </c>
      <c r="AG72" s="86" t="s">
        <v>432</v>
      </c>
      <c r="AH72" s="82" t="b">
        <v>0</v>
      </c>
      <c r="AI72" s="82" t="s">
        <v>439</v>
      </c>
      <c r="AJ72" s="82"/>
      <c r="AK72" s="86" t="s">
        <v>441</v>
      </c>
      <c r="AL72" s="82" t="b">
        <v>0</v>
      </c>
      <c r="AM72" s="82">
        <v>1</v>
      </c>
      <c r="AN72" s="86" t="s">
        <v>441</v>
      </c>
      <c r="AO72" s="86" t="s">
        <v>446</v>
      </c>
      <c r="AP72" s="82" t="b">
        <v>0</v>
      </c>
      <c r="AQ72" s="86" t="s">
        <v>431</v>
      </c>
      <c r="AR72" s="82"/>
      <c r="AS72" s="82">
        <v>0</v>
      </c>
      <c r="AT72" s="82">
        <v>0</v>
      </c>
      <c r="AU72" s="82"/>
      <c r="AV72" s="82"/>
      <c r="AW72" s="82"/>
      <c r="AX72" s="82"/>
      <c r="AY72" s="82"/>
      <c r="AZ72" s="82"/>
      <c r="BA72" s="82"/>
      <c r="BB72" s="82"/>
      <c r="BC72">
        <v>1</v>
      </c>
      <c r="BD72" s="81" t="str">
        <f>REPLACE(INDEX(GroupVertices[Group],MATCH(Edges[[#This Row],[Vertex 1]],GroupVertices[Vertex],0)),1,1,"")</f>
        <v>1</v>
      </c>
      <c r="BE72" s="81" t="str">
        <f>REPLACE(INDEX(GroupVertices[Group],MATCH(Edges[[#This Row],[Vertex 2]],GroupVertices[Vertex],0)),1,1,"")</f>
        <v>1</v>
      </c>
      <c r="BF72" s="49"/>
      <c r="BG72" s="50"/>
      <c r="BH72" s="49"/>
      <c r="BI72" s="50"/>
      <c r="BJ72" s="49"/>
      <c r="BK72" s="50"/>
      <c r="BL72" s="49"/>
      <c r="BM72" s="50"/>
      <c r="BN72" s="49"/>
    </row>
    <row r="73" spans="1:66" ht="15">
      <c r="A73" s="66" t="s">
        <v>268</v>
      </c>
      <c r="B73" s="66" t="s">
        <v>290</v>
      </c>
      <c r="C73" s="67" t="s">
        <v>1011</v>
      </c>
      <c r="D73" s="68">
        <v>3</v>
      </c>
      <c r="E73" s="69" t="s">
        <v>132</v>
      </c>
      <c r="F73" s="70">
        <v>32</v>
      </c>
      <c r="G73" s="67"/>
      <c r="H73" s="71"/>
      <c r="I73" s="72"/>
      <c r="J73" s="72"/>
      <c r="K73" s="35" t="s">
        <v>65</v>
      </c>
      <c r="L73" s="80">
        <v>73</v>
      </c>
      <c r="M73" s="80"/>
      <c r="N73" s="74"/>
      <c r="O73" s="82" t="s">
        <v>302</v>
      </c>
      <c r="P73" s="84">
        <v>44483.42056712963</v>
      </c>
      <c r="Q73" s="82" t="s">
        <v>322</v>
      </c>
      <c r="R73" s="82"/>
      <c r="S73" s="82"/>
      <c r="T73" s="82"/>
      <c r="U73" s="82"/>
      <c r="V73" s="85" t="str">
        <f>HYPERLINK("https://pbs.twimg.com/profile_images/717827353980887040/ephdr0Vx_normal.jpg")</f>
        <v>https://pbs.twimg.com/profile_images/717827353980887040/ephdr0Vx_normal.jpg</v>
      </c>
      <c r="W73" s="84">
        <v>44483.42056712963</v>
      </c>
      <c r="X73" s="89">
        <v>44483</v>
      </c>
      <c r="Y73" s="86" t="s">
        <v>367</v>
      </c>
      <c r="Z73" s="85" t="str">
        <f>HYPERLINK("https://twitter.com/ambleexile/status/1448590812418293762")</f>
        <v>https://twitter.com/ambleexile/status/1448590812418293762</v>
      </c>
      <c r="AA73" s="82"/>
      <c r="AB73" s="82"/>
      <c r="AC73" s="86" t="s">
        <v>408</v>
      </c>
      <c r="AD73" s="86" t="s">
        <v>431</v>
      </c>
      <c r="AE73" s="82" t="b">
        <v>0</v>
      </c>
      <c r="AF73" s="82">
        <v>11</v>
      </c>
      <c r="AG73" s="86" t="s">
        <v>432</v>
      </c>
      <c r="AH73" s="82" t="b">
        <v>0</v>
      </c>
      <c r="AI73" s="82" t="s">
        <v>439</v>
      </c>
      <c r="AJ73" s="82"/>
      <c r="AK73" s="86" t="s">
        <v>441</v>
      </c>
      <c r="AL73" s="82" t="b">
        <v>0</v>
      </c>
      <c r="AM73" s="82">
        <v>2</v>
      </c>
      <c r="AN73" s="86" t="s">
        <v>441</v>
      </c>
      <c r="AO73" s="86" t="s">
        <v>445</v>
      </c>
      <c r="AP73" s="82" t="b">
        <v>0</v>
      </c>
      <c r="AQ73" s="86" t="s">
        <v>431</v>
      </c>
      <c r="AR73" s="82"/>
      <c r="AS73" s="82">
        <v>0</v>
      </c>
      <c r="AT73" s="82">
        <v>0</v>
      </c>
      <c r="AU73" s="82"/>
      <c r="AV73" s="82"/>
      <c r="AW73" s="82"/>
      <c r="AX73" s="82"/>
      <c r="AY73" s="82"/>
      <c r="AZ73" s="82"/>
      <c r="BA73" s="82"/>
      <c r="BB73" s="82"/>
      <c r="BC73">
        <v>1</v>
      </c>
      <c r="BD73" s="81" t="str">
        <f>REPLACE(INDEX(GroupVertices[Group],MATCH(Edges[[#This Row],[Vertex 1]],GroupVertices[Vertex],0)),1,1,"")</f>
        <v>1</v>
      </c>
      <c r="BE73" s="81" t="str">
        <f>REPLACE(INDEX(GroupVertices[Group],MATCH(Edges[[#This Row],[Vertex 2]],GroupVertices[Vertex],0)),1,1,"")</f>
        <v>1</v>
      </c>
      <c r="BF73" s="49"/>
      <c r="BG73" s="50"/>
      <c r="BH73" s="49"/>
      <c r="BI73" s="50"/>
      <c r="BJ73" s="49"/>
      <c r="BK73" s="50"/>
      <c r="BL73" s="49"/>
      <c r="BM73" s="50"/>
      <c r="BN73" s="49"/>
    </row>
    <row r="74" spans="1:66" ht="15">
      <c r="A74" s="66" t="s">
        <v>268</v>
      </c>
      <c r="B74" s="66" t="s">
        <v>291</v>
      </c>
      <c r="C74" s="67" t="s">
        <v>1011</v>
      </c>
      <c r="D74" s="68">
        <v>3</v>
      </c>
      <c r="E74" s="69" t="s">
        <v>132</v>
      </c>
      <c r="F74" s="70">
        <v>32</v>
      </c>
      <c r="G74" s="67"/>
      <c r="H74" s="71"/>
      <c r="I74" s="72"/>
      <c r="J74" s="72"/>
      <c r="K74" s="35" t="s">
        <v>65</v>
      </c>
      <c r="L74" s="80">
        <v>74</v>
      </c>
      <c r="M74" s="80"/>
      <c r="N74" s="74"/>
      <c r="O74" s="82" t="s">
        <v>302</v>
      </c>
      <c r="P74" s="84">
        <v>44483.42056712963</v>
      </c>
      <c r="Q74" s="82" t="s">
        <v>322</v>
      </c>
      <c r="R74" s="82"/>
      <c r="S74" s="82"/>
      <c r="T74" s="82"/>
      <c r="U74" s="82"/>
      <c r="V74" s="85" t="str">
        <f>HYPERLINK("https://pbs.twimg.com/profile_images/717827353980887040/ephdr0Vx_normal.jpg")</f>
        <v>https://pbs.twimg.com/profile_images/717827353980887040/ephdr0Vx_normal.jpg</v>
      </c>
      <c r="W74" s="84">
        <v>44483.42056712963</v>
      </c>
      <c r="X74" s="89">
        <v>44483</v>
      </c>
      <c r="Y74" s="86" t="s">
        <v>367</v>
      </c>
      <c r="Z74" s="85" t="str">
        <f>HYPERLINK("https://twitter.com/ambleexile/status/1448590812418293762")</f>
        <v>https://twitter.com/ambleexile/status/1448590812418293762</v>
      </c>
      <c r="AA74" s="82"/>
      <c r="AB74" s="82"/>
      <c r="AC74" s="86" t="s">
        <v>408</v>
      </c>
      <c r="AD74" s="86" t="s">
        <v>431</v>
      </c>
      <c r="AE74" s="82" t="b">
        <v>0</v>
      </c>
      <c r="AF74" s="82">
        <v>11</v>
      </c>
      <c r="AG74" s="86" t="s">
        <v>432</v>
      </c>
      <c r="AH74" s="82" t="b">
        <v>0</v>
      </c>
      <c r="AI74" s="82" t="s">
        <v>439</v>
      </c>
      <c r="AJ74" s="82"/>
      <c r="AK74" s="86" t="s">
        <v>441</v>
      </c>
      <c r="AL74" s="82" t="b">
        <v>0</v>
      </c>
      <c r="AM74" s="82">
        <v>2</v>
      </c>
      <c r="AN74" s="86" t="s">
        <v>441</v>
      </c>
      <c r="AO74" s="86" t="s">
        <v>445</v>
      </c>
      <c r="AP74" s="82" t="b">
        <v>0</v>
      </c>
      <c r="AQ74" s="86" t="s">
        <v>431</v>
      </c>
      <c r="AR74" s="82"/>
      <c r="AS74" s="82">
        <v>0</v>
      </c>
      <c r="AT74" s="82">
        <v>0</v>
      </c>
      <c r="AU74" s="82"/>
      <c r="AV74" s="82"/>
      <c r="AW74" s="82"/>
      <c r="AX74" s="82"/>
      <c r="AY74" s="82"/>
      <c r="AZ74" s="82"/>
      <c r="BA74" s="82"/>
      <c r="BB74" s="82"/>
      <c r="BC74">
        <v>1</v>
      </c>
      <c r="BD74" s="81" t="str">
        <f>REPLACE(INDEX(GroupVertices[Group],MATCH(Edges[[#This Row],[Vertex 1]],GroupVertices[Vertex],0)),1,1,"")</f>
        <v>1</v>
      </c>
      <c r="BE74" s="81" t="str">
        <f>REPLACE(INDEX(GroupVertices[Group],MATCH(Edges[[#This Row],[Vertex 2]],GroupVertices[Vertex],0)),1,1,"")</f>
        <v>1</v>
      </c>
      <c r="BF74" s="49"/>
      <c r="BG74" s="50"/>
      <c r="BH74" s="49"/>
      <c r="BI74" s="50"/>
      <c r="BJ74" s="49"/>
      <c r="BK74" s="50"/>
      <c r="BL74" s="49"/>
      <c r="BM74" s="50"/>
      <c r="BN74" s="49"/>
    </row>
    <row r="75" spans="1:66" ht="15">
      <c r="A75" s="66" t="s">
        <v>268</v>
      </c>
      <c r="B75" s="66" t="s">
        <v>292</v>
      </c>
      <c r="C75" s="67" t="s">
        <v>1011</v>
      </c>
      <c r="D75" s="68">
        <v>3</v>
      </c>
      <c r="E75" s="69" t="s">
        <v>132</v>
      </c>
      <c r="F75" s="70">
        <v>32</v>
      </c>
      <c r="G75" s="67"/>
      <c r="H75" s="71"/>
      <c r="I75" s="72"/>
      <c r="J75" s="72"/>
      <c r="K75" s="35" t="s">
        <v>65</v>
      </c>
      <c r="L75" s="80">
        <v>75</v>
      </c>
      <c r="M75" s="80"/>
      <c r="N75" s="74"/>
      <c r="O75" s="82" t="s">
        <v>302</v>
      </c>
      <c r="P75" s="84">
        <v>44483.42056712963</v>
      </c>
      <c r="Q75" s="82" t="s">
        <v>322</v>
      </c>
      <c r="R75" s="82"/>
      <c r="S75" s="82"/>
      <c r="T75" s="82"/>
      <c r="U75" s="82"/>
      <c r="V75" s="85" t="str">
        <f>HYPERLINK("https://pbs.twimg.com/profile_images/717827353980887040/ephdr0Vx_normal.jpg")</f>
        <v>https://pbs.twimg.com/profile_images/717827353980887040/ephdr0Vx_normal.jpg</v>
      </c>
      <c r="W75" s="84">
        <v>44483.42056712963</v>
      </c>
      <c r="X75" s="89">
        <v>44483</v>
      </c>
      <c r="Y75" s="86" t="s">
        <v>367</v>
      </c>
      <c r="Z75" s="85" t="str">
        <f>HYPERLINK("https://twitter.com/ambleexile/status/1448590812418293762")</f>
        <v>https://twitter.com/ambleexile/status/1448590812418293762</v>
      </c>
      <c r="AA75" s="82"/>
      <c r="AB75" s="82"/>
      <c r="AC75" s="86" t="s">
        <v>408</v>
      </c>
      <c r="AD75" s="86" t="s">
        <v>431</v>
      </c>
      <c r="AE75" s="82" t="b">
        <v>0</v>
      </c>
      <c r="AF75" s="82">
        <v>11</v>
      </c>
      <c r="AG75" s="86" t="s">
        <v>432</v>
      </c>
      <c r="AH75" s="82" t="b">
        <v>0</v>
      </c>
      <c r="AI75" s="82" t="s">
        <v>439</v>
      </c>
      <c r="AJ75" s="82"/>
      <c r="AK75" s="86" t="s">
        <v>441</v>
      </c>
      <c r="AL75" s="82" t="b">
        <v>0</v>
      </c>
      <c r="AM75" s="82">
        <v>2</v>
      </c>
      <c r="AN75" s="86" t="s">
        <v>441</v>
      </c>
      <c r="AO75" s="86" t="s">
        <v>445</v>
      </c>
      <c r="AP75" s="82" t="b">
        <v>0</v>
      </c>
      <c r="AQ75" s="86" t="s">
        <v>431</v>
      </c>
      <c r="AR75" s="82"/>
      <c r="AS75" s="82">
        <v>0</v>
      </c>
      <c r="AT75" s="82">
        <v>0</v>
      </c>
      <c r="AU75" s="82"/>
      <c r="AV75" s="82"/>
      <c r="AW75" s="82"/>
      <c r="AX75" s="82"/>
      <c r="AY75" s="82"/>
      <c r="AZ75" s="82"/>
      <c r="BA75" s="82"/>
      <c r="BB75" s="82"/>
      <c r="BC75">
        <v>1</v>
      </c>
      <c r="BD75" s="81" t="str">
        <f>REPLACE(INDEX(GroupVertices[Group],MATCH(Edges[[#This Row],[Vertex 1]],GroupVertices[Vertex],0)),1,1,"")</f>
        <v>1</v>
      </c>
      <c r="BE75" s="81" t="str">
        <f>REPLACE(INDEX(GroupVertices[Group],MATCH(Edges[[#This Row],[Vertex 2]],GroupVertices[Vertex],0)),1,1,"")</f>
        <v>2</v>
      </c>
      <c r="BF75" s="49"/>
      <c r="BG75" s="50"/>
      <c r="BH75" s="49"/>
      <c r="BI75" s="50"/>
      <c r="BJ75" s="49"/>
      <c r="BK75" s="50"/>
      <c r="BL75" s="49"/>
      <c r="BM75" s="50"/>
      <c r="BN75" s="49"/>
    </row>
    <row r="76" spans="1:66" ht="15">
      <c r="A76" s="66" t="s">
        <v>268</v>
      </c>
      <c r="B76" s="66" t="s">
        <v>289</v>
      </c>
      <c r="C76" s="67" t="s">
        <v>1011</v>
      </c>
      <c r="D76" s="68">
        <v>3</v>
      </c>
      <c r="E76" s="69" t="s">
        <v>132</v>
      </c>
      <c r="F76" s="70">
        <v>32</v>
      </c>
      <c r="G76" s="67"/>
      <c r="H76" s="71"/>
      <c r="I76" s="72"/>
      <c r="J76" s="72"/>
      <c r="K76" s="35" t="s">
        <v>65</v>
      </c>
      <c r="L76" s="80">
        <v>76</v>
      </c>
      <c r="M76" s="80"/>
      <c r="N76" s="74"/>
      <c r="O76" s="82" t="s">
        <v>303</v>
      </c>
      <c r="P76" s="84">
        <v>44483.42056712963</v>
      </c>
      <c r="Q76" s="82" t="s">
        <v>322</v>
      </c>
      <c r="R76" s="82"/>
      <c r="S76" s="82"/>
      <c r="T76" s="82"/>
      <c r="U76" s="82"/>
      <c r="V76" s="85" t="str">
        <f>HYPERLINK("https://pbs.twimg.com/profile_images/717827353980887040/ephdr0Vx_normal.jpg")</f>
        <v>https://pbs.twimg.com/profile_images/717827353980887040/ephdr0Vx_normal.jpg</v>
      </c>
      <c r="W76" s="84">
        <v>44483.42056712963</v>
      </c>
      <c r="X76" s="89">
        <v>44483</v>
      </c>
      <c r="Y76" s="86" t="s">
        <v>367</v>
      </c>
      <c r="Z76" s="85" t="str">
        <f>HYPERLINK("https://twitter.com/ambleexile/status/1448590812418293762")</f>
        <v>https://twitter.com/ambleexile/status/1448590812418293762</v>
      </c>
      <c r="AA76" s="82"/>
      <c r="AB76" s="82"/>
      <c r="AC76" s="86" t="s">
        <v>408</v>
      </c>
      <c r="AD76" s="86" t="s">
        <v>431</v>
      </c>
      <c r="AE76" s="82" t="b">
        <v>0</v>
      </c>
      <c r="AF76" s="82">
        <v>11</v>
      </c>
      <c r="AG76" s="86" t="s">
        <v>432</v>
      </c>
      <c r="AH76" s="82" t="b">
        <v>0</v>
      </c>
      <c r="AI76" s="82" t="s">
        <v>439</v>
      </c>
      <c r="AJ76" s="82"/>
      <c r="AK76" s="86" t="s">
        <v>441</v>
      </c>
      <c r="AL76" s="82" t="b">
        <v>0</v>
      </c>
      <c r="AM76" s="82">
        <v>2</v>
      </c>
      <c r="AN76" s="86" t="s">
        <v>441</v>
      </c>
      <c r="AO76" s="86" t="s">
        <v>445</v>
      </c>
      <c r="AP76" s="82" t="b">
        <v>0</v>
      </c>
      <c r="AQ76" s="86" t="s">
        <v>431</v>
      </c>
      <c r="AR76" s="82"/>
      <c r="AS76" s="82">
        <v>0</v>
      </c>
      <c r="AT76" s="82">
        <v>0</v>
      </c>
      <c r="AU76" s="82"/>
      <c r="AV76" s="82"/>
      <c r="AW76" s="82"/>
      <c r="AX76" s="82"/>
      <c r="AY76" s="82"/>
      <c r="AZ76" s="82"/>
      <c r="BA76" s="82"/>
      <c r="BB76" s="82"/>
      <c r="BC76">
        <v>1</v>
      </c>
      <c r="BD76" s="81" t="str">
        <f>REPLACE(INDEX(GroupVertices[Group],MATCH(Edges[[#This Row],[Vertex 1]],GroupVertices[Vertex],0)),1,1,"")</f>
        <v>1</v>
      </c>
      <c r="BE76" s="81" t="str">
        <f>REPLACE(INDEX(GroupVertices[Group],MATCH(Edges[[#This Row],[Vertex 2]],GroupVertices[Vertex],0)),1,1,"")</f>
        <v>1</v>
      </c>
      <c r="BF76" s="49">
        <v>1</v>
      </c>
      <c r="BG76" s="50">
        <v>2.0408163265306123</v>
      </c>
      <c r="BH76" s="49">
        <v>0</v>
      </c>
      <c r="BI76" s="50">
        <v>0</v>
      </c>
      <c r="BJ76" s="49">
        <v>0</v>
      </c>
      <c r="BK76" s="50">
        <v>0</v>
      </c>
      <c r="BL76" s="49">
        <v>48</v>
      </c>
      <c r="BM76" s="50">
        <v>97.95918367346938</v>
      </c>
      <c r="BN76" s="49">
        <v>49</v>
      </c>
    </row>
    <row r="77" spans="1:66" ht="15">
      <c r="A77" s="66" t="s">
        <v>269</v>
      </c>
      <c r="B77" s="66" t="s">
        <v>290</v>
      </c>
      <c r="C77" s="67" t="s">
        <v>1011</v>
      </c>
      <c r="D77" s="68">
        <v>3</v>
      </c>
      <c r="E77" s="69" t="s">
        <v>132</v>
      </c>
      <c r="F77" s="70">
        <v>32</v>
      </c>
      <c r="G77" s="67"/>
      <c r="H77" s="71"/>
      <c r="I77" s="72"/>
      <c r="J77" s="72"/>
      <c r="K77" s="35" t="s">
        <v>65</v>
      </c>
      <c r="L77" s="80">
        <v>77</v>
      </c>
      <c r="M77" s="80"/>
      <c r="N77" s="74"/>
      <c r="O77" s="82" t="s">
        <v>302</v>
      </c>
      <c r="P77" s="84">
        <v>44483.37899305556</v>
      </c>
      <c r="Q77" s="82" t="s">
        <v>323</v>
      </c>
      <c r="R77" s="82"/>
      <c r="S77" s="82"/>
      <c r="T77" s="82"/>
      <c r="U77" s="82"/>
      <c r="V77" s="85" t="str">
        <f>HYPERLINK("https://pbs.twimg.com/profile_images/1087809551213170688/cOEI5i_z_normal.jpg")</f>
        <v>https://pbs.twimg.com/profile_images/1087809551213170688/cOEI5i_z_normal.jpg</v>
      </c>
      <c r="W77" s="84">
        <v>44483.37899305556</v>
      </c>
      <c r="X77" s="89">
        <v>44483</v>
      </c>
      <c r="Y77" s="86" t="s">
        <v>368</v>
      </c>
      <c r="Z77" s="85" t="str">
        <f>HYPERLINK("https://twitter.com/daphneh236/status/1448575746755137537")</f>
        <v>https://twitter.com/daphneh236/status/1448575746755137537</v>
      </c>
      <c r="AA77" s="82"/>
      <c r="AB77" s="82"/>
      <c r="AC77" s="86" t="s">
        <v>409</v>
      </c>
      <c r="AD77" s="86" t="s">
        <v>431</v>
      </c>
      <c r="AE77" s="82" t="b">
        <v>0</v>
      </c>
      <c r="AF77" s="82">
        <v>14</v>
      </c>
      <c r="AG77" s="86" t="s">
        <v>432</v>
      </c>
      <c r="AH77" s="82" t="b">
        <v>0</v>
      </c>
      <c r="AI77" s="82" t="s">
        <v>439</v>
      </c>
      <c r="AJ77" s="82"/>
      <c r="AK77" s="86" t="s">
        <v>441</v>
      </c>
      <c r="AL77" s="82" t="b">
        <v>0</v>
      </c>
      <c r="AM77" s="82">
        <v>5</v>
      </c>
      <c r="AN77" s="86" t="s">
        <v>441</v>
      </c>
      <c r="AO77" s="86" t="s">
        <v>444</v>
      </c>
      <c r="AP77" s="82" t="b">
        <v>0</v>
      </c>
      <c r="AQ77" s="86" t="s">
        <v>431</v>
      </c>
      <c r="AR77" s="82"/>
      <c r="AS77" s="82">
        <v>0</v>
      </c>
      <c r="AT77" s="82">
        <v>0</v>
      </c>
      <c r="AU77" s="82"/>
      <c r="AV77" s="82"/>
      <c r="AW77" s="82"/>
      <c r="AX77" s="82"/>
      <c r="AY77" s="82"/>
      <c r="AZ77" s="82"/>
      <c r="BA77" s="82"/>
      <c r="BB77" s="82"/>
      <c r="BC77">
        <v>1</v>
      </c>
      <c r="BD77" s="81" t="str">
        <f>REPLACE(INDEX(GroupVertices[Group],MATCH(Edges[[#This Row],[Vertex 1]],GroupVertices[Vertex],0)),1,1,"")</f>
        <v>2</v>
      </c>
      <c r="BE77" s="81" t="str">
        <f>REPLACE(INDEX(GroupVertices[Group],MATCH(Edges[[#This Row],[Vertex 2]],GroupVertices[Vertex],0)),1,1,"")</f>
        <v>1</v>
      </c>
      <c r="BF77" s="49"/>
      <c r="BG77" s="50"/>
      <c r="BH77" s="49"/>
      <c r="BI77" s="50"/>
      <c r="BJ77" s="49"/>
      <c r="BK77" s="50"/>
      <c r="BL77" s="49"/>
      <c r="BM77" s="50"/>
      <c r="BN77" s="49"/>
    </row>
    <row r="78" spans="1:66" ht="15">
      <c r="A78" s="66" t="s">
        <v>269</v>
      </c>
      <c r="B78" s="66" t="s">
        <v>291</v>
      </c>
      <c r="C78" s="67" t="s">
        <v>1011</v>
      </c>
      <c r="D78" s="68">
        <v>3</v>
      </c>
      <c r="E78" s="69" t="s">
        <v>132</v>
      </c>
      <c r="F78" s="70">
        <v>32</v>
      </c>
      <c r="G78" s="67"/>
      <c r="H78" s="71"/>
      <c r="I78" s="72"/>
      <c r="J78" s="72"/>
      <c r="K78" s="35" t="s">
        <v>65</v>
      </c>
      <c r="L78" s="80">
        <v>78</v>
      </c>
      <c r="M78" s="80"/>
      <c r="N78" s="74"/>
      <c r="O78" s="82" t="s">
        <v>302</v>
      </c>
      <c r="P78" s="84">
        <v>44483.37899305556</v>
      </c>
      <c r="Q78" s="82" t="s">
        <v>323</v>
      </c>
      <c r="R78" s="82"/>
      <c r="S78" s="82"/>
      <c r="T78" s="82"/>
      <c r="U78" s="82"/>
      <c r="V78" s="85" t="str">
        <f>HYPERLINK("https://pbs.twimg.com/profile_images/1087809551213170688/cOEI5i_z_normal.jpg")</f>
        <v>https://pbs.twimg.com/profile_images/1087809551213170688/cOEI5i_z_normal.jpg</v>
      </c>
      <c r="W78" s="84">
        <v>44483.37899305556</v>
      </c>
      <c r="X78" s="89">
        <v>44483</v>
      </c>
      <c r="Y78" s="86" t="s">
        <v>368</v>
      </c>
      <c r="Z78" s="85" t="str">
        <f>HYPERLINK("https://twitter.com/daphneh236/status/1448575746755137537")</f>
        <v>https://twitter.com/daphneh236/status/1448575746755137537</v>
      </c>
      <c r="AA78" s="82"/>
      <c r="AB78" s="82"/>
      <c r="AC78" s="86" t="s">
        <v>409</v>
      </c>
      <c r="AD78" s="86" t="s">
        <v>431</v>
      </c>
      <c r="AE78" s="82" t="b">
        <v>0</v>
      </c>
      <c r="AF78" s="82">
        <v>14</v>
      </c>
      <c r="AG78" s="86" t="s">
        <v>432</v>
      </c>
      <c r="AH78" s="82" t="b">
        <v>0</v>
      </c>
      <c r="AI78" s="82" t="s">
        <v>439</v>
      </c>
      <c r="AJ78" s="82"/>
      <c r="AK78" s="86" t="s">
        <v>441</v>
      </c>
      <c r="AL78" s="82" t="b">
        <v>0</v>
      </c>
      <c r="AM78" s="82">
        <v>5</v>
      </c>
      <c r="AN78" s="86" t="s">
        <v>441</v>
      </c>
      <c r="AO78" s="86" t="s">
        <v>444</v>
      </c>
      <c r="AP78" s="82" t="b">
        <v>0</v>
      </c>
      <c r="AQ78" s="86" t="s">
        <v>431</v>
      </c>
      <c r="AR78" s="82"/>
      <c r="AS78" s="82">
        <v>0</v>
      </c>
      <c r="AT78" s="82">
        <v>0</v>
      </c>
      <c r="AU78" s="82"/>
      <c r="AV78" s="82"/>
      <c r="AW78" s="82"/>
      <c r="AX78" s="82"/>
      <c r="AY78" s="82"/>
      <c r="AZ78" s="82"/>
      <c r="BA78" s="82"/>
      <c r="BB78" s="82"/>
      <c r="BC78">
        <v>1</v>
      </c>
      <c r="BD78" s="81" t="str">
        <f>REPLACE(INDEX(GroupVertices[Group],MATCH(Edges[[#This Row],[Vertex 1]],GroupVertices[Vertex],0)),1,1,"")</f>
        <v>2</v>
      </c>
      <c r="BE78" s="81" t="str">
        <f>REPLACE(INDEX(GroupVertices[Group],MATCH(Edges[[#This Row],[Vertex 2]],GroupVertices[Vertex],0)),1,1,"")</f>
        <v>1</v>
      </c>
      <c r="BF78" s="49"/>
      <c r="BG78" s="50"/>
      <c r="BH78" s="49"/>
      <c r="BI78" s="50"/>
      <c r="BJ78" s="49"/>
      <c r="BK78" s="50"/>
      <c r="BL78" s="49"/>
      <c r="BM78" s="50"/>
      <c r="BN78" s="49"/>
    </row>
    <row r="79" spans="1:66" ht="15">
      <c r="A79" s="66" t="s">
        <v>269</v>
      </c>
      <c r="B79" s="66" t="s">
        <v>292</v>
      </c>
      <c r="C79" s="67" t="s">
        <v>1011</v>
      </c>
      <c r="D79" s="68">
        <v>3</v>
      </c>
      <c r="E79" s="69" t="s">
        <v>132</v>
      </c>
      <c r="F79" s="70">
        <v>32</v>
      </c>
      <c r="G79" s="67"/>
      <c r="H79" s="71"/>
      <c r="I79" s="72"/>
      <c r="J79" s="72"/>
      <c r="K79" s="35" t="s">
        <v>65</v>
      </c>
      <c r="L79" s="80">
        <v>79</v>
      </c>
      <c r="M79" s="80"/>
      <c r="N79" s="74"/>
      <c r="O79" s="82" t="s">
        <v>302</v>
      </c>
      <c r="P79" s="84">
        <v>44483.37899305556</v>
      </c>
      <c r="Q79" s="82" t="s">
        <v>323</v>
      </c>
      <c r="R79" s="82"/>
      <c r="S79" s="82"/>
      <c r="T79" s="82"/>
      <c r="U79" s="82"/>
      <c r="V79" s="85" t="str">
        <f>HYPERLINK("https://pbs.twimg.com/profile_images/1087809551213170688/cOEI5i_z_normal.jpg")</f>
        <v>https://pbs.twimg.com/profile_images/1087809551213170688/cOEI5i_z_normal.jpg</v>
      </c>
      <c r="W79" s="84">
        <v>44483.37899305556</v>
      </c>
      <c r="X79" s="89">
        <v>44483</v>
      </c>
      <c r="Y79" s="86" t="s">
        <v>368</v>
      </c>
      <c r="Z79" s="85" t="str">
        <f>HYPERLINK("https://twitter.com/daphneh236/status/1448575746755137537")</f>
        <v>https://twitter.com/daphneh236/status/1448575746755137537</v>
      </c>
      <c r="AA79" s="82"/>
      <c r="AB79" s="82"/>
      <c r="AC79" s="86" t="s">
        <v>409</v>
      </c>
      <c r="AD79" s="86" t="s">
        <v>431</v>
      </c>
      <c r="AE79" s="82" t="b">
        <v>0</v>
      </c>
      <c r="AF79" s="82">
        <v>14</v>
      </c>
      <c r="AG79" s="86" t="s">
        <v>432</v>
      </c>
      <c r="AH79" s="82" t="b">
        <v>0</v>
      </c>
      <c r="AI79" s="82" t="s">
        <v>439</v>
      </c>
      <c r="AJ79" s="82"/>
      <c r="AK79" s="86" t="s">
        <v>441</v>
      </c>
      <c r="AL79" s="82" t="b">
        <v>0</v>
      </c>
      <c r="AM79" s="82">
        <v>5</v>
      </c>
      <c r="AN79" s="86" t="s">
        <v>441</v>
      </c>
      <c r="AO79" s="86" t="s">
        <v>444</v>
      </c>
      <c r="AP79" s="82" t="b">
        <v>0</v>
      </c>
      <c r="AQ79" s="86" t="s">
        <v>431</v>
      </c>
      <c r="AR79" s="82"/>
      <c r="AS79" s="82">
        <v>0</v>
      </c>
      <c r="AT79" s="82">
        <v>0</v>
      </c>
      <c r="AU79" s="82"/>
      <c r="AV79" s="82"/>
      <c r="AW79" s="82"/>
      <c r="AX79" s="82"/>
      <c r="AY79" s="82"/>
      <c r="AZ79" s="82"/>
      <c r="BA79" s="82"/>
      <c r="BB79" s="82"/>
      <c r="BC79">
        <v>1</v>
      </c>
      <c r="BD79" s="81" t="str">
        <f>REPLACE(INDEX(GroupVertices[Group],MATCH(Edges[[#This Row],[Vertex 1]],GroupVertices[Vertex],0)),1,1,"")</f>
        <v>2</v>
      </c>
      <c r="BE79" s="81" t="str">
        <f>REPLACE(INDEX(GroupVertices[Group],MATCH(Edges[[#This Row],[Vertex 2]],GroupVertices[Vertex],0)),1,1,"")</f>
        <v>2</v>
      </c>
      <c r="BF79" s="49"/>
      <c r="BG79" s="50"/>
      <c r="BH79" s="49"/>
      <c r="BI79" s="50"/>
      <c r="BJ79" s="49"/>
      <c r="BK79" s="50"/>
      <c r="BL79" s="49"/>
      <c r="BM79" s="50"/>
      <c r="BN79" s="49"/>
    </row>
    <row r="80" spans="1:66" ht="15">
      <c r="A80" s="66" t="s">
        <v>269</v>
      </c>
      <c r="B80" s="66" t="s">
        <v>289</v>
      </c>
      <c r="C80" s="67" t="s">
        <v>1011</v>
      </c>
      <c r="D80" s="68">
        <v>3</v>
      </c>
      <c r="E80" s="69" t="s">
        <v>132</v>
      </c>
      <c r="F80" s="70">
        <v>32</v>
      </c>
      <c r="G80" s="67"/>
      <c r="H80" s="71"/>
      <c r="I80" s="72"/>
      <c r="J80" s="72"/>
      <c r="K80" s="35" t="s">
        <v>65</v>
      </c>
      <c r="L80" s="80">
        <v>80</v>
      </c>
      <c r="M80" s="80"/>
      <c r="N80" s="74"/>
      <c r="O80" s="82" t="s">
        <v>303</v>
      </c>
      <c r="P80" s="84">
        <v>44483.37899305556</v>
      </c>
      <c r="Q80" s="82" t="s">
        <v>323</v>
      </c>
      <c r="R80" s="82"/>
      <c r="S80" s="82"/>
      <c r="T80" s="82"/>
      <c r="U80" s="82"/>
      <c r="V80" s="85" t="str">
        <f>HYPERLINK("https://pbs.twimg.com/profile_images/1087809551213170688/cOEI5i_z_normal.jpg")</f>
        <v>https://pbs.twimg.com/profile_images/1087809551213170688/cOEI5i_z_normal.jpg</v>
      </c>
      <c r="W80" s="84">
        <v>44483.37899305556</v>
      </c>
      <c r="X80" s="89">
        <v>44483</v>
      </c>
      <c r="Y80" s="86" t="s">
        <v>368</v>
      </c>
      <c r="Z80" s="85" t="str">
        <f>HYPERLINK("https://twitter.com/daphneh236/status/1448575746755137537")</f>
        <v>https://twitter.com/daphneh236/status/1448575746755137537</v>
      </c>
      <c r="AA80" s="82"/>
      <c r="AB80" s="82"/>
      <c r="AC80" s="86" t="s">
        <v>409</v>
      </c>
      <c r="AD80" s="86" t="s">
        <v>431</v>
      </c>
      <c r="AE80" s="82" t="b">
        <v>0</v>
      </c>
      <c r="AF80" s="82">
        <v>14</v>
      </c>
      <c r="AG80" s="86" t="s">
        <v>432</v>
      </c>
      <c r="AH80" s="82" t="b">
        <v>0</v>
      </c>
      <c r="AI80" s="82" t="s">
        <v>439</v>
      </c>
      <c r="AJ80" s="82"/>
      <c r="AK80" s="86" t="s">
        <v>441</v>
      </c>
      <c r="AL80" s="82" t="b">
        <v>0</v>
      </c>
      <c r="AM80" s="82">
        <v>5</v>
      </c>
      <c r="AN80" s="86" t="s">
        <v>441</v>
      </c>
      <c r="AO80" s="86" t="s">
        <v>444</v>
      </c>
      <c r="AP80" s="82" t="b">
        <v>0</v>
      </c>
      <c r="AQ80" s="86" t="s">
        <v>431</v>
      </c>
      <c r="AR80" s="82"/>
      <c r="AS80" s="82">
        <v>0</v>
      </c>
      <c r="AT80" s="82">
        <v>0</v>
      </c>
      <c r="AU80" s="82"/>
      <c r="AV80" s="82"/>
      <c r="AW80" s="82"/>
      <c r="AX80" s="82"/>
      <c r="AY80" s="82"/>
      <c r="AZ80" s="82"/>
      <c r="BA80" s="82"/>
      <c r="BB80" s="82"/>
      <c r="BC80">
        <v>1</v>
      </c>
      <c r="BD80" s="81" t="str">
        <f>REPLACE(INDEX(GroupVertices[Group],MATCH(Edges[[#This Row],[Vertex 1]],GroupVertices[Vertex],0)),1,1,"")</f>
        <v>2</v>
      </c>
      <c r="BE80" s="81" t="str">
        <f>REPLACE(INDEX(GroupVertices[Group],MATCH(Edges[[#This Row],[Vertex 2]],GroupVertices[Vertex],0)),1,1,"")</f>
        <v>1</v>
      </c>
      <c r="BF80" s="49">
        <v>0</v>
      </c>
      <c r="BG80" s="50">
        <v>0</v>
      </c>
      <c r="BH80" s="49">
        <v>2</v>
      </c>
      <c r="BI80" s="50">
        <v>3.7735849056603774</v>
      </c>
      <c r="BJ80" s="49">
        <v>0</v>
      </c>
      <c r="BK80" s="50">
        <v>0</v>
      </c>
      <c r="BL80" s="49">
        <v>51</v>
      </c>
      <c r="BM80" s="50">
        <v>96.22641509433963</v>
      </c>
      <c r="BN80" s="49">
        <v>53</v>
      </c>
    </row>
    <row r="81" spans="1:66" ht="15">
      <c r="A81" s="66" t="s">
        <v>270</v>
      </c>
      <c r="B81" s="66" t="s">
        <v>290</v>
      </c>
      <c r="C81" s="67" t="s">
        <v>1011</v>
      </c>
      <c r="D81" s="68">
        <v>3</v>
      </c>
      <c r="E81" s="69" t="s">
        <v>132</v>
      </c>
      <c r="F81" s="70">
        <v>32</v>
      </c>
      <c r="G81" s="67"/>
      <c r="H81" s="71"/>
      <c r="I81" s="72"/>
      <c r="J81" s="72"/>
      <c r="K81" s="35" t="s">
        <v>65</v>
      </c>
      <c r="L81" s="80">
        <v>81</v>
      </c>
      <c r="M81" s="80"/>
      <c r="N81" s="74"/>
      <c r="O81" s="82" t="s">
        <v>302</v>
      </c>
      <c r="P81" s="84">
        <v>44483.75745370371</v>
      </c>
      <c r="Q81" s="82" t="s">
        <v>324</v>
      </c>
      <c r="R81" s="82"/>
      <c r="S81" s="82"/>
      <c r="T81" s="82"/>
      <c r="U81" s="82"/>
      <c r="V81" s="85" t="str">
        <f>HYPERLINK("https://pbs.twimg.com/profile_images/1011381587307581441/hP0nEr8v_normal.jpg")</f>
        <v>https://pbs.twimg.com/profile_images/1011381587307581441/hP0nEr8v_normal.jpg</v>
      </c>
      <c r="W81" s="84">
        <v>44483.75745370371</v>
      </c>
      <c r="X81" s="89">
        <v>44483</v>
      </c>
      <c r="Y81" s="86" t="s">
        <v>369</v>
      </c>
      <c r="Z81" s="85" t="str">
        <f>HYPERLINK("https://twitter.com/mrsmoviefan/status/1448712895769026560")</f>
        <v>https://twitter.com/mrsmoviefan/status/1448712895769026560</v>
      </c>
      <c r="AA81" s="82"/>
      <c r="AB81" s="82"/>
      <c r="AC81" s="86" t="s">
        <v>410</v>
      </c>
      <c r="AD81" s="86" t="s">
        <v>431</v>
      </c>
      <c r="AE81" s="82" t="b">
        <v>0</v>
      </c>
      <c r="AF81" s="82">
        <v>2</v>
      </c>
      <c r="AG81" s="86" t="s">
        <v>432</v>
      </c>
      <c r="AH81" s="82" t="b">
        <v>0</v>
      </c>
      <c r="AI81" s="82" t="s">
        <v>439</v>
      </c>
      <c r="AJ81" s="82"/>
      <c r="AK81" s="86" t="s">
        <v>441</v>
      </c>
      <c r="AL81" s="82" t="b">
        <v>0</v>
      </c>
      <c r="AM81" s="82">
        <v>0</v>
      </c>
      <c r="AN81" s="86" t="s">
        <v>441</v>
      </c>
      <c r="AO81" s="86" t="s">
        <v>445</v>
      </c>
      <c r="AP81" s="82" t="b">
        <v>0</v>
      </c>
      <c r="AQ81" s="86" t="s">
        <v>431</v>
      </c>
      <c r="AR81" s="82"/>
      <c r="AS81" s="82">
        <v>0</v>
      </c>
      <c r="AT81" s="82">
        <v>0</v>
      </c>
      <c r="AU81" s="82"/>
      <c r="AV81" s="82"/>
      <c r="AW81" s="82"/>
      <c r="AX81" s="82"/>
      <c r="AY81" s="82"/>
      <c r="AZ81" s="82"/>
      <c r="BA81" s="82"/>
      <c r="BB81" s="82"/>
      <c r="BC81">
        <v>1</v>
      </c>
      <c r="BD81" s="81" t="str">
        <f>REPLACE(INDEX(GroupVertices[Group],MATCH(Edges[[#This Row],[Vertex 1]],GroupVertices[Vertex],0)),1,1,"")</f>
        <v>1</v>
      </c>
      <c r="BE81" s="81" t="str">
        <f>REPLACE(INDEX(GroupVertices[Group],MATCH(Edges[[#This Row],[Vertex 2]],GroupVertices[Vertex],0)),1,1,"")</f>
        <v>1</v>
      </c>
      <c r="BF81" s="49"/>
      <c r="BG81" s="50"/>
      <c r="BH81" s="49"/>
      <c r="BI81" s="50"/>
      <c r="BJ81" s="49"/>
      <c r="BK81" s="50"/>
      <c r="BL81" s="49"/>
      <c r="BM81" s="50"/>
      <c r="BN81" s="49"/>
    </row>
    <row r="82" spans="1:66" ht="15">
      <c r="A82" s="66" t="s">
        <v>270</v>
      </c>
      <c r="B82" s="66" t="s">
        <v>291</v>
      </c>
      <c r="C82" s="67" t="s">
        <v>1011</v>
      </c>
      <c r="D82" s="68">
        <v>3</v>
      </c>
      <c r="E82" s="69" t="s">
        <v>132</v>
      </c>
      <c r="F82" s="70">
        <v>32</v>
      </c>
      <c r="G82" s="67"/>
      <c r="H82" s="71"/>
      <c r="I82" s="72"/>
      <c r="J82" s="72"/>
      <c r="K82" s="35" t="s">
        <v>65</v>
      </c>
      <c r="L82" s="80">
        <v>82</v>
      </c>
      <c r="M82" s="80"/>
      <c r="N82" s="74"/>
      <c r="O82" s="82" t="s">
        <v>302</v>
      </c>
      <c r="P82" s="84">
        <v>44483.75745370371</v>
      </c>
      <c r="Q82" s="82" t="s">
        <v>324</v>
      </c>
      <c r="R82" s="82"/>
      <c r="S82" s="82"/>
      <c r="T82" s="82"/>
      <c r="U82" s="82"/>
      <c r="V82" s="85" t="str">
        <f>HYPERLINK("https://pbs.twimg.com/profile_images/1011381587307581441/hP0nEr8v_normal.jpg")</f>
        <v>https://pbs.twimg.com/profile_images/1011381587307581441/hP0nEr8v_normal.jpg</v>
      </c>
      <c r="W82" s="84">
        <v>44483.75745370371</v>
      </c>
      <c r="X82" s="89">
        <v>44483</v>
      </c>
      <c r="Y82" s="86" t="s">
        <v>369</v>
      </c>
      <c r="Z82" s="85" t="str">
        <f>HYPERLINK("https://twitter.com/mrsmoviefan/status/1448712895769026560")</f>
        <v>https://twitter.com/mrsmoviefan/status/1448712895769026560</v>
      </c>
      <c r="AA82" s="82"/>
      <c r="AB82" s="82"/>
      <c r="AC82" s="86" t="s">
        <v>410</v>
      </c>
      <c r="AD82" s="86" t="s">
        <v>431</v>
      </c>
      <c r="AE82" s="82" t="b">
        <v>0</v>
      </c>
      <c r="AF82" s="82">
        <v>2</v>
      </c>
      <c r="AG82" s="86" t="s">
        <v>432</v>
      </c>
      <c r="AH82" s="82" t="b">
        <v>0</v>
      </c>
      <c r="AI82" s="82" t="s">
        <v>439</v>
      </c>
      <c r="AJ82" s="82"/>
      <c r="AK82" s="86" t="s">
        <v>441</v>
      </c>
      <c r="AL82" s="82" t="b">
        <v>0</v>
      </c>
      <c r="AM82" s="82">
        <v>0</v>
      </c>
      <c r="AN82" s="86" t="s">
        <v>441</v>
      </c>
      <c r="AO82" s="86" t="s">
        <v>445</v>
      </c>
      <c r="AP82" s="82" t="b">
        <v>0</v>
      </c>
      <c r="AQ82" s="86" t="s">
        <v>431</v>
      </c>
      <c r="AR82" s="82"/>
      <c r="AS82" s="82">
        <v>0</v>
      </c>
      <c r="AT82" s="82">
        <v>0</v>
      </c>
      <c r="AU82" s="82"/>
      <c r="AV82" s="82"/>
      <c r="AW82" s="82"/>
      <c r="AX82" s="82"/>
      <c r="AY82" s="82"/>
      <c r="AZ82" s="82"/>
      <c r="BA82" s="82"/>
      <c r="BB82" s="82"/>
      <c r="BC82">
        <v>1</v>
      </c>
      <c r="BD82" s="81" t="str">
        <f>REPLACE(INDEX(GroupVertices[Group],MATCH(Edges[[#This Row],[Vertex 1]],GroupVertices[Vertex],0)),1,1,"")</f>
        <v>1</v>
      </c>
      <c r="BE82" s="81" t="str">
        <f>REPLACE(INDEX(GroupVertices[Group],MATCH(Edges[[#This Row],[Vertex 2]],GroupVertices[Vertex],0)),1,1,"")</f>
        <v>1</v>
      </c>
      <c r="BF82" s="49"/>
      <c r="BG82" s="50"/>
      <c r="BH82" s="49"/>
      <c r="BI82" s="50"/>
      <c r="BJ82" s="49"/>
      <c r="BK82" s="50"/>
      <c r="BL82" s="49"/>
      <c r="BM82" s="50"/>
      <c r="BN82" s="49"/>
    </row>
    <row r="83" spans="1:66" ht="15">
      <c r="A83" s="66" t="s">
        <v>270</v>
      </c>
      <c r="B83" s="66" t="s">
        <v>289</v>
      </c>
      <c r="C83" s="67" t="s">
        <v>1011</v>
      </c>
      <c r="D83" s="68">
        <v>3</v>
      </c>
      <c r="E83" s="69" t="s">
        <v>132</v>
      </c>
      <c r="F83" s="70">
        <v>32</v>
      </c>
      <c r="G83" s="67"/>
      <c r="H83" s="71"/>
      <c r="I83" s="72"/>
      <c r="J83" s="72"/>
      <c r="K83" s="35" t="s">
        <v>65</v>
      </c>
      <c r="L83" s="80">
        <v>83</v>
      </c>
      <c r="M83" s="80"/>
      <c r="N83" s="74"/>
      <c r="O83" s="82" t="s">
        <v>303</v>
      </c>
      <c r="P83" s="84">
        <v>44483.75745370371</v>
      </c>
      <c r="Q83" s="82" t="s">
        <v>324</v>
      </c>
      <c r="R83" s="82"/>
      <c r="S83" s="82"/>
      <c r="T83" s="82"/>
      <c r="U83" s="82"/>
      <c r="V83" s="85" t="str">
        <f>HYPERLINK("https://pbs.twimg.com/profile_images/1011381587307581441/hP0nEr8v_normal.jpg")</f>
        <v>https://pbs.twimg.com/profile_images/1011381587307581441/hP0nEr8v_normal.jpg</v>
      </c>
      <c r="W83" s="84">
        <v>44483.75745370371</v>
      </c>
      <c r="X83" s="89">
        <v>44483</v>
      </c>
      <c r="Y83" s="86" t="s">
        <v>369</v>
      </c>
      <c r="Z83" s="85" t="str">
        <f>HYPERLINK("https://twitter.com/mrsmoviefan/status/1448712895769026560")</f>
        <v>https://twitter.com/mrsmoviefan/status/1448712895769026560</v>
      </c>
      <c r="AA83" s="82"/>
      <c r="AB83" s="82"/>
      <c r="AC83" s="86" t="s">
        <v>410</v>
      </c>
      <c r="AD83" s="86" t="s">
        <v>431</v>
      </c>
      <c r="AE83" s="82" t="b">
        <v>0</v>
      </c>
      <c r="AF83" s="82">
        <v>2</v>
      </c>
      <c r="AG83" s="86" t="s">
        <v>432</v>
      </c>
      <c r="AH83" s="82" t="b">
        <v>0</v>
      </c>
      <c r="AI83" s="82" t="s">
        <v>439</v>
      </c>
      <c r="AJ83" s="82"/>
      <c r="AK83" s="86" t="s">
        <v>441</v>
      </c>
      <c r="AL83" s="82" t="b">
        <v>0</v>
      </c>
      <c r="AM83" s="82">
        <v>0</v>
      </c>
      <c r="AN83" s="86" t="s">
        <v>441</v>
      </c>
      <c r="AO83" s="86" t="s">
        <v>445</v>
      </c>
      <c r="AP83" s="82" t="b">
        <v>0</v>
      </c>
      <c r="AQ83" s="86" t="s">
        <v>431</v>
      </c>
      <c r="AR83" s="82"/>
      <c r="AS83" s="82">
        <v>0</v>
      </c>
      <c r="AT83" s="82">
        <v>0</v>
      </c>
      <c r="AU83" s="82"/>
      <c r="AV83" s="82"/>
      <c r="AW83" s="82"/>
      <c r="AX83" s="82"/>
      <c r="AY83" s="82"/>
      <c r="AZ83" s="82"/>
      <c r="BA83" s="82"/>
      <c r="BB83" s="82"/>
      <c r="BC83">
        <v>1</v>
      </c>
      <c r="BD83" s="81" t="str">
        <f>REPLACE(INDEX(GroupVertices[Group],MATCH(Edges[[#This Row],[Vertex 1]],GroupVertices[Vertex],0)),1,1,"")</f>
        <v>1</v>
      </c>
      <c r="BE83" s="81" t="str">
        <f>REPLACE(INDEX(GroupVertices[Group],MATCH(Edges[[#This Row],[Vertex 2]],GroupVertices[Vertex],0)),1,1,"")</f>
        <v>1</v>
      </c>
      <c r="BF83" s="49">
        <v>0</v>
      </c>
      <c r="BG83" s="50">
        <v>0</v>
      </c>
      <c r="BH83" s="49">
        <v>2</v>
      </c>
      <c r="BI83" s="50">
        <v>11.764705882352942</v>
      </c>
      <c r="BJ83" s="49">
        <v>0</v>
      </c>
      <c r="BK83" s="50">
        <v>0</v>
      </c>
      <c r="BL83" s="49">
        <v>15</v>
      </c>
      <c r="BM83" s="50">
        <v>88.23529411764706</v>
      </c>
      <c r="BN83" s="49">
        <v>17</v>
      </c>
    </row>
    <row r="84" spans="1:66" ht="15">
      <c r="A84" s="66" t="s">
        <v>271</v>
      </c>
      <c r="B84" s="66" t="s">
        <v>290</v>
      </c>
      <c r="C84" s="67" t="s">
        <v>1011</v>
      </c>
      <c r="D84" s="68">
        <v>3</v>
      </c>
      <c r="E84" s="69" t="s">
        <v>132</v>
      </c>
      <c r="F84" s="70">
        <v>32</v>
      </c>
      <c r="G84" s="67"/>
      <c r="H84" s="71"/>
      <c r="I84" s="72"/>
      <c r="J84" s="72"/>
      <c r="K84" s="35" t="s">
        <v>65</v>
      </c>
      <c r="L84" s="80">
        <v>84</v>
      </c>
      <c r="M84" s="80"/>
      <c r="N84" s="74"/>
      <c r="O84" s="82" t="s">
        <v>302</v>
      </c>
      <c r="P84" s="84">
        <v>44483.42972222222</v>
      </c>
      <c r="Q84" s="82" t="s">
        <v>325</v>
      </c>
      <c r="R84" s="82"/>
      <c r="S84" s="82"/>
      <c r="T84" s="82"/>
      <c r="U84" s="82"/>
      <c r="V84" s="85" t="str">
        <f>HYPERLINK("https://abs.twimg.com/sticky/default_profile_images/default_profile_normal.png")</f>
        <v>https://abs.twimg.com/sticky/default_profile_images/default_profile_normal.png</v>
      </c>
      <c r="W84" s="84">
        <v>44483.42972222222</v>
      </c>
      <c r="X84" s="89">
        <v>44483</v>
      </c>
      <c r="Y84" s="86" t="s">
        <v>370</v>
      </c>
      <c r="Z84" s="85" t="str">
        <f>HYPERLINK("https://twitter.com/robhughes4/status/1448594129273954306")</f>
        <v>https://twitter.com/robhughes4/status/1448594129273954306</v>
      </c>
      <c r="AA84" s="82"/>
      <c r="AB84" s="82"/>
      <c r="AC84" s="86" t="s">
        <v>411</v>
      </c>
      <c r="AD84" s="86" t="s">
        <v>431</v>
      </c>
      <c r="AE84" s="82" t="b">
        <v>0</v>
      </c>
      <c r="AF84" s="82">
        <v>1</v>
      </c>
      <c r="AG84" s="86" t="s">
        <v>432</v>
      </c>
      <c r="AH84" s="82" t="b">
        <v>0</v>
      </c>
      <c r="AI84" s="82" t="s">
        <v>440</v>
      </c>
      <c r="AJ84" s="82"/>
      <c r="AK84" s="86" t="s">
        <v>441</v>
      </c>
      <c r="AL84" s="82" t="b">
        <v>0</v>
      </c>
      <c r="AM84" s="82">
        <v>0</v>
      </c>
      <c r="AN84" s="86" t="s">
        <v>441</v>
      </c>
      <c r="AO84" s="86" t="s">
        <v>445</v>
      </c>
      <c r="AP84" s="82" t="b">
        <v>0</v>
      </c>
      <c r="AQ84" s="86" t="s">
        <v>431</v>
      </c>
      <c r="AR84" s="82"/>
      <c r="AS84" s="82">
        <v>0</v>
      </c>
      <c r="AT84" s="82">
        <v>0</v>
      </c>
      <c r="AU84" s="82"/>
      <c r="AV84" s="82"/>
      <c r="AW84" s="82"/>
      <c r="AX84" s="82"/>
      <c r="AY84" s="82"/>
      <c r="AZ84" s="82"/>
      <c r="BA84" s="82"/>
      <c r="BB84" s="82"/>
      <c r="BC84">
        <v>1</v>
      </c>
      <c r="BD84" s="81" t="str">
        <f>REPLACE(INDEX(GroupVertices[Group],MATCH(Edges[[#This Row],[Vertex 1]],GroupVertices[Vertex],0)),1,1,"")</f>
        <v>1</v>
      </c>
      <c r="BE84" s="81" t="str">
        <f>REPLACE(INDEX(GroupVertices[Group],MATCH(Edges[[#This Row],[Vertex 2]],GroupVertices[Vertex],0)),1,1,"")</f>
        <v>1</v>
      </c>
      <c r="BF84" s="49"/>
      <c r="BG84" s="50"/>
      <c r="BH84" s="49"/>
      <c r="BI84" s="50"/>
      <c r="BJ84" s="49"/>
      <c r="BK84" s="50"/>
      <c r="BL84" s="49"/>
      <c r="BM84" s="50"/>
      <c r="BN84" s="49"/>
    </row>
    <row r="85" spans="1:66" ht="15">
      <c r="A85" s="66" t="s">
        <v>271</v>
      </c>
      <c r="B85" s="66" t="s">
        <v>291</v>
      </c>
      <c r="C85" s="67" t="s">
        <v>1011</v>
      </c>
      <c r="D85" s="68">
        <v>3</v>
      </c>
      <c r="E85" s="69" t="s">
        <v>132</v>
      </c>
      <c r="F85" s="70">
        <v>32</v>
      </c>
      <c r="G85" s="67"/>
      <c r="H85" s="71"/>
      <c r="I85" s="72"/>
      <c r="J85" s="72"/>
      <c r="K85" s="35" t="s">
        <v>65</v>
      </c>
      <c r="L85" s="80">
        <v>85</v>
      </c>
      <c r="M85" s="80"/>
      <c r="N85" s="74"/>
      <c r="O85" s="82" t="s">
        <v>302</v>
      </c>
      <c r="P85" s="84">
        <v>44483.42972222222</v>
      </c>
      <c r="Q85" s="82" t="s">
        <v>325</v>
      </c>
      <c r="R85" s="82"/>
      <c r="S85" s="82"/>
      <c r="T85" s="82"/>
      <c r="U85" s="82"/>
      <c r="V85" s="85" t="str">
        <f>HYPERLINK("https://abs.twimg.com/sticky/default_profile_images/default_profile_normal.png")</f>
        <v>https://abs.twimg.com/sticky/default_profile_images/default_profile_normal.png</v>
      </c>
      <c r="W85" s="84">
        <v>44483.42972222222</v>
      </c>
      <c r="X85" s="89">
        <v>44483</v>
      </c>
      <c r="Y85" s="86" t="s">
        <v>370</v>
      </c>
      <c r="Z85" s="85" t="str">
        <f>HYPERLINK("https://twitter.com/robhughes4/status/1448594129273954306")</f>
        <v>https://twitter.com/robhughes4/status/1448594129273954306</v>
      </c>
      <c r="AA85" s="82"/>
      <c r="AB85" s="82"/>
      <c r="AC85" s="86" t="s">
        <v>411</v>
      </c>
      <c r="AD85" s="86" t="s">
        <v>431</v>
      </c>
      <c r="AE85" s="82" t="b">
        <v>0</v>
      </c>
      <c r="AF85" s="82">
        <v>1</v>
      </c>
      <c r="AG85" s="86" t="s">
        <v>432</v>
      </c>
      <c r="AH85" s="82" t="b">
        <v>0</v>
      </c>
      <c r="AI85" s="82" t="s">
        <v>440</v>
      </c>
      <c r="AJ85" s="82"/>
      <c r="AK85" s="86" t="s">
        <v>441</v>
      </c>
      <c r="AL85" s="82" t="b">
        <v>0</v>
      </c>
      <c r="AM85" s="82">
        <v>0</v>
      </c>
      <c r="AN85" s="86" t="s">
        <v>441</v>
      </c>
      <c r="AO85" s="86" t="s">
        <v>445</v>
      </c>
      <c r="AP85" s="82" t="b">
        <v>0</v>
      </c>
      <c r="AQ85" s="86" t="s">
        <v>431</v>
      </c>
      <c r="AR85" s="82"/>
      <c r="AS85" s="82">
        <v>0</v>
      </c>
      <c r="AT85" s="82">
        <v>0</v>
      </c>
      <c r="AU85" s="82"/>
      <c r="AV85" s="82"/>
      <c r="AW85" s="82"/>
      <c r="AX85" s="82"/>
      <c r="AY85" s="82"/>
      <c r="AZ85" s="82"/>
      <c r="BA85" s="82"/>
      <c r="BB85" s="82"/>
      <c r="BC85">
        <v>1</v>
      </c>
      <c r="BD85" s="81" t="str">
        <f>REPLACE(INDEX(GroupVertices[Group],MATCH(Edges[[#This Row],[Vertex 1]],GroupVertices[Vertex],0)),1,1,"")</f>
        <v>1</v>
      </c>
      <c r="BE85" s="81" t="str">
        <f>REPLACE(INDEX(GroupVertices[Group],MATCH(Edges[[#This Row],[Vertex 2]],GroupVertices[Vertex],0)),1,1,"")</f>
        <v>1</v>
      </c>
      <c r="BF85" s="49"/>
      <c r="BG85" s="50"/>
      <c r="BH85" s="49"/>
      <c r="BI85" s="50"/>
      <c r="BJ85" s="49"/>
      <c r="BK85" s="50"/>
      <c r="BL85" s="49"/>
      <c r="BM85" s="50"/>
      <c r="BN85" s="49"/>
    </row>
    <row r="86" spans="1:66" ht="15">
      <c r="A86" s="66" t="s">
        <v>271</v>
      </c>
      <c r="B86" s="66" t="s">
        <v>289</v>
      </c>
      <c r="C86" s="67" t="s">
        <v>1011</v>
      </c>
      <c r="D86" s="68">
        <v>3</v>
      </c>
      <c r="E86" s="69" t="s">
        <v>132</v>
      </c>
      <c r="F86" s="70">
        <v>32</v>
      </c>
      <c r="G86" s="67"/>
      <c r="H86" s="71"/>
      <c r="I86" s="72"/>
      <c r="J86" s="72"/>
      <c r="K86" s="35" t="s">
        <v>65</v>
      </c>
      <c r="L86" s="80">
        <v>86</v>
      </c>
      <c r="M86" s="80"/>
      <c r="N86" s="74"/>
      <c r="O86" s="82" t="s">
        <v>303</v>
      </c>
      <c r="P86" s="84">
        <v>44483.42972222222</v>
      </c>
      <c r="Q86" s="82" t="s">
        <v>325</v>
      </c>
      <c r="R86" s="82"/>
      <c r="S86" s="82"/>
      <c r="T86" s="82"/>
      <c r="U86" s="82"/>
      <c r="V86" s="85" t="str">
        <f>HYPERLINK("https://abs.twimg.com/sticky/default_profile_images/default_profile_normal.png")</f>
        <v>https://abs.twimg.com/sticky/default_profile_images/default_profile_normal.png</v>
      </c>
      <c r="W86" s="84">
        <v>44483.42972222222</v>
      </c>
      <c r="X86" s="89">
        <v>44483</v>
      </c>
      <c r="Y86" s="86" t="s">
        <v>370</v>
      </c>
      <c r="Z86" s="85" t="str">
        <f>HYPERLINK("https://twitter.com/robhughes4/status/1448594129273954306")</f>
        <v>https://twitter.com/robhughes4/status/1448594129273954306</v>
      </c>
      <c r="AA86" s="82"/>
      <c r="AB86" s="82"/>
      <c r="AC86" s="86" t="s">
        <v>411</v>
      </c>
      <c r="AD86" s="86" t="s">
        <v>431</v>
      </c>
      <c r="AE86" s="82" t="b">
        <v>0</v>
      </c>
      <c r="AF86" s="82">
        <v>1</v>
      </c>
      <c r="AG86" s="86" t="s">
        <v>432</v>
      </c>
      <c r="AH86" s="82" t="b">
        <v>0</v>
      </c>
      <c r="AI86" s="82" t="s">
        <v>440</v>
      </c>
      <c r="AJ86" s="82"/>
      <c r="AK86" s="86" t="s">
        <v>441</v>
      </c>
      <c r="AL86" s="82" t="b">
        <v>0</v>
      </c>
      <c r="AM86" s="82">
        <v>0</v>
      </c>
      <c r="AN86" s="86" t="s">
        <v>441</v>
      </c>
      <c r="AO86" s="86" t="s">
        <v>445</v>
      </c>
      <c r="AP86" s="82" t="b">
        <v>0</v>
      </c>
      <c r="AQ86" s="86" t="s">
        <v>431</v>
      </c>
      <c r="AR86" s="82"/>
      <c r="AS86" s="82">
        <v>0</v>
      </c>
      <c r="AT86" s="82">
        <v>0</v>
      </c>
      <c r="AU86" s="82"/>
      <c r="AV86" s="82"/>
      <c r="AW86" s="82"/>
      <c r="AX86" s="82"/>
      <c r="AY86" s="82"/>
      <c r="AZ86" s="82"/>
      <c r="BA86" s="82"/>
      <c r="BB86" s="82"/>
      <c r="BC86">
        <v>1</v>
      </c>
      <c r="BD86" s="81" t="str">
        <f>REPLACE(INDEX(GroupVertices[Group],MATCH(Edges[[#This Row],[Vertex 1]],GroupVertices[Vertex],0)),1,1,"")</f>
        <v>1</v>
      </c>
      <c r="BE86" s="81" t="str">
        <f>REPLACE(INDEX(GroupVertices[Group],MATCH(Edges[[#This Row],[Vertex 2]],GroupVertices[Vertex],0)),1,1,"")</f>
        <v>1</v>
      </c>
      <c r="BF86" s="49">
        <v>0</v>
      </c>
      <c r="BG86" s="50">
        <v>0</v>
      </c>
      <c r="BH86" s="49">
        <v>0</v>
      </c>
      <c r="BI86" s="50">
        <v>0</v>
      </c>
      <c r="BJ86" s="49">
        <v>0</v>
      </c>
      <c r="BK86" s="50">
        <v>0</v>
      </c>
      <c r="BL86" s="49">
        <v>3</v>
      </c>
      <c r="BM86" s="50">
        <v>100</v>
      </c>
      <c r="BN86" s="49">
        <v>3</v>
      </c>
    </row>
    <row r="87" spans="1:66" ht="15">
      <c r="A87" s="66" t="s">
        <v>272</v>
      </c>
      <c r="B87" s="66" t="s">
        <v>290</v>
      </c>
      <c r="C87" s="67" t="s">
        <v>1011</v>
      </c>
      <c r="D87" s="68">
        <v>3</v>
      </c>
      <c r="E87" s="69" t="s">
        <v>132</v>
      </c>
      <c r="F87" s="70">
        <v>32</v>
      </c>
      <c r="G87" s="67"/>
      <c r="H87" s="71"/>
      <c r="I87" s="72"/>
      <c r="J87" s="72"/>
      <c r="K87" s="35" t="s">
        <v>65</v>
      </c>
      <c r="L87" s="80">
        <v>87</v>
      </c>
      <c r="M87" s="80"/>
      <c r="N87" s="74"/>
      <c r="O87" s="82" t="s">
        <v>302</v>
      </c>
      <c r="P87" s="84">
        <v>44483.37409722222</v>
      </c>
      <c r="Q87" s="82" t="s">
        <v>326</v>
      </c>
      <c r="R87" s="82"/>
      <c r="S87" s="82"/>
      <c r="T87" s="82"/>
      <c r="U87" s="82"/>
      <c r="V87" s="85" t="str">
        <f>HYPERLINK("https://pbs.twimg.com/profile_images/1363792616270233600/f5XPsMI7_normal.jpg")</f>
        <v>https://pbs.twimg.com/profile_images/1363792616270233600/f5XPsMI7_normal.jpg</v>
      </c>
      <c r="W87" s="84">
        <v>44483.37409722222</v>
      </c>
      <c r="X87" s="89">
        <v>44483</v>
      </c>
      <c r="Y87" s="86" t="s">
        <v>371</v>
      </c>
      <c r="Z87" s="85" t="str">
        <f>HYPERLINK("https://twitter.com/sarahpegg9/status/1448573971453128704")</f>
        <v>https://twitter.com/sarahpegg9/status/1448573971453128704</v>
      </c>
      <c r="AA87" s="82"/>
      <c r="AB87" s="82"/>
      <c r="AC87" s="86" t="s">
        <v>412</v>
      </c>
      <c r="AD87" s="86" t="s">
        <v>431</v>
      </c>
      <c r="AE87" s="82" t="b">
        <v>0</v>
      </c>
      <c r="AF87" s="82">
        <v>30</v>
      </c>
      <c r="AG87" s="86" t="s">
        <v>432</v>
      </c>
      <c r="AH87" s="82" t="b">
        <v>0</v>
      </c>
      <c r="AI87" s="82" t="s">
        <v>439</v>
      </c>
      <c r="AJ87" s="82"/>
      <c r="AK87" s="86" t="s">
        <v>441</v>
      </c>
      <c r="AL87" s="82" t="b">
        <v>0</v>
      </c>
      <c r="AM87" s="82">
        <v>6</v>
      </c>
      <c r="AN87" s="86" t="s">
        <v>441</v>
      </c>
      <c r="AO87" s="86" t="s">
        <v>446</v>
      </c>
      <c r="AP87" s="82" t="b">
        <v>0</v>
      </c>
      <c r="AQ87" s="86" t="s">
        <v>431</v>
      </c>
      <c r="AR87" s="82"/>
      <c r="AS87" s="82">
        <v>0</v>
      </c>
      <c r="AT87" s="82">
        <v>0</v>
      </c>
      <c r="AU87" s="82"/>
      <c r="AV87" s="82"/>
      <c r="AW87" s="82"/>
      <c r="AX87" s="82"/>
      <c r="AY87" s="82"/>
      <c r="AZ87" s="82"/>
      <c r="BA87" s="82"/>
      <c r="BB87" s="82"/>
      <c r="BC87">
        <v>1</v>
      </c>
      <c r="BD87" s="81" t="str">
        <f>REPLACE(INDEX(GroupVertices[Group],MATCH(Edges[[#This Row],[Vertex 1]],GroupVertices[Vertex],0)),1,1,"")</f>
        <v>2</v>
      </c>
      <c r="BE87" s="81" t="str">
        <f>REPLACE(INDEX(GroupVertices[Group],MATCH(Edges[[#This Row],[Vertex 2]],GroupVertices[Vertex],0)),1,1,"")</f>
        <v>1</v>
      </c>
      <c r="BF87" s="49"/>
      <c r="BG87" s="50"/>
      <c r="BH87" s="49"/>
      <c r="BI87" s="50"/>
      <c r="BJ87" s="49"/>
      <c r="BK87" s="50"/>
      <c r="BL87" s="49"/>
      <c r="BM87" s="50"/>
      <c r="BN87" s="49"/>
    </row>
    <row r="88" spans="1:66" ht="15">
      <c r="A88" s="66" t="s">
        <v>272</v>
      </c>
      <c r="B88" s="66" t="s">
        <v>291</v>
      </c>
      <c r="C88" s="67" t="s">
        <v>1011</v>
      </c>
      <c r="D88" s="68">
        <v>3</v>
      </c>
      <c r="E88" s="69" t="s">
        <v>132</v>
      </c>
      <c r="F88" s="70">
        <v>32</v>
      </c>
      <c r="G88" s="67"/>
      <c r="H88" s="71"/>
      <c r="I88" s="72"/>
      <c r="J88" s="72"/>
      <c r="K88" s="35" t="s">
        <v>65</v>
      </c>
      <c r="L88" s="80">
        <v>88</v>
      </c>
      <c r="M88" s="80"/>
      <c r="N88" s="74"/>
      <c r="O88" s="82" t="s">
        <v>302</v>
      </c>
      <c r="P88" s="84">
        <v>44483.37409722222</v>
      </c>
      <c r="Q88" s="82" t="s">
        <v>326</v>
      </c>
      <c r="R88" s="82"/>
      <c r="S88" s="82"/>
      <c r="T88" s="82"/>
      <c r="U88" s="82"/>
      <c r="V88" s="85" t="str">
        <f>HYPERLINK("https://pbs.twimg.com/profile_images/1363792616270233600/f5XPsMI7_normal.jpg")</f>
        <v>https://pbs.twimg.com/profile_images/1363792616270233600/f5XPsMI7_normal.jpg</v>
      </c>
      <c r="W88" s="84">
        <v>44483.37409722222</v>
      </c>
      <c r="X88" s="89">
        <v>44483</v>
      </c>
      <c r="Y88" s="86" t="s">
        <v>371</v>
      </c>
      <c r="Z88" s="85" t="str">
        <f>HYPERLINK("https://twitter.com/sarahpegg9/status/1448573971453128704")</f>
        <v>https://twitter.com/sarahpegg9/status/1448573971453128704</v>
      </c>
      <c r="AA88" s="82"/>
      <c r="AB88" s="82"/>
      <c r="AC88" s="86" t="s">
        <v>412</v>
      </c>
      <c r="AD88" s="86" t="s">
        <v>431</v>
      </c>
      <c r="AE88" s="82" t="b">
        <v>0</v>
      </c>
      <c r="AF88" s="82">
        <v>30</v>
      </c>
      <c r="AG88" s="86" t="s">
        <v>432</v>
      </c>
      <c r="AH88" s="82" t="b">
        <v>0</v>
      </c>
      <c r="AI88" s="82" t="s">
        <v>439</v>
      </c>
      <c r="AJ88" s="82"/>
      <c r="AK88" s="86" t="s">
        <v>441</v>
      </c>
      <c r="AL88" s="82" t="b">
        <v>0</v>
      </c>
      <c r="AM88" s="82">
        <v>6</v>
      </c>
      <c r="AN88" s="86" t="s">
        <v>441</v>
      </c>
      <c r="AO88" s="86" t="s">
        <v>446</v>
      </c>
      <c r="AP88" s="82" t="b">
        <v>0</v>
      </c>
      <c r="AQ88" s="86" t="s">
        <v>431</v>
      </c>
      <c r="AR88" s="82"/>
      <c r="AS88" s="82">
        <v>0</v>
      </c>
      <c r="AT88" s="82">
        <v>0</v>
      </c>
      <c r="AU88" s="82"/>
      <c r="AV88" s="82"/>
      <c r="AW88" s="82"/>
      <c r="AX88" s="82"/>
      <c r="AY88" s="82"/>
      <c r="AZ88" s="82"/>
      <c r="BA88" s="82"/>
      <c r="BB88" s="82"/>
      <c r="BC88">
        <v>1</v>
      </c>
      <c r="BD88" s="81" t="str">
        <f>REPLACE(INDEX(GroupVertices[Group],MATCH(Edges[[#This Row],[Vertex 1]],GroupVertices[Vertex],0)),1,1,"")</f>
        <v>2</v>
      </c>
      <c r="BE88" s="81" t="str">
        <f>REPLACE(INDEX(GroupVertices[Group],MATCH(Edges[[#This Row],[Vertex 2]],GroupVertices[Vertex],0)),1,1,"")</f>
        <v>1</v>
      </c>
      <c r="BF88" s="49"/>
      <c r="BG88" s="50"/>
      <c r="BH88" s="49"/>
      <c r="BI88" s="50"/>
      <c r="BJ88" s="49"/>
      <c r="BK88" s="50"/>
      <c r="BL88" s="49"/>
      <c r="BM88" s="50"/>
      <c r="BN88" s="49"/>
    </row>
    <row r="89" spans="1:66" ht="15">
      <c r="A89" s="66" t="s">
        <v>272</v>
      </c>
      <c r="B89" s="66" t="s">
        <v>292</v>
      </c>
      <c r="C89" s="67" t="s">
        <v>1011</v>
      </c>
      <c r="D89" s="68">
        <v>3</v>
      </c>
      <c r="E89" s="69" t="s">
        <v>132</v>
      </c>
      <c r="F89" s="70">
        <v>32</v>
      </c>
      <c r="G89" s="67"/>
      <c r="H89" s="71"/>
      <c r="I89" s="72"/>
      <c r="J89" s="72"/>
      <c r="K89" s="35" t="s">
        <v>65</v>
      </c>
      <c r="L89" s="80">
        <v>89</v>
      </c>
      <c r="M89" s="80"/>
      <c r="N89" s="74"/>
      <c r="O89" s="82" t="s">
        <v>302</v>
      </c>
      <c r="P89" s="84">
        <v>44483.37409722222</v>
      </c>
      <c r="Q89" s="82" t="s">
        <v>326</v>
      </c>
      <c r="R89" s="82"/>
      <c r="S89" s="82"/>
      <c r="T89" s="82"/>
      <c r="U89" s="82"/>
      <c r="V89" s="85" t="str">
        <f>HYPERLINK("https://pbs.twimg.com/profile_images/1363792616270233600/f5XPsMI7_normal.jpg")</f>
        <v>https://pbs.twimg.com/profile_images/1363792616270233600/f5XPsMI7_normal.jpg</v>
      </c>
      <c r="W89" s="84">
        <v>44483.37409722222</v>
      </c>
      <c r="X89" s="89">
        <v>44483</v>
      </c>
      <c r="Y89" s="86" t="s">
        <v>371</v>
      </c>
      <c r="Z89" s="85" t="str">
        <f>HYPERLINK("https://twitter.com/sarahpegg9/status/1448573971453128704")</f>
        <v>https://twitter.com/sarahpegg9/status/1448573971453128704</v>
      </c>
      <c r="AA89" s="82"/>
      <c r="AB89" s="82"/>
      <c r="AC89" s="86" t="s">
        <v>412</v>
      </c>
      <c r="AD89" s="86" t="s">
        <v>431</v>
      </c>
      <c r="AE89" s="82" t="b">
        <v>0</v>
      </c>
      <c r="AF89" s="82">
        <v>30</v>
      </c>
      <c r="AG89" s="86" t="s">
        <v>432</v>
      </c>
      <c r="AH89" s="82" t="b">
        <v>0</v>
      </c>
      <c r="AI89" s="82" t="s">
        <v>439</v>
      </c>
      <c r="AJ89" s="82"/>
      <c r="AK89" s="86" t="s">
        <v>441</v>
      </c>
      <c r="AL89" s="82" t="b">
        <v>0</v>
      </c>
      <c r="AM89" s="82">
        <v>6</v>
      </c>
      <c r="AN89" s="86" t="s">
        <v>441</v>
      </c>
      <c r="AO89" s="86" t="s">
        <v>446</v>
      </c>
      <c r="AP89" s="82" t="b">
        <v>0</v>
      </c>
      <c r="AQ89" s="86" t="s">
        <v>431</v>
      </c>
      <c r="AR89" s="82"/>
      <c r="AS89" s="82">
        <v>0</v>
      </c>
      <c r="AT89" s="82">
        <v>0</v>
      </c>
      <c r="AU89" s="82"/>
      <c r="AV89" s="82"/>
      <c r="AW89" s="82"/>
      <c r="AX89" s="82"/>
      <c r="AY89" s="82"/>
      <c r="AZ89" s="82"/>
      <c r="BA89" s="82"/>
      <c r="BB89" s="82"/>
      <c r="BC89">
        <v>1</v>
      </c>
      <c r="BD89" s="81" t="str">
        <f>REPLACE(INDEX(GroupVertices[Group],MATCH(Edges[[#This Row],[Vertex 1]],GroupVertices[Vertex],0)),1,1,"")</f>
        <v>2</v>
      </c>
      <c r="BE89" s="81" t="str">
        <f>REPLACE(INDEX(GroupVertices[Group],MATCH(Edges[[#This Row],[Vertex 2]],GroupVertices[Vertex],0)),1,1,"")</f>
        <v>2</v>
      </c>
      <c r="BF89" s="49"/>
      <c r="BG89" s="50"/>
      <c r="BH89" s="49"/>
      <c r="BI89" s="50"/>
      <c r="BJ89" s="49"/>
      <c r="BK89" s="50"/>
      <c r="BL89" s="49"/>
      <c r="BM89" s="50"/>
      <c r="BN89" s="49"/>
    </row>
    <row r="90" spans="1:66" ht="15">
      <c r="A90" s="66" t="s">
        <v>272</v>
      </c>
      <c r="B90" s="66" t="s">
        <v>289</v>
      </c>
      <c r="C90" s="67" t="s">
        <v>1011</v>
      </c>
      <c r="D90" s="68">
        <v>3</v>
      </c>
      <c r="E90" s="69" t="s">
        <v>132</v>
      </c>
      <c r="F90" s="70">
        <v>32</v>
      </c>
      <c r="G90" s="67"/>
      <c r="H90" s="71"/>
      <c r="I90" s="72"/>
      <c r="J90" s="72"/>
      <c r="K90" s="35" t="s">
        <v>65</v>
      </c>
      <c r="L90" s="80">
        <v>90</v>
      </c>
      <c r="M90" s="80"/>
      <c r="N90" s="74"/>
      <c r="O90" s="82" t="s">
        <v>303</v>
      </c>
      <c r="P90" s="84">
        <v>44483.37409722222</v>
      </c>
      <c r="Q90" s="82" t="s">
        <v>326</v>
      </c>
      <c r="R90" s="82"/>
      <c r="S90" s="82"/>
      <c r="T90" s="82"/>
      <c r="U90" s="82"/>
      <c r="V90" s="85" t="str">
        <f>HYPERLINK("https://pbs.twimg.com/profile_images/1363792616270233600/f5XPsMI7_normal.jpg")</f>
        <v>https://pbs.twimg.com/profile_images/1363792616270233600/f5XPsMI7_normal.jpg</v>
      </c>
      <c r="W90" s="84">
        <v>44483.37409722222</v>
      </c>
      <c r="X90" s="89">
        <v>44483</v>
      </c>
      <c r="Y90" s="86" t="s">
        <v>371</v>
      </c>
      <c r="Z90" s="85" t="str">
        <f>HYPERLINK("https://twitter.com/sarahpegg9/status/1448573971453128704")</f>
        <v>https://twitter.com/sarahpegg9/status/1448573971453128704</v>
      </c>
      <c r="AA90" s="82"/>
      <c r="AB90" s="82"/>
      <c r="AC90" s="86" t="s">
        <v>412</v>
      </c>
      <c r="AD90" s="86" t="s">
        <v>431</v>
      </c>
      <c r="AE90" s="82" t="b">
        <v>0</v>
      </c>
      <c r="AF90" s="82">
        <v>30</v>
      </c>
      <c r="AG90" s="86" t="s">
        <v>432</v>
      </c>
      <c r="AH90" s="82" t="b">
        <v>0</v>
      </c>
      <c r="AI90" s="82" t="s">
        <v>439</v>
      </c>
      <c r="AJ90" s="82"/>
      <c r="AK90" s="86" t="s">
        <v>441</v>
      </c>
      <c r="AL90" s="82" t="b">
        <v>0</v>
      </c>
      <c r="AM90" s="82">
        <v>6</v>
      </c>
      <c r="AN90" s="86" t="s">
        <v>441</v>
      </c>
      <c r="AO90" s="86" t="s">
        <v>446</v>
      </c>
      <c r="AP90" s="82" t="b">
        <v>0</v>
      </c>
      <c r="AQ90" s="86" t="s">
        <v>431</v>
      </c>
      <c r="AR90" s="82"/>
      <c r="AS90" s="82">
        <v>0</v>
      </c>
      <c r="AT90" s="82">
        <v>0</v>
      </c>
      <c r="AU90" s="82"/>
      <c r="AV90" s="82"/>
      <c r="AW90" s="82"/>
      <c r="AX90" s="82"/>
      <c r="AY90" s="82"/>
      <c r="AZ90" s="82"/>
      <c r="BA90" s="82"/>
      <c r="BB90" s="82"/>
      <c r="BC90">
        <v>1</v>
      </c>
      <c r="BD90" s="81" t="str">
        <f>REPLACE(INDEX(GroupVertices[Group],MATCH(Edges[[#This Row],[Vertex 1]],GroupVertices[Vertex],0)),1,1,"")</f>
        <v>2</v>
      </c>
      <c r="BE90" s="81" t="str">
        <f>REPLACE(INDEX(GroupVertices[Group],MATCH(Edges[[#This Row],[Vertex 2]],GroupVertices[Vertex],0)),1,1,"")</f>
        <v>1</v>
      </c>
      <c r="BF90" s="49">
        <v>0</v>
      </c>
      <c r="BG90" s="50">
        <v>0</v>
      </c>
      <c r="BH90" s="49">
        <v>0</v>
      </c>
      <c r="BI90" s="50">
        <v>0</v>
      </c>
      <c r="BJ90" s="49">
        <v>0</v>
      </c>
      <c r="BK90" s="50">
        <v>0</v>
      </c>
      <c r="BL90" s="49">
        <v>16</v>
      </c>
      <c r="BM90" s="50">
        <v>100</v>
      </c>
      <c r="BN90" s="49">
        <v>16</v>
      </c>
    </row>
    <row r="91" spans="1:66" ht="15">
      <c r="A91" s="66" t="s">
        <v>273</v>
      </c>
      <c r="B91" s="66" t="s">
        <v>296</v>
      </c>
      <c r="C91" s="67" t="s">
        <v>1011</v>
      </c>
      <c r="D91" s="68">
        <v>3</v>
      </c>
      <c r="E91" s="69" t="s">
        <v>132</v>
      </c>
      <c r="F91" s="70">
        <v>32</v>
      </c>
      <c r="G91" s="67"/>
      <c r="H91" s="71"/>
      <c r="I91" s="72"/>
      <c r="J91" s="72"/>
      <c r="K91" s="35" t="s">
        <v>65</v>
      </c>
      <c r="L91" s="80">
        <v>91</v>
      </c>
      <c r="M91" s="80"/>
      <c r="N91" s="74"/>
      <c r="O91" s="82" t="s">
        <v>302</v>
      </c>
      <c r="P91" s="84">
        <v>44483.90385416667</v>
      </c>
      <c r="Q91" s="82" t="s">
        <v>327</v>
      </c>
      <c r="R91" s="82"/>
      <c r="S91" s="82"/>
      <c r="T91" s="82"/>
      <c r="U91" s="82"/>
      <c r="V91" s="85" t="str">
        <f>HYPERLINK("https://abs.twimg.com/sticky/default_profile_images/default_profile_normal.png")</f>
        <v>https://abs.twimg.com/sticky/default_profile_images/default_profile_normal.png</v>
      </c>
      <c r="W91" s="84">
        <v>44483.90385416667</v>
      </c>
      <c r="X91" s="89">
        <v>44483</v>
      </c>
      <c r="Y91" s="86" t="s">
        <v>372</v>
      </c>
      <c r="Z91" s="85" t="str">
        <f>HYPERLINK("https://twitter.com/jakbar1/status/1448765950170439682")</f>
        <v>https://twitter.com/jakbar1/status/1448765950170439682</v>
      </c>
      <c r="AA91" s="82"/>
      <c r="AB91" s="82"/>
      <c r="AC91" s="86" t="s">
        <v>413</v>
      </c>
      <c r="AD91" s="86" t="s">
        <v>431</v>
      </c>
      <c r="AE91" s="82" t="b">
        <v>0</v>
      </c>
      <c r="AF91" s="82">
        <v>0</v>
      </c>
      <c r="AG91" s="86" t="s">
        <v>432</v>
      </c>
      <c r="AH91" s="82" t="b">
        <v>0</v>
      </c>
      <c r="AI91" s="82" t="s">
        <v>439</v>
      </c>
      <c r="AJ91" s="82"/>
      <c r="AK91" s="86" t="s">
        <v>441</v>
      </c>
      <c r="AL91" s="82" t="b">
        <v>0</v>
      </c>
      <c r="AM91" s="82">
        <v>0</v>
      </c>
      <c r="AN91" s="86" t="s">
        <v>441</v>
      </c>
      <c r="AO91" s="86" t="s">
        <v>445</v>
      </c>
      <c r="AP91" s="82" t="b">
        <v>0</v>
      </c>
      <c r="AQ91" s="86" t="s">
        <v>431</v>
      </c>
      <c r="AR91" s="82"/>
      <c r="AS91" s="82">
        <v>0</v>
      </c>
      <c r="AT91" s="82">
        <v>0</v>
      </c>
      <c r="AU91" s="82"/>
      <c r="AV91" s="82"/>
      <c r="AW91" s="82"/>
      <c r="AX91" s="82"/>
      <c r="AY91" s="82"/>
      <c r="AZ91" s="82"/>
      <c r="BA91" s="82"/>
      <c r="BB91" s="82"/>
      <c r="BC91">
        <v>1</v>
      </c>
      <c r="BD91" s="81" t="str">
        <f>REPLACE(INDEX(GroupVertices[Group],MATCH(Edges[[#This Row],[Vertex 1]],GroupVertices[Vertex],0)),1,1,"")</f>
        <v>1</v>
      </c>
      <c r="BE91" s="81" t="str">
        <f>REPLACE(INDEX(GroupVertices[Group],MATCH(Edges[[#This Row],[Vertex 2]],GroupVertices[Vertex],0)),1,1,"")</f>
        <v>1</v>
      </c>
      <c r="BF91" s="49">
        <v>0</v>
      </c>
      <c r="BG91" s="50">
        <v>0</v>
      </c>
      <c r="BH91" s="49">
        <v>1</v>
      </c>
      <c r="BI91" s="50">
        <v>8.333333333333334</v>
      </c>
      <c r="BJ91" s="49">
        <v>0</v>
      </c>
      <c r="BK91" s="50">
        <v>0</v>
      </c>
      <c r="BL91" s="49">
        <v>11</v>
      </c>
      <c r="BM91" s="50">
        <v>91.66666666666667</v>
      </c>
      <c r="BN91" s="49">
        <v>12</v>
      </c>
    </row>
    <row r="92" spans="1:66" ht="15">
      <c r="A92" s="66" t="s">
        <v>273</v>
      </c>
      <c r="B92" s="66" t="s">
        <v>290</v>
      </c>
      <c r="C92" s="67" t="s">
        <v>1011</v>
      </c>
      <c r="D92" s="68">
        <v>3</v>
      </c>
      <c r="E92" s="69" t="s">
        <v>132</v>
      </c>
      <c r="F92" s="70">
        <v>32</v>
      </c>
      <c r="G92" s="67"/>
      <c r="H92" s="71"/>
      <c r="I92" s="72"/>
      <c r="J92" s="72"/>
      <c r="K92" s="35" t="s">
        <v>65</v>
      </c>
      <c r="L92" s="80">
        <v>92</v>
      </c>
      <c r="M92" s="80"/>
      <c r="N92" s="74"/>
      <c r="O92" s="82" t="s">
        <v>302</v>
      </c>
      <c r="P92" s="84">
        <v>44483.90385416667</v>
      </c>
      <c r="Q92" s="82" t="s">
        <v>327</v>
      </c>
      <c r="R92" s="82"/>
      <c r="S92" s="82"/>
      <c r="T92" s="82"/>
      <c r="U92" s="82"/>
      <c r="V92" s="85" t="str">
        <f>HYPERLINK("https://abs.twimg.com/sticky/default_profile_images/default_profile_normal.png")</f>
        <v>https://abs.twimg.com/sticky/default_profile_images/default_profile_normal.png</v>
      </c>
      <c r="W92" s="84">
        <v>44483.90385416667</v>
      </c>
      <c r="X92" s="89">
        <v>44483</v>
      </c>
      <c r="Y92" s="86" t="s">
        <v>372</v>
      </c>
      <c r="Z92" s="85" t="str">
        <f>HYPERLINK("https://twitter.com/jakbar1/status/1448765950170439682")</f>
        <v>https://twitter.com/jakbar1/status/1448765950170439682</v>
      </c>
      <c r="AA92" s="82"/>
      <c r="AB92" s="82"/>
      <c r="AC92" s="86" t="s">
        <v>413</v>
      </c>
      <c r="AD92" s="86" t="s">
        <v>431</v>
      </c>
      <c r="AE92" s="82" t="b">
        <v>0</v>
      </c>
      <c r="AF92" s="82">
        <v>0</v>
      </c>
      <c r="AG92" s="86" t="s">
        <v>432</v>
      </c>
      <c r="AH92" s="82" t="b">
        <v>0</v>
      </c>
      <c r="AI92" s="82" t="s">
        <v>439</v>
      </c>
      <c r="AJ92" s="82"/>
      <c r="AK92" s="86" t="s">
        <v>441</v>
      </c>
      <c r="AL92" s="82" t="b">
        <v>0</v>
      </c>
      <c r="AM92" s="82">
        <v>0</v>
      </c>
      <c r="AN92" s="86" t="s">
        <v>441</v>
      </c>
      <c r="AO92" s="86" t="s">
        <v>445</v>
      </c>
      <c r="AP92" s="82" t="b">
        <v>0</v>
      </c>
      <c r="AQ92" s="86" t="s">
        <v>431</v>
      </c>
      <c r="AR92" s="82"/>
      <c r="AS92" s="82">
        <v>0</v>
      </c>
      <c r="AT92" s="82">
        <v>0</v>
      </c>
      <c r="AU92" s="82"/>
      <c r="AV92" s="82"/>
      <c r="AW92" s="82"/>
      <c r="AX92" s="82"/>
      <c r="AY92" s="82"/>
      <c r="AZ92" s="82"/>
      <c r="BA92" s="82"/>
      <c r="BB92" s="82"/>
      <c r="BC92">
        <v>1</v>
      </c>
      <c r="BD92" s="81" t="str">
        <f>REPLACE(INDEX(GroupVertices[Group],MATCH(Edges[[#This Row],[Vertex 1]],GroupVertices[Vertex],0)),1,1,"")</f>
        <v>1</v>
      </c>
      <c r="BE92" s="81" t="str">
        <f>REPLACE(INDEX(GroupVertices[Group],MATCH(Edges[[#This Row],[Vertex 2]],GroupVertices[Vertex],0)),1,1,"")</f>
        <v>1</v>
      </c>
      <c r="BF92" s="49"/>
      <c r="BG92" s="50"/>
      <c r="BH92" s="49"/>
      <c r="BI92" s="50"/>
      <c r="BJ92" s="49"/>
      <c r="BK92" s="50"/>
      <c r="BL92" s="49"/>
      <c r="BM92" s="50"/>
      <c r="BN92" s="49"/>
    </row>
    <row r="93" spans="1:66" ht="15">
      <c r="A93" s="66" t="s">
        <v>273</v>
      </c>
      <c r="B93" s="66" t="s">
        <v>291</v>
      </c>
      <c r="C93" s="67" t="s">
        <v>1011</v>
      </c>
      <c r="D93" s="68">
        <v>3</v>
      </c>
      <c r="E93" s="69" t="s">
        <v>132</v>
      </c>
      <c r="F93" s="70">
        <v>32</v>
      </c>
      <c r="G93" s="67"/>
      <c r="H93" s="71"/>
      <c r="I93" s="72"/>
      <c r="J93" s="72"/>
      <c r="K93" s="35" t="s">
        <v>65</v>
      </c>
      <c r="L93" s="80">
        <v>93</v>
      </c>
      <c r="M93" s="80"/>
      <c r="N93" s="74"/>
      <c r="O93" s="82" t="s">
        <v>302</v>
      </c>
      <c r="P93" s="84">
        <v>44483.90385416667</v>
      </c>
      <c r="Q93" s="82" t="s">
        <v>327</v>
      </c>
      <c r="R93" s="82"/>
      <c r="S93" s="82"/>
      <c r="T93" s="82"/>
      <c r="U93" s="82"/>
      <c r="V93" s="85" t="str">
        <f>HYPERLINK("https://abs.twimg.com/sticky/default_profile_images/default_profile_normal.png")</f>
        <v>https://abs.twimg.com/sticky/default_profile_images/default_profile_normal.png</v>
      </c>
      <c r="W93" s="84">
        <v>44483.90385416667</v>
      </c>
      <c r="X93" s="89">
        <v>44483</v>
      </c>
      <c r="Y93" s="86" t="s">
        <v>372</v>
      </c>
      <c r="Z93" s="85" t="str">
        <f>HYPERLINK("https://twitter.com/jakbar1/status/1448765950170439682")</f>
        <v>https://twitter.com/jakbar1/status/1448765950170439682</v>
      </c>
      <c r="AA93" s="82"/>
      <c r="AB93" s="82"/>
      <c r="AC93" s="86" t="s">
        <v>413</v>
      </c>
      <c r="AD93" s="86" t="s">
        <v>431</v>
      </c>
      <c r="AE93" s="82" t="b">
        <v>0</v>
      </c>
      <c r="AF93" s="82">
        <v>0</v>
      </c>
      <c r="AG93" s="86" t="s">
        <v>432</v>
      </c>
      <c r="AH93" s="82" t="b">
        <v>0</v>
      </c>
      <c r="AI93" s="82" t="s">
        <v>439</v>
      </c>
      <c r="AJ93" s="82"/>
      <c r="AK93" s="86" t="s">
        <v>441</v>
      </c>
      <c r="AL93" s="82" t="b">
        <v>0</v>
      </c>
      <c r="AM93" s="82">
        <v>0</v>
      </c>
      <c r="AN93" s="86" t="s">
        <v>441</v>
      </c>
      <c r="AO93" s="86" t="s">
        <v>445</v>
      </c>
      <c r="AP93" s="82" t="b">
        <v>0</v>
      </c>
      <c r="AQ93" s="86" t="s">
        <v>431</v>
      </c>
      <c r="AR93" s="82"/>
      <c r="AS93" s="82">
        <v>0</v>
      </c>
      <c r="AT93" s="82">
        <v>0</v>
      </c>
      <c r="AU93" s="82"/>
      <c r="AV93" s="82"/>
      <c r="AW93" s="82"/>
      <c r="AX93" s="82"/>
      <c r="AY93" s="82"/>
      <c r="AZ93" s="82"/>
      <c r="BA93" s="82"/>
      <c r="BB93" s="82"/>
      <c r="BC93">
        <v>1</v>
      </c>
      <c r="BD93" s="81" t="str">
        <f>REPLACE(INDEX(GroupVertices[Group],MATCH(Edges[[#This Row],[Vertex 1]],GroupVertices[Vertex],0)),1,1,"")</f>
        <v>1</v>
      </c>
      <c r="BE93" s="81" t="str">
        <f>REPLACE(INDEX(GroupVertices[Group],MATCH(Edges[[#This Row],[Vertex 2]],GroupVertices[Vertex],0)),1,1,"")</f>
        <v>1</v>
      </c>
      <c r="BF93" s="49"/>
      <c r="BG93" s="50"/>
      <c r="BH93" s="49"/>
      <c r="BI93" s="50"/>
      <c r="BJ93" s="49"/>
      <c r="BK93" s="50"/>
      <c r="BL93" s="49"/>
      <c r="BM93" s="50"/>
      <c r="BN93" s="49"/>
    </row>
    <row r="94" spans="1:66" ht="15">
      <c r="A94" s="66" t="s">
        <v>273</v>
      </c>
      <c r="B94" s="66" t="s">
        <v>289</v>
      </c>
      <c r="C94" s="67" t="s">
        <v>1011</v>
      </c>
      <c r="D94" s="68">
        <v>3</v>
      </c>
      <c r="E94" s="69" t="s">
        <v>132</v>
      </c>
      <c r="F94" s="70">
        <v>32</v>
      </c>
      <c r="G94" s="67"/>
      <c r="H94" s="71"/>
      <c r="I94" s="72"/>
      <c r="J94" s="72"/>
      <c r="K94" s="35" t="s">
        <v>65</v>
      </c>
      <c r="L94" s="80">
        <v>94</v>
      </c>
      <c r="M94" s="80"/>
      <c r="N94" s="74"/>
      <c r="O94" s="82" t="s">
        <v>303</v>
      </c>
      <c r="P94" s="84">
        <v>44483.90385416667</v>
      </c>
      <c r="Q94" s="82" t="s">
        <v>327</v>
      </c>
      <c r="R94" s="82"/>
      <c r="S94" s="82"/>
      <c r="T94" s="82"/>
      <c r="U94" s="82"/>
      <c r="V94" s="85" t="str">
        <f>HYPERLINK("https://abs.twimg.com/sticky/default_profile_images/default_profile_normal.png")</f>
        <v>https://abs.twimg.com/sticky/default_profile_images/default_profile_normal.png</v>
      </c>
      <c r="W94" s="84">
        <v>44483.90385416667</v>
      </c>
      <c r="X94" s="89">
        <v>44483</v>
      </c>
      <c r="Y94" s="86" t="s">
        <v>372</v>
      </c>
      <c r="Z94" s="85" t="str">
        <f>HYPERLINK("https://twitter.com/jakbar1/status/1448765950170439682")</f>
        <v>https://twitter.com/jakbar1/status/1448765950170439682</v>
      </c>
      <c r="AA94" s="82"/>
      <c r="AB94" s="82"/>
      <c r="AC94" s="86" t="s">
        <v>413</v>
      </c>
      <c r="AD94" s="86" t="s">
        <v>431</v>
      </c>
      <c r="AE94" s="82" t="b">
        <v>0</v>
      </c>
      <c r="AF94" s="82">
        <v>0</v>
      </c>
      <c r="AG94" s="86" t="s">
        <v>432</v>
      </c>
      <c r="AH94" s="82" t="b">
        <v>0</v>
      </c>
      <c r="AI94" s="82" t="s">
        <v>439</v>
      </c>
      <c r="AJ94" s="82"/>
      <c r="AK94" s="86" t="s">
        <v>441</v>
      </c>
      <c r="AL94" s="82" t="b">
        <v>0</v>
      </c>
      <c r="AM94" s="82">
        <v>0</v>
      </c>
      <c r="AN94" s="86" t="s">
        <v>441</v>
      </c>
      <c r="AO94" s="86" t="s">
        <v>445</v>
      </c>
      <c r="AP94" s="82" t="b">
        <v>0</v>
      </c>
      <c r="AQ94" s="86" t="s">
        <v>431</v>
      </c>
      <c r="AR94" s="82"/>
      <c r="AS94" s="82">
        <v>0</v>
      </c>
      <c r="AT94" s="82">
        <v>0</v>
      </c>
      <c r="AU94" s="82"/>
      <c r="AV94" s="82"/>
      <c r="AW94" s="82"/>
      <c r="AX94" s="82"/>
      <c r="AY94" s="82"/>
      <c r="AZ94" s="82"/>
      <c r="BA94" s="82"/>
      <c r="BB94" s="82"/>
      <c r="BC94">
        <v>1</v>
      </c>
      <c r="BD94" s="81" t="str">
        <f>REPLACE(INDEX(GroupVertices[Group],MATCH(Edges[[#This Row],[Vertex 1]],GroupVertices[Vertex],0)),1,1,"")</f>
        <v>1</v>
      </c>
      <c r="BE94" s="81" t="str">
        <f>REPLACE(INDEX(GroupVertices[Group],MATCH(Edges[[#This Row],[Vertex 2]],GroupVertices[Vertex],0)),1,1,"")</f>
        <v>1</v>
      </c>
      <c r="BF94" s="49"/>
      <c r="BG94" s="50"/>
      <c r="BH94" s="49"/>
      <c r="BI94" s="50"/>
      <c r="BJ94" s="49"/>
      <c r="BK94" s="50"/>
      <c r="BL94" s="49"/>
      <c r="BM94" s="50"/>
      <c r="BN94" s="49"/>
    </row>
    <row r="95" spans="1:66" ht="15">
      <c r="A95" s="66" t="s">
        <v>274</v>
      </c>
      <c r="B95" s="66" t="s">
        <v>290</v>
      </c>
      <c r="C95" s="67" t="s">
        <v>1011</v>
      </c>
      <c r="D95" s="68">
        <v>3</v>
      </c>
      <c r="E95" s="69" t="s">
        <v>132</v>
      </c>
      <c r="F95" s="70">
        <v>32</v>
      </c>
      <c r="G95" s="67"/>
      <c r="H95" s="71"/>
      <c r="I95" s="72"/>
      <c r="J95" s="72"/>
      <c r="K95" s="35" t="s">
        <v>65</v>
      </c>
      <c r="L95" s="80">
        <v>95</v>
      </c>
      <c r="M95" s="80"/>
      <c r="N95" s="74"/>
      <c r="O95" s="82" t="s">
        <v>302</v>
      </c>
      <c r="P95" s="84">
        <v>44483.37252314815</v>
      </c>
      <c r="Q95" s="82" t="s">
        <v>328</v>
      </c>
      <c r="R95" s="82"/>
      <c r="S95" s="82"/>
      <c r="T95" s="82"/>
      <c r="U95" s="82"/>
      <c r="V95" s="85" t="str">
        <f>HYPERLINK("https://pbs.twimg.com/profile_images/1243265064204992513/cIp1xDVR_normal.jpg")</f>
        <v>https://pbs.twimg.com/profile_images/1243265064204992513/cIp1xDVR_normal.jpg</v>
      </c>
      <c r="W95" s="84">
        <v>44483.37252314815</v>
      </c>
      <c r="X95" s="89">
        <v>44483</v>
      </c>
      <c r="Y95" s="86" t="s">
        <v>373</v>
      </c>
      <c r="Z95" s="85" t="str">
        <f>HYPERLINK("https://twitter.com/arniesma/status/1448573401111666688")</f>
        <v>https://twitter.com/arniesma/status/1448573401111666688</v>
      </c>
      <c r="AA95" s="82"/>
      <c r="AB95" s="82"/>
      <c r="AC95" s="86" t="s">
        <v>414</v>
      </c>
      <c r="AD95" s="86" t="s">
        <v>431</v>
      </c>
      <c r="AE95" s="82" t="b">
        <v>0</v>
      </c>
      <c r="AF95" s="82">
        <v>8</v>
      </c>
      <c r="AG95" s="86" t="s">
        <v>432</v>
      </c>
      <c r="AH95" s="82" t="b">
        <v>0</v>
      </c>
      <c r="AI95" s="82" t="s">
        <v>439</v>
      </c>
      <c r="AJ95" s="82"/>
      <c r="AK95" s="86" t="s">
        <v>441</v>
      </c>
      <c r="AL95" s="82" t="b">
        <v>0</v>
      </c>
      <c r="AM95" s="82">
        <v>0</v>
      </c>
      <c r="AN95" s="86" t="s">
        <v>441</v>
      </c>
      <c r="AO95" s="86" t="s">
        <v>445</v>
      </c>
      <c r="AP95" s="82" t="b">
        <v>0</v>
      </c>
      <c r="AQ95" s="86" t="s">
        <v>431</v>
      </c>
      <c r="AR95" s="82"/>
      <c r="AS95" s="82">
        <v>0</v>
      </c>
      <c r="AT95" s="82">
        <v>0</v>
      </c>
      <c r="AU95" s="82"/>
      <c r="AV95" s="82"/>
      <c r="AW95" s="82"/>
      <c r="AX95" s="82"/>
      <c r="AY95" s="82"/>
      <c r="AZ95" s="82"/>
      <c r="BA95" s="82"/>
      <c r="BB95" s="82"/>
      <c r="BC95">
        <v>1</v>
      </c>
      <c r="BD95" s="81" t="str">
        <f>REPLACE(INDEX(GroupVertices[Group],MATCH(Edges[[#This Row],[Vertex 1]],GroupVertices[Vertex],0)),1,1,"")</f>
        <v>2</v>
      </c>
      <c r="BE95" s="81" t="str">
        <f>REPLACE(INDEX(GroupVertices[Group],MATCH(Edges[[#This Row],[Vertex 2]],GroupVertices[Vertex],0)),1,1,"")</f>
        <v>1</v>
      </c>
      <c r="BF95" s="49"/>
      <c r="BG95" s="50"/>
      <c r="BH95" s="49"/>
      <c r="BI95" s="50"/>
      <c r="BJ95" s="49"/>
      <c r="BK95" s="50"/>
      <c r="BL95" s="49"/>
      <c r="BM95" s="50"/>
      <c r="BN95" s="49"/>
    </row>
    <row r="96" spans="1:66" ht="15">
      <c r="A96" s="66" t="s">
        <v>274</v>
      </c>
      <c r="B96" s="66" t="s">
        <v>291</v>
      </c>
      <c r="C96" s="67" t="s">
        <v>1011</v>
      </c>
      <c r="D96" s="68">
        <v>3</v>
      </c>
      <c r="E96" s="69" t="s">
        <v>132</v>
      </c>
      <c r="F96" s="70">
        <v>32</v>
      </c>
      <c r="G96" s="67"/>
      <c r="H96" s="71"/>
      <c r="I96" s="72"/>
      <c r="J96" s="72"/>
      <c r="K96" s="35" t="s">
        <v>65</v>
      </c>
      <c r="L96" s="80">
        <v>96</v>
      </c>
      <c r="M96" s="80"/>
      <c r="N96" s="74"/>
      <c r="O96" s="82" t="s">
        <v>302</v>
      </c>
      <c r="P96" s="84">
        <v>44483.37252314815</v>
      </c>
      <c r="Q96" s="82" t="s">
        <v>328</v>
      </c>
      <c r="R96" s="82"/>
      <c r="S96" s="82"/>
      <c r="T96" s="82"/>
      <c r="U96" s="82"/>
      <c r="V96" s="85" t="str">
        <f>HYPERLINK("https://pbs.twimg.com/profile_images/1243265064204992513/cIp1xDVR_normal.jpg")</f>
        <v>https://pbs.twimg.com/profile_images/1243265064204992513/cIp1xDVR_normal.jpg</v>
      </c>
      <c r="W96" s="84">
        <v>44483.37252314815</v>
      </c>
      <c r="X96" s="89">
        <v>44483</v>
      </c>
      <c r="Y96" s="86" t="s">
        <v>373</v>
      </c>
      <c r="Z96" s="85" t="str">
        <f>HYPERLINK("https://twitter.com/arniesma/status/1448573401111666688")</f>
        <v>https://twitter.com/arniesma/status/1448573401111666688</v>
      </c>
      <c r="AA96" s="82"/>
      <c r="AB96" s="82"/>
      <c r="AC96" s="86" t="s">
        <v>414</v>
      </c>
      <c r="AD96" s="86" t="s">
        <v>431</v>
      </c>
      <c r="AE96" s="82" t="b">
        <v>0</v>
      </c>
      <c r="AF96" s="82">
        <v>8</v>
      </c>
      <c r="AG96" s="86" t="s">
        <v>432</v>
      </c>
      <c r="AH96" s="82" t="b">
        <v>0</v>
      </c>
      <c r="AI96" s="82" t="s">
        <v>439</v>
      </c>
      <c r="AJ96" s="82"/>
      <c r="AK96" s="86" t="s">
        <v>441</v>
      </c>
      <c r="AL96" s="82" t="b">
        <v>0</v>
      </c>
      <c r="AM96" s="82">
        <v>0</v>
      </c>
      <c r="AN96" s="86" t="s">
        <v>441</v>
      </c>
      <c r="AO96" s="86" t="s">
        <v>445</v>
      </c>
      <c r="AP96" s="82" t="b">
        <v>0</v>
      </c>
      <c r="AQ96" s="86" t="s">
        <v>431</v>
      </c>
      <c r="AR96" s="82"/>
      <c r="AS96" s="82">
        <v>0</v>
      </c>
      <c r="AT96" s="82">
        <v>0</v>
      </c>
      <c r="AU96" s="82"/>
      <c r="AV96" s="82"/>
      <c r="AW96" s="82"/>
      <c r="AX96" s="82"/>
      <c r="AY96" s="82"/>
      <c r="AZ96" s="82"/>
      <c r="BA96" s="82"/>
      <c r="BB96" s="82"/>
      <c r="BC96">
        <v>1</v>
      </c>
      <c r="BD96" s="81" t="str">
        <f>REPLACE(INDEX(GroupVertices[Group],MATCH(Edges[[#This Row],[Vertex 1]],GroupVertices[Vertex],0)),1,1,"")</f>
        <v>2</v>
      </c>
      <c r="BE96" s="81" t="str">
        <f>REPLACE(INDEX(GroupVertices[Group],MATCH(Edges[[#This Row],[Vertex 2]],GroupVertices[Vertex],0)),1,1,"")</f>
        <v>1</v>
      </c>
      <c r="BF96" s="49"/>
      <c r="BG96" s="50"/>
      <c r="BH96" s="49"/>
      <c r="BI96" s="50"/>
      <c r="BJ96" s="49"/>
      <c r="BK96" s="50"/>
      <c r="BL96" s="49"/>
      <c r="BM96" s="50"/>
      <c r="BN96" s="49"/>
    </row>
    <row r="97" spans="1:66" ht="15">
      <c r="A97" s="66" t="s">
        <v>274</v>
      </c>
      <c r="B97" s="66" t="s">
        <v>292</v>
      </c>
      <c r="C97" s="67" t="s">
        <v>1011</v>
      </c>
      <c r="D97" s="68">
        <v>3</v>
      </c>
      <c r="E97" s="69" t="s">
        <v>132</v>
      </c>
      <c r="F97" s="70">
        <v>32</v>
      </c>
      <c r="G97" s="67"/>
      <c r="H97" s="71"/>
      <c r="I97" s="72"/>
      <c r="J97" s="72"/>
      <c r="K97" s="35" t="s">
        <v>65</v>
      </c>
      <c r="L97" s="80">
        <v>97</v>
      </c>
      <c r="M97" s="80"/>
      <c r="N97" s="74"/>
      <c r="O97" s="82" t="s">
        <v>302</v>
      </c>
      <c r="P97" s="84">
        <v>44483.37252314815</v>
      </c>
      <c r="Q97" s="82" t="s">
        <v>328</v>
      </c>
      <c r="R97" s="82"/>
      <c r="S97" s="82"/>
      <c r="T97" s="82"/>
      <c r="U97" s="82"/>
      <c r="V97" s="85" t="str">
        <f>HYPERLINK("https://pbs.twimg.com/profile_images/1243265064204992513/cIp1xDVR_normal.jpg")</f>
        <v>https://pbs.twimg.com/profile_images/1243265064204992513/cIp1xDVR_normal.jpg</v>
      </c>
      <c r="W97" s="84">
        <v>44483.37252314815</v>
      </c>
      <c r="X97" s="89">
        <v>44483</v>
      </c>
      <c r="Y97" s="86" t="s">
        <v>373</v>
      </c>
      <c r="Z97" s="85" t="str">
        <f>HYPERLINK("https://twitter.com/arniesma/status/1448573401111666688")</f>
        <v>https://twitter.com/arniesma/status/1448573401111666688</v>
      </c>
      <c r="AA97" s="82"/>
      <c r="AB97" s="82"/>
      <c r="AC97" s="86" t="s">
        <v>414</v>
      </c>
      <c r="AD97" s="86" t="s">
        <v>431</v>
      </c>
      <c r="AE97" s="82" t="b">
        <v>0</v>
      </c>
      <c r="AF97" s="82">
        <v>8</v>
      </c>
      <c r="AG97" s="86" t="s">
        <v>432</v>
      </c>
      <c r="AH97" s="82" t="b">
        <v>0</v>
      </c>
      <c r="AI97" s="82" t="s">
        <v>439</v>
      </c>
      <c r="AJ97" s="82"/>
      <c r="AK97" s="86" t="s">
        <v>441</v>
      </c>
      <c r="AL97" s="82" t="b">
        <v>0</v>
      </c>
      <c r="AM97" s="82">
        <v>0</v>
      </c>
      <c r="AN97" s="86" t="s">
        <v>441</v>
      </c>
      <c r="AO97" s="86" t="s">
        <v>445</v>
      </c>
      <c r="AP97" s="82" t="b">
        <v>0</v>
      </c>
      <c r="AQ97" s="86" t="s">
        <v>431</v>
      </c>
      <c r="AR97" s="82"/>
      <c r="AS97" s="82">
        <v>0</v>
      </c>
      <c r="AT97" s="82">
        <v>0</v>
      </c>
      <c r="AU97" s="82"/>
      <c r="AV97" s="82"/>
      <c r="AW97" s="82"/>
      <c r="AX97" s="82"/>
      <c r="AY97" s="82"/>
      <c r="AZ97" s="82"/>
      <c r="BA97" s="82"/>
      <c r="BB97" s="82"/>
      <c r="BC97">
        <v>1</v>
      </c>
      <c r="BD97" s="81" t="str">
        <f>REPLACE(INDEX(GroupVertices[Group],MATCH(Edges[[#This Row],[Vertex 1]],GroupVertices[Vertex],0)),1,1,"")</f>
        <v>2</v>
      </c>
      <c r="BE97" s="81" t="str">
        <f>REPLACE(INDEX(GroupVertices[Group],MATCH(Edges[[#This Row],[Vertex 2]],GroupVertices[Vertex],0)),1,1,"")</f>
        <v>2</v>
      </c>
      <c r="BF97" s="49"/>
      <c r="BG97" s="50"/>
      <c r="BH97" s="49"/>
      <c r="BI97" s="50"/>
      <c r="BJ97" s="49"/>
      <c r="BK97" s="50"/>
      <c r="BL97" s="49"/>
      <c r="BM97" s="50"/>
      <c r="BN97" s="49"/>
    </row>
    <row r="98" spans="1:66" ht="15">
      <c r="A98" s="66" t="s">
        <v>274</v>
      </c>
      <c r="B98" s="66" t="s">
        <v>289</v>
      </c>
      <c r="C98" s="67" t="s">
        <v>1011</v>
      </c>
      <c r="D98" s="68">
        <v>3</v>
      </c>
      <c r="E98" s="69" t="s">
        <v>132</v>
      </c>
      <c r="F98" s="70">
        <v>32</v>
      </c>
      <c r="G98" s="67"/>
      <c r="H98" s="71"/>
      <c r="I98" s="72"/>
      <c r="J98" s="72"/>
      <c r="K98" s="35" t="s">
        <v>65</v>
      </c>
      <c r="L98" s="80">
        <v>98</v>
      </c>
      <c r="M98" s="80"/>
      <c r="N98" s="74"/>
      <c r="O98" s="82" t="s">
        <v>303</v>
      </c>
      <c r="P98" s="84">
        <v>44483.37252314815</v>
      </c>
      <c r="Q98" s="82" t="s">
        <v>328</v>
      </c>
      <c r="R98" s="82"/>
      <c r="S98" s="82"/>
      <c r="T98" s="82"/>
      <c r="U98" s="82"/>
      <c r="V98" s="85" t="str">
        <f>HYPERLINK("https://pbs.twimg.com/profile_images/1243265064204992513/cIp1xDVR_normal.jpg")</f>
        <v>https://pbs.twimg.com/profile_images/1243265064204992513/cIp1xDVR_normal.jpg</v>
      </c>
      <c r="W98" s="84">
        <v>44483.37252314815</v>
      </c>
      <c r="X98" s="89">
        <v>44483</v>
      </c>
      <c r="Y98" s="86" t="s">
        <v>373</v>
      </c>
      <c r="Z98" s="85" t="str">
        <f>HYPERLINK("https://twitter.com/arniesma/status/1448573401111666688")</f>
        <v>https://twitter.com/arniesma/status/1448573401111666688</v>
      </c>
      <c r="AA98" s="82"/>
      <c r="AB98" s="82"/>
      <c r="AC98" s="86" t="s">
        <v>414</v>
      </c>
      <c r="AD98" s="86" t="s">
        <v>431</v>
      </c>
      <c r="AE98" s="82" t="b">
        <v>0</v>
      </c>
      <c r="AF98" s="82">
        <v>8</v>
      </c>
      <c r="AG98" s="86" t="s">
        <v>432</v>
      </c>
      <c r="AH98" s="82" t="b">
        <v>0</v>
      </c>
      <c r="AI98" s="82" t="s">
        <v>439</v>
      </c>
      <c r="AJ98" s="82"/>
      <c r="AK98" s="86" t="s">
        <v>441</v>
      </c>
      <c r="AL98" s="82" t="b">
        <v>0</v>
      </c>
      <c r="AM98" s="82">
        <v>0</v>
      </c>
      <c r="AN98" s="86" t="s">
        <v>441</v>
      </c>
      <c r="AO98" s="86" t="s">
        <v>445</v>
      </c>
      <c r="AP98" s="82" t="b">
        <v>0</v>
      </c>
      <c r="AQ98" s="86" t="s">
        <v>431</v>
      </c>
      <c r="AR98" s="82"/>
      <c r="AS98" s="82">
        <v>0</v>
      </c>
      <c r="AT98" s="82">
        <v>0</v>
      </c>
      <c r="AU98" s="82"/>
      <c r="AV98" s="82"/>
      <c r="AW98" s="82"/>
      <c r="AX98" s="82"/>
      <c r="AY98" s="82"/>
      <c r="AZ98" s="82"/>
      <c r="BA98" s="82"/>
      <c r="BB98" s="82"/>
      <c r="BC98">
        <v>1</v>
      </c>
      <c r="BD98" s="81" t="str">
        <f>REPLACE(INDEX(GroupVertices[Group],MATCH(Edges[[#This Row],[Vertex 1]],GroupVertices[Vertex],0)),1,1,"")</f>
        <v>2</v>
      </c>
      <c r="BE98" s="81" t="str">
        <f>REPLACE(INDEX(GroupVertices[Group],MATCH(Edges[[#This Row],[Vertex 2]],GroupVertices[Vertex],0)),1,1,"")</f>
        <v>1</v>
      </c>
      <c r="BF98" s="49">
        <v>0</v>
      </c>
      <c r="BG98" s="50">
        <v>0</v>
      </c>
      <c r="BH98" s="49">
        <v>1</v>
      </c>
      <c r="BI98" s="50">
        <v>16.666666666666668</v>
      </c>
      <c r="BJ98" s="49">
        <v>0</v>
      </c>
      <c r="BK98" s="50">
        <v>0</v>
      </c>
      <c r="BL98" s="49">
        <v>5</v>
      </c>
      <c r="BM98" s="50">
        <v>83.33333333333333</v>
      </c>
      <c r="BN98" s="49">
        <v>6</v>
      </c>
    </row>
    <row r="99" spans="1:66" ht="15">
      <c r="A99" s="66" t="s">
        <v>275</v>
      </c>
      <c r="B99" s="66" t="s">
        <v>274</v>
      </c>
      <c r="C99" s="67" t="s">
        <v>1011</v>
      </c>
      <c r="D99" s="68">
        <v>3</v>
      </c>
      <c r="E99" s="69" t="s">
        <v>132</v>
      </c>
      <c r="F99" s="70">
        <v>32</v>
      </c>
      <c r="G99" s="67"/>
      <c r="H99" s="71"/>
      <c r="I99" s="72"/>
      <c r="J99" s="72"/>
      <c r="K99" s="35" t="s">
        <v>65</v>
      </c>
      <c r="L99" s="80">
        <v>99</v>
      </c>
      <c r="M99" s="80"/>
      <c r="N99" s="74"/>
      <c r="O99" s="82" t="s">
        <v>303</v>
      </c>
      <c r="P99" s="84">
        <v>44483.37678240741</v>
      </c>
      <c r="Q99" s="82" t="s">
        <v>329</v>
      </c>
      <c r="R99" s="82"/>
      <c r="S99" s="82"/>
      <c r="T99" s="82"/>
      <c r="U99" s="82"/>
      <c r="V99" s="85" t="str">
        <f>HYPERLINK("https://pbs.twimg.com/profile_images/644792965760741376/CTgET9u3_normal.jpg")</f>
        <v>https://pbs.twimg.com/profile_images/644792965760741376/CTgET9u3_normal.jpg</v>
      </c>
      <c r="W99" s="84">
        <v>44483.37678240741</v>
      </c>
      <c r="X99" s="89">
        <v>44483</v>
      </c>
      <c r="Y99" s="86" t="s">
        <v>374</v>
      </c>
      <c r="Z99" s="85" t="str">
        <f>HYPERLINK("https://twitter.com/weesnowie/status/1448574942140841986")</f>
        <v>https://twitter.com/weesnowie/status/1448574942140841986</v>
      </c>
      <c r="AA99" s="82"/>
      <c r="AB99" s="82"/>
      <c r="AC99" s="86" t="s">
        <v>415</v>
      </c>
      <c r="AD99" s="86" t="s">
        <v>414</v>
      </c>
      <c r="AE99" s="82" t="b">
        <v>0</v>
      </c>
      <c r="AF99" s="82">
        <v>13</v>
      </c>
      <c r="AG99" s="86" t="s">
        <v>437</v>
      </c>
      <c r="AH99" s="82" t="b">
        <v>0</v>
      </c>
      <c r="AI99" s="82" t="s">
        <v>439</v>
      </c>
      <c r="AJ99" s="82"/>
      <c r="AK99" s="86" t="s">
        <v>441</v>
      </c>
      <c r="AL99" s="82" t="b">
        <v>0</v>
      </c>
      <c r="AM99" s="82">
        <v>3</v>
      </c>
      <c r="AN99" s="86" t="s">
        <v>441</v>
      </c>
      <c r="AO99" s="86" t="s">
        <v>445</v>
      </c>
      <c r="AP99" s="82" t="b">
        <v>0</v>
      </c>
      <c r="AQ99" s="86" t="s">
        <v>414</v>
      </c>
      <c r="AR99" s="82"/>
      <c r="AS99" s="82">
        <v>0</v>
      </c>
      <c r="AT99" s="82">
        <v>0</v>
      </c>
      <c r="AU99" s="82"/>
      <c r="AV99" s="82"/>
      <c r="AW99" s="82"/>
      <c r="AX99" s="82"/>
      <c r="AY99" s="82"/>
      <c r="AZ99" s="82"/>
      <c r="BA99" s="82"/>
      <c r="BB99" s="82"/>
      <c r="BC99">
        <v>1</v>
      </c>
      <c r="BD99" s="81" t="str">
        <f>REPLACE(INDEX(GroupVertices[Group],MATCH(Edges[[#This Row],[Vertex 1]],GroupVertices[Vertex],0)),1,1,"")</f>
        <v>2</v>
      </c>
      <c r="BE99" s="81" t="str">
        <f>REPLACE(INDEX(GroupVertices[Group],MATCH(Edges[[#This Row],[Vertex 2]],GroupVertices[Vertex],0)),1,1,"")</f>
        <v>2</v>
      </c>
      <c r="BF99" s="49"/>
      <c r="BG99" s="50"/>
      <c r="BH99" s="49"/>
      <c r="BI99" s="50"/>
      <c r="BJ99" s="49"/>
      <c r="BK99" s="50"/>
      <c r="BL99" s="49"/>
      <c r="BM99" s="50"/>
      <c r="BN99" s="49"/>
    </row>
    <row r="100" spans="1:66" ht="15">
      <c r="A100" s="66" t="s">
        <v>275</v>
      </c>
      <c r="B100" s="66" t="s">
        <v>290</v>
      </c>
      <c r="C100" s="67" t="s">
        <v>1011</v>
      </c>
      <c r="D100" s="68">
        <v>3</v>
      </c>
      <c r="E100" s="69" t="s">
        <v>132</v>
      </c>
      <c r="F100" s="70">
        <v>32</v>
      </c>
      <c r="G100" s="67"/>
      <c r="H100" s="71"/>
      <c r="I100" s="72"/>
      <c r="J100" s="72"/>
      <c r="K100" s="35" t="s">
        <v>65</v>
      </c>
      <c r="L100" s="80">
        <v>100</v>
      </c>
      <c r="M100" s="80"/>
      <c r="N100" s="74"/>
      <c r="O100" s="82" t="s">
        <v>302</v>
      </c>
      <c r="P100" s="84">
        <v>44483.37678240741</v>
      </c>
      <c r="Q100" s="82" t="s">
        <v>329</v>
      </c>
      <c r="R100" s="82"/>
      <c r="S100" s="82"/>
      <c r="T100" s="82"/>
      <c r="U100" s="82"/>
      <c r="V100" s="85" t="str">
        <f>HYPERLINK("https://pbs.twimg.com/profile_images/644792965760741376/CTgET9u3_normal.jpg")</f>
        <v>https://pbs.twimg.com/profile_images/644792965760741376/CTgET9u3_normal.jpg</v>
      </c>
      <c r="W100" s="84">
        <v>44483.37678240741</v>
      </c>
      <c r="X100" s="89">
        <v>44483</v>
      </c>
      <c r="Y100" s="86" t="s">
        <v>374</v>
      </c>
      <c r="Z100" s="85" t="str">
        <f>HYPERLINK("https://twitter.com/weesnowie/status/1448574942140841986")</f>
        <v>https://twitter.com/weesnowie/status/1448574942140841986</v>
      </c>
      <c r="AA100" s="82"/>
      <c r="AB100" s="82"/>
      <c r="AC100" s="86" t="s">
        <v>415</v>
      </c>
      <c r="AD100" s="86" t="s">
        <v>414</v>
      </c>
      <c r="AE100" s="82" t="b">
        <v>0</v>
      </c>
      <c r="AF100" s="82">
        <v>13</v>
      </c>
      <c r="AG100" s="86" t="s">
        <v>437</v>
      </c>
      <c r="AH100" s="82" t="b">
        <v>0</v>
      </c>
      <c r="AI100" s="82" t="s">
        <v>439</v>
      </c>
      <c r="AJ100" s="82"/>
      <c r="AK100" s="86" t="s">
        <v>441</v>
      </c>
      <c r="AL100" s="82" t="b">
        <v>0</v>
      </c>
      <c r="AM100" s="82">
        <v>3</v>
      </c>
      <c r="AN100" s="86" t="s">
        <v>441</v>
      </c>
      <c r="AO100" s="86" t="s">
        <v>445</v>
      </c>
      <c r="AP100" s="82" t="b">
        <v>0</v>
      </c>
      <c r="AQ100" s="86" t="s">
        <v>414</v>
      </c>
      <c r="AR100" s="82"/>
      <c r="AS100" s="82">
        <v>0</v>
      </c>
      <c r="AT100" s="82">
        <v>0</v>
      </c>
      <c r="AU100" s="82"/>
      <c r="AV100" s="82"/>
      <c r="AW100" s="82"/>
      <c r="AX100" s="82"/>
      <c r="AY100" s="82"/>
      <c r="AZ100" s="82"/>
      <c r="BA100" s="82"/>
      <c r="BB100" s="82"/>
      <c r="BC100">
        <v>1</v>
      </c>
      <c r="BD100" s="81" t="str">
        <f>REPLACE(INDEX(GroupVertices[Group],MATCH(Edges[[#This Row],[Vertex 1]],GroupVertices[Vertex],0)),1,1,"")</f>
        <v>2</v>
      </c>
      <c r="BE100" s="81" t="str">
        <f>REPLACE(INDEX(GroupVertices[Group],MATCH(Edges[[#This Row],[Vertex 2]],GroupVertices[Vertex],0)),1,1,"")</f>
        <v>1</v>
      </c>
      <c r="BF100" s="49"/>
      <c r="BG100" s="50"/>
      <c r="BH100" s="49"/>
      <c r="BI100" s="50"/>
      <c r="BJ100" s="49"/>
      <c r="BK100" s="50"/>
      <c r="BL100" s="49"/>
      <c r="BM100" s="50"/>
      <c r="BN100" s="49"/>
    </row>
    <row r="101" spans="1:66" ht="15">
      <c r="A101" s="66" t="s">
        <v>275</v>
      </c>
      <c r="B101" s="66" t="s">
        <v>291</v>
      </c>
      <c r="C101" s="67" t="s">
        <v>1011</v>
      </c>
      <c r="D101" s="68">
        <v>3</v>
      </c>
      <c r="E101" s="69" t="s">
        <v>132</v>
      </c>
      <c r="F101" s="70">
        <v>32</v>
      </c>
      <c r="G101" s="67"/>
      <c r="H101" s="71"/>
      <c r="I101" s="72"/>
      <c r="J101" s="72"/>
      <c r="K101" s="35" t="s">
        <v>65</v>
      </c>
      <c r="L101" s="80">
        <v>101</v>
      </c>
      <c r="M101" s="80"/>
      <c r="N101" s="74"/>
      <c r="O101" s="82" t="s">
        <v>302</v>
      </c>
      <c r="P101" s="84">
        <v>44483.37678240741</v>
      </c>
      <c r="Q101" s="82" t="s">
        <v>329</v>
      </c>
      <c r="R101" s="82"/>
      <c r="S101" s="82"/>
      <c r="T101" s="82"/>
      <c r="U101" s="82"/>
      <c r="V101" s="85" t="str">
        <f>HYPERLINK("https://pbs.twimg.com/profile_images/644792965760741376/CTgET9u3_normal.jpg")</f>
        <v>https://pbs.twimg.com/profile_images/644792965760741376/CTgET9u3_normal.jpg</v>
      </c>
      <c r="W101" s="84">
        <v>44483.37678240741</v>
      </c>
      <c r="X101" s="89">
        <v>44483</v>
      </c>
      <c r="Y101" s="86" t="s">
        <v>374</v>
      </c>
      <c r="Z101" s="85" t="str">
        <f>HYPERLINK("https://twitter.com/weesnowie/status/1448574942140841986")</f>
        <v>https://twitter.com/weesnowie/status/1448574942140841986</v>
      </c>
      <c r="AA101" s="82"/>
      <c r="AB101" s="82"/>
      <c r="AC101" s="86" t="s">
        <v>415</v>
      </c>
      <c r="AD101" s="86" t="s">
        <v>414</v>
      </c>
      <c r="AE101" s="82" t="b">
        <v>0</v>
      </c>
      <c r="AF101" s="82">
        <v>13</v>
      </c>
      <c r="AG101" s="86" t="s">
        <v>437</v>
      </c>
      <c r="AH101" s="82" t="b">
        <v>0</v>
      </c>
      <c r="AI101" s="82" t="s">
        <v>439</v>
      </c>
      <c r="AJ101" s="82"/>
      <c r="AK101" s="86" t="s">
        <v>441</v>
      </c>
      <c r="AL101" s="82" t="b">
        <v>0</v>
      </c>
      <c r="AM101" s="82">
        <v>3</v>
      </c>
      <c r="AN101" s="86" t="s">
        <v>441</v>
      </c>
      <c r="AO101" s="86" t="s">
        <v>445</v>
      </c>
      <c r="AP101" s="82" t="b">
        <v>0</v>
      </c>
      <c r="AQ101" s="86" t="s">
        <v>414</v>
      </c>
      <c r="AR101" s="82"/>
      <c r="AS101" s="82">
        <v>0</v>
      </c>
      <c r="AT101" s="82">
        <v>0</v>
      </c>
      <c r="AU101" s="82"/>
      <c r="AV101" s="82"/>
      <c r="AW101" s="82"/>
      <c r="AX101" s="82"/>
      <c r="AY101" s="82"/>
      <c r="AZ101" s="82"/>
      <c r="BA101" s="82"/>
      <c r="BB101" s="82"/>
      <c r="BC101">
        <v>1</v>
      </c>
      <c r="BD101" s="81" t="str">
        <f>REPLACE(INDEX(GroupVertices[Group],MATCH(Edges[[#This Row],[Vertex 1]],GroupVertices[Vertex],0)),1,1,"")</f>
        <v>2</v>
      </c>
      <c r="BE101" s="81" t="str">
        <f>REPLACE(INDEX(GroupVertices[Group],MATCH(Edges[[#This Row],[Vertex 2]],GroupVertices[Vertex],0)),1,1,"")</f>
        <v>1</v>
      </c>
      <c r="BF101" s="49"/>
      <c r="BG101" s="50"/>
      <c r="BH101" s="49"/>
      <c r="BI101" s="50"/>
      <c r="BJ101" s="49"/>
      <c r="BK101" s="50"/>
      <c r="BL101" s="49"/>
      <c r="BM101" s="50"/>
      <c r="BN101" s="49"/>
    </row>
    <row r="102" spans="1:66" ht="15">
      <c r="A102" s="66" t="s">
        <v>275</v>
      </c>
      <c r="B102" s="66" t="s">
        <v>292</v>
      </c>
      <c r="C102" s="67" t="s">
        <v>1011</v>
      </c>
      <c r="D102" s="68">
        <v>3</v>
      </c>
      <c r="E102" s="69" t="s">
        <v>132</v>
      </c>
      <c r="F102" s="70">
        <v>32</v>
      </c>
      <c r="G102" s="67"/>
      <c r="H102" s="71"/>
      <c r="I102" s="72"/>
      <c r="J102" s="72"/>
      <c r="K102" s="35" t="s">
        <v>65</v>
      </c>
      <c r="L102" s="80">
        <v>102</v>
      </c>
      <c r="M102" s="80"/>
      <c r="N102" s="74"/>
      <c r="O102" s="82" t="s">
        <v>302</v>
      </c>
      <c r="P102" s="84">
        <v>44483.37678240741</v>
      </c>
      <c r="Q102" s="82" t="s">
        <v>329</v>
      </c>
      <c r="R102" s="82"/>
      <c r="S102" s="82"/>
      <c r="T102" s="82"/>
      <c r="U102" s="82"/>
      <c r="V102" s="85" t="str">
        <f>HYPERLINK("https://pbs.twimg.com/profile_images/644792965760741376/CTgET9u3_normal.jpg")</f>
        <v>https://pbs.twimg.com/profile_images/644792965760741376/CTgET9u3_normal.jpg</v>
      </c>
      <c r="W102" s="84">
        <v>44483.37678240741</v>
      </c>
      <c r="X102" s="89">
        <v>44483</v>
      </c>
      <c r="Y102" s="86" t="s">
        <v>374</v>
      </c>
      <c r="Z102" s="85" t="str">
        <f>HYPERLINK("https://twitter.com/weesnowie/status/1448574942140841986")</f>
        <v>https://twitter.com/weesnowie/status/1448574942140841986</v>
      </c>
      <c r="AA102" s="82"/>
      <c r="AB102" s="82"/>
      <c r="AC102" s="86" t="s">
        <v>415</v>
      </c>
      <c r="AD102" s="86" t="s">
        <v>414</v>
      </c>
      <c r="AE102" s="82" t="b">
        <v>0</v>
      </c>
      <c r="AF102" s="82">
        <v>13</v>
      </c>
      <c r="AG102" s="86" t="s">
        <v>437</v>
      </c>
      <c r="AH102" s="82" t="b">
        <v>0</v>
      </c>
      <c r="AI102" s="82" t="s">
        <v>439</v>
      </c>
      <c r="AJ102" s="82"/>
      <c r="AK102" s="86" t="s">
        <v>441</v>
      </c>
      <c r="AL102" s="82" t="b">
        <v>0</v>
      </c>
      <c r="AM102" s="82">
        <v>3</v>
      </c>
      <c r="AN102" s="86" t="s">
        <v>441</v>
      </c>
      <c r="AO102" s="86" t="s">
        <v>445</v>
      </c>
      <c r="AP102" s="82" t="b">
        <v>0</v>
      </c>
      <c r="AQ102" s="86" t="s">
        <v>414</v>
      </c>
      <c r="AR102" s="82"/>
      <c r="AS102" s="82">
        <v>0</v>
      </c>
      <c r="AT102" s="82">
        <v>0</v>
      </c>
      <c r="AU102" s="82"/>
      <c r="AV102" s="82"/>
      <c r="AW102" s="82"/>
      <c r="AX102" s="82"/>
      <c r="AY102" s="82"/>
      <c r="AZ102" s="82"/>
      <c r="BA102" s="82"/>
      <c r="BB102" s="82"/>
      <c r="BC102">
        <v>1</v>
      </c>
      <c r="BD102" s="81" t="str">
        <f>REPLACE(INDEX(GroupVertices[Group],MATCH(Edges[[#This Row],[Vertex 1]],GroupVertices[Vertex],0)),1,1,"")</f>
        <v>2</v>
      </c>
      <c r="BE102" s="81" t="str">
        <f>REPLACE(INDEX(GroupVertices[Group],MATCH(Edges[[#This Row],[Vertex 2]],GroupVertices[Vertex],0)),1,1,"")</f>
        <v>2</v>
      </c>
      <c r="BF102" s="49"/>
      <c r="BG102" s="50"/>
      <c r="BH102" s="49"/>
      <c r="BI102" s="50"/>
      <c r="BJ102" s="49"/>
      <c r="BK102" s="50"/>
      <c r="BL102" s="49"/>
      <c r="BM102" s="50"/>
      <c r="BN102" s="49"/>
    </row>
    <row r="103" spans="1:66" ht="15">
      <c r="A103" s="66" t="s">
        <v>275</v>
      </c>
      <c r="B103" s="66" t="s">
        <v>289</v>
      </c>
      <c r="C103" s="67" t="s">
        <v>1011</v>
      </c>
      <c r="D103" s="68">
        <v>3</v>
      </c>
      <c r="E103" s="69" t="s">
        <v>132</v>
      </c>
      <c r="F103" s="70">
        <v>32</v>
      </c>
      <c r="G103" s="67"/>
      <c r="H103" s="71"/>
      <c r="I103" s="72"/>
      <c r="J103" s="72"/>
      <c r="K103" s="35" t="s">
        <v>65</v>
      </c>
      <c r="L103" s="80">
        <v>103</v>
      </c>
      <c r="M103" s="80"/>
      <c r="N103" s="74"/>
      <c r="O103" s="82" t="s">
        <v>302</v>
      </c>
      <c r="P103" s="84">
        <v>44483.37678240741</v>
      </c>
      <c r="Q103" s="82" t="s">
        <v>329</v>
      </c>
      <c r="R103" s="82"/>
      <c r="S103" s="82"/>
      <c r="T103" s="82"/>
      <c r="U103" s="82"/>
      <c r="V103" s="85" t="str">
        <f>HYPERLINK("https://pbs.twimg.com/profile_images/644792965760741376/CTgET9u3_normal.jpg")</f>
        <v>https://pbs.twimg.com/profile_images/644792965760741376/CTgET9u3_normal.jpg</v>
      </c>
      <c r="W103" s="84">
        <v>44483.37678240741</v>
      </c>
      <c r="X103" s="89">
        <v>44483</v>
      </c>
      <c r="Y103" s="86" t="s">
        <v>374</v>
      </c>
      <c r="Z103" s="85" t="str">
        <f>HYPERLINK("https://twitter.com/weesnowie/status/1448574942140841986")</f>
        <v>https://twitter.com/weesnowie/status/1448574942140841986</v>
      </c>
      <c r="AA103" s="82"/>
      <c r="AB103" s="82"/>
      <c r="AC103" s="86" t="s">
        <v>415</v>
      </c>
      <c r="AD103" s="86" t="s">
        <v>414</v>
      </c>
      <c r="AE103" s="82" t="b">
        <v>0</v>
      </c>
      <c r="AF103" s="82">
        <v>13</v>
      </c>
      <c r="AG103" s="86" t="s">
        <v>437</v>
      </c>
      <c r="AH103" s="82" t="b">
        <v>0</v>
      </c>
      <c r="AI103" s="82" t="s">
        <v>439</v>
      </c>
      <c r="AJ103" s="82"/>
      <c r="AK103" s="86" t="s">
        <v>441</v>
      </c>
      <c r="AL103" s="82" t="b">
        <v>0</v>
      </c>
      <c r="AM103" s="82">
        <v>3</v>
      </c>
      <c r="AN103" s="86" t="s">
        <v>441</v>
      </c>
      <c r="AO103" s="86" t="s">
        <v>445</v>
      </c>
      <c r="AP103" s="82" t="b">
        <v>0</v>
      </c>
      <c r="AQ103" s="86" t="s">
        <v>414</v>
      </c>
      <c r="AR103" s="82"/>
      <c r="AS103" s="82">
        <v>0</v>
      </c>
      <c r="AT103" s="82">
        <v>0</v>
      </c>
      <c r="AU103" s="82"/>
      <c r="AV103" s="82"/>
      <c r="AW103" s="82"/>
      <c r="AX103" s="82"/>
      <c r="AY103" s="82"/>
      <c r="AZ103" s="82"/>
      <c r="BA103" s="82"/>
      <c r="BB103" s="82"/>
      <c r="BC103">
        <v>1</v>
      </c>
      <c r="BD103" s="81" t="str">
        <f>REPLACE(INDEX(GroupVertices[Group],MATCH(Edges[[#This Row],[Vertex 1]],GroupVertices[Vertex],0)),1,1,"")</f>
        <v>2</v>
      </c>
      <c r="BE103" s="81" t="str">
        <f>REPLACE(INDEX(GroupVertices[Group],MATCH(Edges[[#This Row],[Vertex 2]],GroupVertices[Vertex],0)),1,1,"")</f>
        <v>1</v>
      </c>
      <c r="BF103" s="49">
        <v>0</v>
      </c>
      <c r="BG103" s="50">
        <v>0</v>
      </c>
      <c r="BH103" s="49">
        <v>1</v>
      </c>
      <c r="BI103" s="50">
        <v>2.7027027027027026</v>
      </c>
      <c r="BJ103" s="49">
        <v>0</v>
      </c>
      <c r="BK103" s="50">
        <v>0</v>
      </c>
      <c r="BL103" s="49">
        <v>36</v>
      </c>
      <c r="BM103" s="50">
        <v>97.29729729729729</v>
      </c>
      <c r="BN103" s="49">
        <v>37</v>
      </c>
    </row>
    <row r="104" spans="1:66" ht="15">
      <c r="A104" s="66" t="s">
        <v>276</v>
      </c>
      <c r="B104" s="66" t="s">
        <v>290</v>
      </c>
      <c r="C104" s="67" t="s">
        <v>1011</v>
      </c>
      <c r="D104" s="68">
        <v>3</v>
      </c>
      <c r="E104" s="69" t="s">
        <v>132</v>
      </c>
      <c r="F104" s="70">
        <v>32</v>
      </c>
      <c r="G104" s="67"/>
      <c r="H104" s="71"/>
      <c r="I104" s="72"/>
      <c r="J104" s="72"/>
      <c r="K104" s="35" t="s">
        <v>65</v>
      </c>
      <c r="L104" s="80">
        <v>104</v>
      </c>
      <c r="M104" s="80"/>
      <c r="N104" s="74"/>
      <c r="O104" s="82" t="s">
        <v>302</v>
      </c>
      <c r="P104" s="84">
        <v>44483.37530092592</v>
      </c>
      <c r="Q104" s="82" t="s">
        <v>330</v>
      </c>
      <c r="R104" s="82"/>
      <c r="S104" s="82"/>
      <c r="T104" s="82"/>
      <c r="U104" s="82"/>
      <c r="V104" s="85" t="str">
        <f>HYPERLINK("https://pbs.twimg.com/profile_images/1424827519019139073/dVPkbnSI_normal.jpg")</f>
        <v>https://pbs.twimg.com/profile_images/1424827519019139073/dVPkbnSI_normal.jpg</v>
      </c>
      <c r="W104" s="84">
        <v>44483.37530092592</v>
      </c>
      <c r="X104" s="89">
        <v>44483</v>
      </c>
      <c r="Y104" s="86" t="s">
        <v>375</v>
      </c>
      <c r="Z104" s="85" t="str">
        <f>HYPERLINK("https://twitter.com/donaldfart8/status/1448574405790023680")</f>
        <v>https://twitter.com/donaldfart8/status/1448574405790023680</v>
      </c>
      <c r="AA104" s="82"/>
      <c r="AB104" s="82"/>
      <c r="AC104" s="86" t="s">
        <v>416</v>
      </c>
      <c r="AD104" s="86" t="s">
        <v>431</v>
      </c>
      <c r="AE104" s="82" t="b">
        <v>0</v>
      </c>
      <c r="AF104" s="82">
        <v>38</v>
      </c>
      <c r="AG104" s="86" t="s">
        <v>432</v>
      </c>
      <c r="AH104" s="82" t="b">
        <v>0</v>
      </c>
      <c r="AI104" s="82" t="s">
        <v>439</v>
      </c>
      <c r="AJ104" s="82"/>
      <c r="AK104" s="86" t="s">
        <v>441</v>
      </c>
      <c r="AL104" s="82" t="b">
        <v>0</v>
      </c>
      <c r="AM104" s="82">
        <v>10</v>
      </c>
      <c r="AN104" s="86" t="s">
        <v>441</v>
      </c>
      <c r="AO104" s="86" t="s">
        <v>444</v>
      </c>
      <c r="AP104" s="82" t="b">
        <v>0</v>
      </c>
      <c r="AQ104" s="86" t="s">
        <v>431</v>
      </c>
      <c r="AR104" s="82"/>
      <c r="AS104" s="82">
        <v>0</v>
      </c>
      <c r="AT104" s="82">
        <v>0</v>
      </c>
      <c r="AU104" s="82"/>
      <c r="AV104" s="82"/>
      <c r="AW104" s="82"/>
      <c r="AX104" s="82"/>
      <c r="AY104" s="82"/>
      <c r="AZ104" s="82"/>
      <c r="BA104" s="82"/>
      <c r="BB104" s="82"/>
      <c r="BC104">
        <v>1</v>
      </c>
      <c r="BD104" s="81" t="str">
        <f>REPLACE(INDEX(GroupVertices[Group],MATCH(Edges[[#This Row],[Vertex 1]],GroupVertices[Vertex],0)),1,1,"")</f>
        <v>1</v>
      </c>
      <c r="BE104" s="81" t="str">
        <f>REPLACE(INDEX(GroupVertices[Group],MATCH(Edges[[#This Row],[Vertex 2]],GroupVertices[Vertex],0)),1,1,"")</f>
        <v>1</v>
      </c>
      <c r="BF104" s="49"/>
      <c r="BG104" s="50"/>
      <c r="BH104" s="49"/>
      <c r="BI104" s="50"/>
      <c r="BJ104" s="49"/>
      <c r="BK104" s="50"/>
      <c r="BL104" s="49"/>
      <c r="BM104" s="50"/>
      <c r="BN104" s="49"/>
    </row>
    <row r="105" spans="1:66" ht="15">
      <c r="A105" s="66" t="s">
        <v>276</v>
      </c>
      <c r="B105" s="66" t="s">
        <v>291</v>
      </c>
      <c r="C105" s="67" t="s">
        <v>1011</v>
      </c>
      <c r="D105" s="68">
        <v>3</v>
      </c>
      <c r="E105" s="69" t="s">
        <v>132</v>
      </c>
      <c r="F105" s="70">
        <v>32</v>
      </c>
      <c r="G105" s="67"/>
      <c r="H105" s="71"/>
      <c r="I105" s="72"/>
      <c r="J105" s="72"/>
      <c r="K105" s="35" t="s">
        <v>65</v>
      </c>
      <c r="L105" s="80">
        <v>105</v>
      </c>
      <c r="M105" s="80"/>
      <c r="N105" s="74"/>
      <c r="O105" s="82" t="s">
        <v>302</v>
      </c>
      <c r="P105" s="84">
        <v>44483.37530092592</v>
      </c>
      <c r="Q105" s="82" t="s">
        <v>330</v>
      </c>
      <c r="R105" s="82"/>
      <c r="S105" s="82"/>
      <c r="T105" s="82"/>
      <c r="U105" s="82"/>
      <c r="V105" s="85" t="str">
        <f>HYPERLINK("https://pbs.twimg.com/profile_images/1424827519019139073/dVPkbnSI_normal.jpg")</f>
        <v>https://pbs.twimg.com/profile_images/1424827519019139073/dVPkbnSI_normal.jpg</v>
      </c>
      <c r="W105" s="84">
        <v>44483.37530092592</v>
      </c>
      <c r="X105" s="89">
        <v>44483</v>
      </c>
      <c r="Y105" s="86" t="s">
        <v>375</v>
      </c>
      <c r="Z105" s="85" t="str">
        <f>HYPERLINK("https://twitter.com/donaldfart8/status/1448574405790023680")</f>
        <v>https://twitter.com/donaldfart8/status/1448574405790023680</v>
      </c>
      <c r="AA105" s="82"/>
      <c r="AB105" s="82"/>
      <c r="AC105" s="86" t="s">
        <v>416</v>
      </c>
      <c r="AD105" s="86" t="s">
        <v>431</v>
      </c>
      <c r="AE105" s="82" t="b">
        <v>0</v>
      </c>
      <c r="AF105" s="82">
        <v>38</v>
      </c>
      <c r="AG105" s="86" t="s">
        <v>432</v>
      </c>
      <c r="AH105" s="82" t="b">
        <v>0</v>
      </c>
      <c r="AI105" s="82" t="s">
        <v>439</v>
      </c>
      <c r="AJ105" s="82"/>
      <c r="AK105" s="86" t="s">
        <v>441</v>
      </c>
      <c r="AL105" s="82" t="b">
        <v>0</v>
      </c>
      <c r="AM105" s="82">
        <v>10</v>
      </c>
      <c r="AN105" s="86" t="s">
        <v>441</v>
      </c>
      <c r="AO105" s="86" t="s">
        <v>444</v>
      </c>
      <c r="AP105" s="82" t="b">
        <v>0</v>
      </c>
      <c r="AQ105" s="86" t="s">
        <v>431</v>
      </c>
      <c r="AR105" s="82"/>
      <c r="AS105" s="82">
        <v>0</v>
      </c>
      <c r="AT105" s="82">
        <v>0</v>
      </c>
      <c r="AU105" s="82"/>
      <c r="AV105" s="82"/>
      <c r="AW105" s="82"/>
      <c r="AX105" s="82"/>
      <c r="AY105" s="82"/>
      <c r="AZ105" s="82"/>
      <c r="BA105" s="82"/>
      <c r="BB105" s="82"/>
      <c r="BC105">
        <v>1</v>
      </c>
      <c r="BD105" s="81" t="str">
        <f>REPLACE(INDEX(GroupVertices[Group],MATCH(Edges[[#This Row],[Vertex 1]],GroupVertices[Vertex],0)),1,1,"")</f>
        <v>1</v>
      </c>
      <c r="BE105" s="81" t="str">
        <f>REPLACE(INDEX(GroupVertices[Group],MATCH(Edges[[#This Row],[Vertex 2]],GroupVertices[Vertex],0)),1,1,"")</f>
        <v>1</v>
      </c>
      <c r="BF105" s="49"/>
      <c r="BG105" s="50"/>
      <c r="BH105" s="49"/>
      <c r="BI105" s="50"/>
      <c r="BJ105" s="49"/>
      <c r="BK105" s="50"/>
      <c r="BL105" s="49"/>
      <c r="BM105" s="50"/>
      <c r="BN105" s="49"/>
    </row>
    <row r="106" spans="1:66" ht="15">
      <c r="A106" s="66" t="s">
        <v>276</v>
      </c>
      <c r="B106" s="66" t="s">
        <v>289</v>
      </c>
      <c r="C106" s="67" t="s">
        <v>1011</v>
      </c>
      <c r="D106" s="68">
        <v>3</v>
      </c>
      <c r="E106" s="69" t="s">
        <v>132</v>
      </c>
      <c r="F106" s="70">
        <v>32</v>
      </c>
      <c r="G106" s="67"/>
      <c r="H106" s="71"/>
      <c r="I106" s="72"/>
      <c r="J106" s="72"/>
      <c r="K106" s="35" t="s">
        <v>65</v>
      </c>
      <c r="L106" s="80">
        <v>106</v>
      </c>
      <c r="M106" s="80"/>
      <c r="N106" s="74"/>
      <c r="O106" s="82" t="s">
        <v>303</v>
      </c>
      <c r="P106" s="84">
        <v>44483.37530092592</v>
      </c>
      <c r="Q106" s="82" t="s">
        <v>330</v>
      </c>
      <c r="R106" s="82"/>
      <c r="S106" s="82"/>
      <c r="T106" s="82"/>
      <c r="U106" s="82"/>
      <c r="V106" s="85" t="str">
        <f>HYPERLINK("https://pbs.twimg.com/profile_images/1424827519019139073/dVPkbnSI_normal.jpg")</f>
        <v>https://pbs.twimg.com/profile_images/1424827519019139073/dVPkbnSI_normal.jpg</v>
      </c>
      <c r="W106" s="84">
        <v>44483.37530092592</v>
      </c>
      <c r="X106" s="89">
        <v>44483</v>
      </c>
      <c r="Y106" s="86" t="s">
        <v>375</v>
      </c>
      <c r="Z106" s="85" t="str">
        <f>HYPERLINK("https://twitter.com/donaldfart8/status/1448574405790023680")</f>
        <v>https://twitter.com/donaldfart8/status/1448574405790023680</v>
      </c>
      <c r="AA106" s="82"/>
      <c r="AB106" s="82"/>
      <c r="AC106" s="86" t="s">
        <v>416</v>
      </c>
      <c r="AD106" s="86" t="s">
        <v>431</v>
      </c>
      <c r="AE106" s="82" t="b">
        <v>0</v>
      </c>
      <c r="AF106" s="82">
        <v>38</v>
      </c>
      <c r="AG106" s="86" t="s">
        <v>432</v>
      </c>
      <c r="AH106" s="82" t="b">
        <v>0</v>
      </c>
      <c r="AI106" s="82" t="s">
        <v>439</v>
      </c>
      <c r="AJ106" s="82"/>
      <c r="AK106" s="86" t="s">
        <v>441</v>
      </c>
      <c r="AL106" s="82" t="b">
        <v>0</v>
      </c>
      <c r="AM106" s="82">
        <v>10</v>
      </c>
      <c r="AN106" s="86" t="s">
        <v>441</v>
      </c>
      <c r="AO106" s="86" t="s">
        <v>444</v>
      </c>
      <c r="AP106" s="82" t="b">
        <v>0</v>
      </c>
      <c r="AQ106" s="86" t="s">
        <v>431</v>
      </c>
      <c r="AR106" s="82"/>
      <c r="AS106" s="82">
        <v>0</v>
      </c>
      <c r="AT106" s="82">
        <v>0</v>
      </c>
      <c r="AU106" s="82"/>
      <c r="AV106" s="82"/>
      <c r="AW106" s="82"/>
      <c r="AX106" s="82"/>
      <c r="AY106" s="82"/>
      <c r="AZ106" s="82"/>
      <c r="BA106" s="82"/>
      <c r="BB106" s="82"/>
      <c r="BC106">
        <v>1</v>
      </c>
      <c r="BD106" s="81" t="str">
        <f>REPLACE(INDEX(GroupVertices[Group],MATCH(Edges[[#This Row],[Vertex 1]],GroupVertices[Vertex],0)),1,1,"")</f>
        <v>1</v>
      </c>
      <c r="BE106" s="81" t="str">
        <f>REPLACE(INDEX(GroupVertices[Group],MATCH(Edges[[#This Row],[Vertex 2]],GroupVertices[Vertex],0)),1,1,"")</f>
        <v>1</v>
      </c>
      <c r="BF106" s="49">
        <v>1</v>
      </c>
      <c r="BG106" s="50">
        <v>2.4390243902439024</v>
      </c>
      <c r="BH106" s="49">
        <v>0</v>
      </c>
      <c r="BI106" s="50">
        <v>0</v>
      </c>
      <c r="BJ106" s="49">
        <v>0</v>
      </c>
      <c r="BK106" s="50">
        <v>0</v>
      </c>
      <c r="BL106" s="49">
        <v>40</v>
      </c>
      <c r="BM106" s="50">
        <v>97.5609756097561</v>
      </c>
      <c r="BN106" s="49">
        <v>41</v>
      </c>
    </row>
    <row r="107" spans="1:66" ht="15">
      <c r="A107" s="66" t="s">
        <v>277</v>
      </c>
      <c r="B107" s="66" t="s">
        <v>290</v>
      </c>
      <c r="C107" s="67" t="s">
        <v>1011</v>
      </c>
      <c r="D107" s="68">
        <v>3</v>
      </c>
      <c r="E107" s="69" t="s">
        <v>132</v>
      </c>
      <c r="F107" s="70">
        <v>32</v>
      </c>
      <c r="G107" s="67"/>
      <c r="H107" s="71"/>
      <c r="I107" s="72"/>
      <c r="J107" s="72"/>
      <c r="K107" s="35" t="s">
        <v>65</v>
      </c>
      <c r="L107" s="80">
        <v>107</v>
      </c>
      <c r="M107" s="80"/>
      <c r="N107" s="74"/>
      <c r="O107" s="82" t="s">
        <v>302</v>
      </c>
      <c r="P107" s="84">
        <v>44483.38317129629</v>
      </c>
      <c r="Q107" s="82" t="s">
        <v>331</v>
      </c>
      <c r="R107" s="82"/>
      <c r="S107" s="82"/>
      <c r="T107" s="82"/>
      <c r="U107" s="82"/>
      <c r="V107" s="85" t="str">
        <f>HYPERLINK("https://pbs.twimg.com/profile_images/1428785247596990468/5aRblpzd_normal.jpg")</f>
        <v>https://pbs.twimg.com/profile_images/1428785247596990468/5aRblpzd_normal.jpg</v>
      </c>
      <c r="W107" s="84">
        <v>44483.38317129629</v>
      </c>
      <c r="X107" s="89">
        <v>44483</v>
      </c>
      <c r="Y107" s="86" t="s">
        <v>376</v>
      </c>
      <c r="Z107" s="85" t="str">
        <f>HYPERLINK("https://twitter.com/libiroberts/status/1448577258353004545")</f>
        <v>https://twitter.com/libiroberts/status/1448577258353004545</v>
      </c>
      <c r="AA107" s="82"/>
      <c r="AB107" s="82"/>
      <c r="AC107" s="86" t="s">
        <v>417</v>
      </c>
      <c r="AD107" s="86" t="s">
        <v>431</v>
      </c>
      <c r="AE107" s="82" t="b">
        <v>0</v>
      </c>
      <c r="AF107" s="82">
        <v>0</v>
      </c>
      <c r="AG107" s="86" t="s">
        <v>432</v>
      </c>
      <c r="AH107" s="82" t="b">
        <v>0</v>
      </c>
      <c r="AI107" s="82" t="s">
        <v>439</v>
      </c>
      <c r="AJ107" s="82"/>
      <c r="AK107" s="86" t="s">
        <v>441</v>
      </c>
      <c r="AL107" s="82" t="b">
        <v>0</v>
      </c>
      <c r="AM107" s="82">
        <v>0</v>
      </c>
      <c r="AN107" s="86" t="s">
        <v>441</v>
      </c>
      <c r="AO107" s="86" t="s">
        <v>446</v>
      </c>
      <c r="AP107" s="82" t="b">
        <v>0</v>
      </c>
      <c r="AQ107" s="86" t="s">
        <v>431</v>
      </c>
      <c r="AR107" s="82"/>
      <c r="AS107" s="82">
        <v>0</v>
      </c>
      <c r="AT107" s="82">
        <v>0</v>
      </c>
      <c r="AU107" s="82"/>
      <c r="AV107" s="82"/>
      <c r="AW107" s="82"/>
      <c r="AX107" s="82"/>
      <c r="AY107" s="82"/>
      <c r="AZ107" s="82"/>
      <c r="BA107" s="82"/>
      <c r="BB107" s="82"/>
      <c r="BC107">
        <v>1</v>
      </c>
      <c r="BD107" s="81" t="str">
        <f>REPLACE(INDEX(GroupVertices[Group],MATCH(Edges[[#This Row],[Vertex 1]],GroupVertices[Vertex],0)),1,1,"")</f>
        <v>2</v>
      </c>
      <c r="BE107" s="81" t="str">
        <f>REPLACE(INDEX(GroupVertices[Group],MATCH(Edges[[#This Row],[Vertex 2]],GroupVertices[Vertex],0)),1,1,"")</f>
        <v>1</v>
      </c>
      <c r="BF107" s="49"/>
      <c r="BG107" s="50"/>
      <c r="BH107" s="49"/>
      <c r="BI107" s="50"/>
      <c r="BJ107" s="49"/>
      <c r="BK107" s="50"/>
      <c r="BL107" s="49"/>
      <c r="BM107" s="50"/>
      <c r="BN107" s="49"/>
    </row>
    <row r="108" spans="1:66" ht="15">
      <c r="A108" s="66" t="s">
        <v>277</v>
      </c>
      <c r="B108" s="66" t="s">
        <v>291</v>
      </c>
      <c r="C108" s="67" t="s">
        <v>1011</v>
      </c>
      <c r="D108" s="68">
        <v>3</v>
      </c>
      <c r="E108" s="69" t="s">
        <v>132</v>
      </c>
      <c r="F108" s="70">
        <v>32</v>
      </c>
      <c r="G108" s="67"/>
      <c r="H108" s="71"/>
      <c r="I108" s="72"/>
      <c r="J108" s="72"/>
      <c r="K108" s="35" t="s">
        <v>65</v>
      </c>
      <c r="L108" s="80">
        <v>108</v>
      </c>
      <c r="M108" s="80"/>
      <c r="N108" s="74"/>
      <c r="O108" s="82" t="s">
        <v>302</v>
      </c>
      <c r="P108" s="84">
        <v>44483.38317129629</v>
      </c>
      <c r="Q108" s="82" t="s">
        <v>331</v>
      </c>
      <c r="R108" s="82"/>
      <c r="S108" s="82"/>
      <c r="T108" s="82"/>
      <c r="U108" s="82"/>
      <c r="V108" s="85" t="str">
        <f>HYPERLINK("https://pbs.twimg.com/profile_images/1428785247596990468/5aRblpzd_normal.jpg")</f>
        <v>https://pbs.twimg.com/profile_images/1428785247596990468/5aRblpzd_normal.jpg</v>
      </c>
      <c r="W108" s="84">
        <v>44483.38317129629</v>
      </c>
      <c r="X108" s="89">
        <v>44483</v>
      </c>
      <c r="Y108" s="86" t="s">
        <v>376</v>
      </c>
      <c r="Z108" s="85" t="str">
        <f>HYPERLINK("https://twitter.com/libiroberts/status/1448577258353004545")</f>
        <v>https://twitter.com/libiroberts/status/1448577258353004545</v>
      </c>
      <c r="AA108" s="82"/>
      <c r="AB108" s="82"/>
      <c r="AC108" s="86" t="s">
        <v>417</v>
      </c>
      <c r="AD108" s="86" t="s">
        <v>431</v>
      </c>
      <c r="AE108" s="82" t="b">
        <v>0</v>
      </c>
      <c r="AF108" s="82">
        <v>0</v>
      </c>
      <c r="AG108" s="86" t="s">
        <v>432</v>
      </c>
      <c r="AH108" s="82" t="b">
        <v>0</v>
      </c>
      <c r="AI108" s="82" t="s">
        <v>439</v>
      </c>
      <c r="AJ108" s="82"/>
      <c r="AK108" s="86" t="s">
        <v>441</v>
      </c>
      <c r="AL108" s="82" t="b">
        <v>0</v>
      </c>
      <c r="AM108" s="82">
        <v>0</v>
      </c>
      <c r="AN108" s="86" t="s">
        <v>441</v>
      </c>
      <c r="AO108" s="86" t="s">
        <v>446</v>
      </c>
      <c r="AP108" s="82" t="b">
        <v>0</v>
      </c>
      <c r="AQ108" s="86" t="s">
        <v>431</v>
      </c>
      <c r="AR108" s="82"/>
      <c r="AS108" s="82">
        <v>0</v>
      </c>
      <c r="AT108" s="82">
        <v>0</v>
      </c>
      <c r="AU108" s="82"/>
      <c r="AV108" s="82"/>
      <c r="AW108" s="82"/>
      <c r="AX108" s="82"/>
      <c r="AY108" s="82"/>
      <c r="AZ108" s="82"/>
      <c r="BA108" s="82"/>
      <c r="BB108" s="82"/>
      <c r="BC108">
        <v>1</v>
      </c>
      <c r="BD108" s="81" t="str">
        <f>REPLACE(INDEX(GroupVertices[Group],MATCH(Edges[[#This Row],[Vertex 1]],GroupVertices[Vertex],0)),1,1,"")</f>
        <v>2</v>
      </c>
      <c r="BE108" s="81" t="str">
        <f>REPLACE(INDEX(GroupVertices[Group],MATCH(Edges[[#This Row],[Vertex 2]],GroupVertices[Vertex],0)),1,1,"")</f>
        <v>1</v>
      </c>
      <c r="BF108" s="49"/>
      <c r="BG108" s="50"/>
      <c r="BH108" s="49"/>
      <c r="BI108" s="50"/>
      <c r="BJ108" s="49"/>
      <c r="BK108" s="50"/>
      <c r="BL108" s="49"/>
      <c r="BM108" s="50"/>
      <c r="BN108" s="49"/>
    </row>
    <row r="109" spans="1:66" ht="15">
      <c r="A109" s="66" t="s">
        <v>277</v>
      </c>
      <c r="B109" s="66" t="s">
        <v>292</v>
      </c>
      <c r="C109" s="67" t="s">
        <v>1011</v>
      </c>
      <c r="D109" s="68">
        <v>3</v>
      </c>
      <c r="E109" s="69" t="s">
        <v>132</v>
      </c>
      <c r="F109" s="70">
        <v>32</v>
      </c>
      <c r="G109" s="67"/>
      <c r="H109" s="71"/>
      <c r="I109" s="72"/>
      <c r="J109" s="72"/>
      <c r="K109" s="35" t="s">
        <v>65</v>
      </c>
      <c r="L109" s="80">
        <v>109</v>
      </c>
      <c r="M109" s="80"/>
      <c r="N109" s="74"/>
      <c r="O109" s="82" t="s">
        <v>302</v>
      </c>
      <c r="P109" s="84">
        <v>44483.38317129629</v>
      </c>
      <c r="Q109" s="82" t="s">
        <v>331</v>
      </c>
      <c r="R109" s="82"/>
      <c r="S109" s="82"/>
      <c r="T109" s="82"/>
      <c r="U109" s="82"/>
      <c r="V109" s="85" t="str">
        <f>HYPERLINK("https://pbs.twimg.com/profile_images/1428785247596990468/5aRblpzd_normal.jpg")</f>
        <v>https://pbs.twimg.com/profile_images/1428785247596990468/5aRblpzd_normal.jpg</v>
      </c>
      <c r="W109" s="84">
        <v>44483.38317129629</v>
      </c>
      <c r="X109" s="89">
        <v>44483</v>
      </c>
      <c r="Y109" s="86" t="s">
        <v>376</v>
      </c>
      <c r="Z109" s="85" t="str">
        <f>HYPERLINK("https://twitter.com/libiroberts/status/1448577258353004545")</f>
        <v>https://twitter.com/libiroberts/status/1448577258353004545</v>
      </c>
      <c r="AA109" s="82"/>
      <c r="AB109" s="82"/>
      <c r="AC109" s="86" t="s">
        <v>417</v>
      </c>
      <c r="AD109" s="86" t="s">
        <v>431</v>
      </c>
      <c r="AE109" s="82" t="b">
        <v>0</v>
      </c>
      <c r="AF109" s="82">
        <v>0</v>
      </c>
      <c r="AG109" s="86" t="s">
        <v>432</v>
      </c>
      <c r="AH109" s="82" t="b">
        <v>0</v>
      </c>
      <c r="AI109" s="82" t="s">
        <v>439</v>
      </c>
      <c r="AJ109" s="82"/>
      <c r="AK109" s="86" t="s">
        <v>441</v>
      </c>
      <c r="AL109" s="82" t="b">
        <v>0</v>
      </c>
      <c r="AM109" s="82">
        <v>0</v>
      </c>
      <c r="AN109" s="86" t="s">
        <v>441</v>
      </c>
      <c r="AO109" s="86" t="s">
        <v>446</v>
      </c>
      <c r="AP109" s="82" t="b">
        <v>0</v>
      </c>
      <c r="AQ109" s="86" t="s">
        <v>431</v>
      </c>
      <c r="AR109" s="82"/>
      <c r="AS109" s="82">
        <v>0</v>
      </c>
      <c r="AT109" s="82">
        <v>0</v>
      </c>
      <c r="AU109" s="82"/>
      <c r="AV109" s="82"/>
      <c r="AW109" s="82"/>
      <c r="AX109" s="82"/>
      <c r="AY109" s="82"/>
      <c r="AZ109" s="82"/>
      <c r="BA109" s="82"/>
      <c r="BB109" s="82"/>
      <c r="BC109">
        <v>1</v>
      </c>
      <c r="BD109" s="81" t="str">
        <f>REPLACE(INDEX(GroupVertices[Group],MATCH(Edges[[#This Row],[Vertex 1]],GroupVertices[Vertex],0)),1,1,"")</f>
        <v>2</v>
      </c>
      <c r="BE109" s="81" t="str">
        <f>REPLACE(INDEX(GroupVertices[Group],MATCH(Edges[[#This Row],[Vertex 2]],GroupVertices[Vertex],0)),1,1,"")</f>
        <v>2</v>
      </c>
      <c r="BF109" s="49"/>
      <c r="BG109" s="50"/>
      <c r="BH109" s="49"/>
      <c r="BI109" s="50"/>
      <c r="BJ109" s="49"/>
      <c r="BK109" s="50"/>
      <c r="BL109" s="49"/>
      <c r="BM109" s="50"/>
      <c r="BN109" s="49"/>
    </row>
    <row r="110" spans="1:66" ht="15">
      <c r="A110" s="66" t="s">
        <v>277</v>
      </c>
      <c r="B110" s="66" t="s">
        <v>289</v>
      </c>
      <c r="C110" s="67" t="s">
        <v>1011</v>
      </c>
      <c r="D110" s="68">
        <v>3</v>
      </c>
      <c r="E110" s="69" t="s">
        <v>132</v>
      </c>
      <c r="F110" s="70">
        <v>32</v>
      </c>
      <c r="G110" s="67"/>
      <c r="H110" s="71"/>
      <c r="I110" s="72"/>
      <c r="J110" s="72"/>
      <c r="K110" s="35" t="s">
        <v>65</v>
      </c>
      <c r="L110" s="80">
        <v>110</v>
      </c>
      <c r="M110" s="80"/>
      <c r="N110" s="74"/>
      <c r="O110" s="82" t="s">
        <v>303</v>
      </c>
      <c r="P110" s="84">
        <v>44483.38317129629</v>
      </c>
      <c r="Q110" s="82" t="s">
        <v>331</v>
      </c>
      <c r="R110" s="82"/>
      <c r="S110" s="82"/>
      <c r="T110" s="82"/>
      <c r="U110" s="82"/>
      <c r="V110" s="85" t="str">
        <f>HYPERLINK("https://pbs.twimg.com/profile_images/1428785247596990468/5aRblpzd_normal.jpg")</f>
        <v>https://pbs.twimg.com/profile_images/1428785247596990468/5aRblpzd_normal.jpg</v>
      </c>
      <c r="W110" s="84">
        <v>44483.38317129629</v>
      </c>
      <c r="X110" s="89">
        <v>44483</v>
      </c>
      <c r="Y110" s="86" t="s">
        <v>376</v>
      </c>
      <c r="Z110" s="85" t="str">
        <f>HYPERLINK("https://twitter.com/libiroberts/status/1448577258353004545")</f>
        <v>https://twitter.com/libiroberts/status/1448577258353004545</v>
      </c>
      <c r="AA110" s="82"/>
      <c r="AB110" s="82"/>
      <c r="AC110" s="86" t="s">
        <v>417</v>
      </c>
      <c r="AD110" s="86" t="s">
        <v>431</v>
      </c>
      <c r="AE110" s="82" t="b">
        <v>0</v>
      </c>
      <c r="AF110" s="82">
        <v>0</v>
      </c>
      <c r="AG110" s="86" t="s">
        <v>432</v>
      </c>
      <c r="AH110" s="82" t="b">
        <v>0</v>
      </c>
      <c r="AI110" s="82" t="s">
        <v>439</v>
      </c>
      <c r="AJ110" s="82"/>
      <c r="AK110" s="86" t="s">
        <v>441</v>
      </c>
      <c r="AL110" s="82" t="b">
        <v>0</v>
      </c>
      <c r="AM110" s="82">
        <v>0</v>
      </c>
      <c r="AN110" s="86" t="s">
        <v>441</v>
      </c>
      <c r="AO110" s="86" t="s">
        <v>446</v>
      </c>
      <c r="AP110" s="82" t="b">
        <v>0</v>
      </c>
      <c r="AQ110" s="86" t="s">
        <v>431</v>
      </c>
      <c r="AR110" s="82"/>
      <c r="AS110" s="82">
        <v>0</v>
      </c>
      <c r="AT110" s="82">
        <v>0</v>
      </c>
      <c r="AU110" s="82"/>
      <c r="AV110" s="82"/>
      <c r="AW110" s="82"/>
      <c r="AX110" s="82"/>
      <c r="AY110" s="82"/>
      <c r="AZ110" s="82"/>
      <c r="BA110" s="82"/>
      <c r="BB110" s="82"/>
      <c r="BC110">
        <v>1</v>
      </c>
      <c r="BD110" s="81" t="str">
        <f>REPLACE(INDEX(GroupVertices[Group],MATCH(Edges[[#This Row],[Vertex 1]],GroupVertices[Vertex],0)),1,1,"")</f>
        <v>2</v>
      </c>
      <c r="BE110" s="81" t="str">
        <f>REPLACE(INDEX(GroupVertices[Group],MATCH(Edges[[#This Row],[Vertex 2]],GroupVertices[Vertex],0)),1,1,"")</f>
        <v>1</v>
      </c>
      <c r="BF110" s="49">
        <v>0</v>
      </c>
      <c r="BG110" s="50">
        <v>0</v>
      </c>
      <c r="BH110" s="49">
        <v>0</v>
      </c>
      <c r="BI110" s="50">
        <v>0</v>
      </c>
      <c r="BJ110" s="49">
        <v>0</v>
      </c>
      <c r="BK110" s="50">
        <v>0</v>
      </c>
      <c r="BL110" s="49">
        <v>9</v>
      </c>
      <c r="BM110" s="50">
        <v>100</v>
      </c>
      <c r="BN110" s="49">
        <v>9</v>
      </c>
    </row>
    <row r="111" spans="1:66" ht="15">
      <c r="A111" s="66" t="s">
        <v>278</v>
      </c>
      <c r="B111" s="66" t="s">
        <v>290</v>
      </c>
      <c r="C111" s="67" t="s">
        <v>1011</v>
      </c>
      <c r="D111" s="68">
        <v>3</v>
      </c>
      <c r="E111" s="69" t="s">
        <v>132</v>
      </c>
      <c r="F111" s="70">
        <v>32</v>
      </c>
      <c r="G111" s="67"/>
      <c r="H111" s="71"/>
      <c r="I111" s="72"/>
      <c r="J111" s="72"/>
      <c r="K111" s="35" t="s">
        <v>65</v>
      </c>
      <c r="L111" s="80">
        <v>111</v>
      </c>
      <c r="M111" s="80"/>
      <c r="N111" s="74"/>
      <c r="O111" s="82" t="s">
        <v>302</v>
      </c>
      <c r="P111" s="84">
        <v>44483.41685185185</v>
      </c>
      <c r="Q111" s="82" t="s">
        <v>332</v>
      </c>
      <c r="R111" s="82"/>
      <c r="S111" s="82"/>
      <c r="T111" s="82"/>
      <c r="U111" s="82"/>
      <c r="V111" s="85" t="str">
        <f>HYPERLINK("https://pbs.twimg.com/profile_images/1356378821558202377/2aWD1TmO_normal.jpg")</f>
        <v>https://pbs.twimg.com/profile_images/1356378821558202377/2aWD1TmO_normal.jpg</v>
      </c>
      <c r="W111" s="84">
        <v>44483.41685185185</v>
      </c>
      <c r="X111" s="89">
        <v>44483</v>
      </c>
      <c r="Y111" s="86" t="s">
        <v>377</v>
      </c>
      <c r="Z111" s="85" t="str">
        <f>HYPERLINK("https://twitter.com/bridgetcraig17/status/1448589464146690051")</f>
        <v>https://twitter.com/bridgetcraig17/status/1448589464146690051</v>
      </c>
      <c r="AA111" s="82"/>
      <c r="AB111" s="82"/>
      <c r="AC111" s="86" t="s">
        <v>418</v>
      </c>
      <c r="AD111" s="86" t="s">
        <v>431</v>
      </c>
      <c r="AE111" s="82" t="b">
        <v>0</v>
      </c>
      <c r="AF111" s="82">
        <v>4</v>
      </c>
      <c r="AG111" s="86" t="s">
        <v>432</v>
      </c>
      <c r="AH111" s="82" t="b">
        <v>0</v>
      </c>
      <c r="AI111" s="82" t="s">
        <v>439</v>
      </c>
      <c r="AJ111" s="82"/>
      <c r="AK111" s="86" t="s">
        <v>441</v>
      </c>
      <c r="AL111" s="82" t="b">
        <v>0</v>
      </c>
      <c r="AM111" s="82">
        <v>0</v>
      </c>
      <c r="AN111" s="86" t="s">
        <v>441</v>
      </c>
      <c r="AO111" s="86" t="s">
        <v>445</v>
      </c>
      <c r="AP111" s="82" t="b">
        <v>0</v>
      </c>
      <c r="AQ111" s="86" t="s">
        <v>431</v>
      </c>
      <c r="AR111" s="82"/>
      <c r="AS111" s="82">
        <v>0</v>
      </c>
      <c r="AT111" s="82">
        <v>0</v>
      </c>
      <c r="AU111" s="82"/>
      <c r="AV111" s="82"/>
      <c r="AW111" s="82"/>
      <c r="AX111" s="82"/>
      <c r="AY111" s="82"/>
      <c r="AZ111" s="82"/>
      <c r="BA111" s="82"/>
      <c r="BB111" s="82"/>
      <c r="BC111">
        <v>1</v>
      </c>
      <c r="BD111" s="81" t="str">
        <f>REPLACE(INDEX(GroupVertices[Group],MATCH(Edges[[#This Row],[Vertex 1]],GroupVertices[Vertex],0)),1,1,"")</f>
        <v>1</v>
      </c>
      <c r="BE111" s="81" t="str">
        <f>REPLACE(INDEX(GroupVertices[Group],MATCH(Edges[[#This Row],[Vertex 2]],GroupVertices[Vertex],0)),1,1,"")</f>
        <v>1</v>
      </c>
      <c r="BF111" s="49"/>
      <c r="BG111" s="50"/>
      <c r="BH111" s="49"/>
      <c r="BI111" s="50"/>
      <c r="BJ111" s="49"/>
      <c r="BK111" s="50"/>
      <c r="BL111" s="49"/>
      <c r="BM111" s="50"/>
      <c r="BN111" s="49"/>
    </row>
    <row r="112" spans="1:66" ht="15">
      <c r="A112" s="66" t="s">
        <v>278</v>
      </c>
      <c r="B112" s="66" t="s">
        <v>291</v>
      </c>
      <c r="C112" s="67" t="s">
        <v>1011</v>
      </c>
      <c r="D112" s="68">
        <v>3</v>
      </c>
      <c r="E112" s="69" t="s">
        <v>132</v>
      </c>
      <c r="F112" s="70">
        <v>32</v>
      </c>
      <c r="G112" s="67"/>
      <c r="H112" s="71"/>
      <c r="I112" s="72"/>
      <c r="J112" s="72"/>
      <c r="K112" s="35" t="s">
        <v>65</v>
      </c>
      <c r="L112" s="80">
        <v>112</v>
      </c>
      <c r="M112" s="80"/>
      <c r="N112" s="74"/>
      <c r="O112" s="82" t="s">
        <v>302</v>
      </c>
      <c r="P112" s="84">
        <v>44483.41685185185</v>
      </c>
      <c r="Q112" s="82" t="s">
        <v>332</v>
      </c>
      <c r="R112" s="82"/>
      <c r="S112" s="82"/>
      <c r="T112" s="82"/>
      <c r="U112" s="82"/>
      <c r="V112" s="85" t="str">
        <f>HYPERLINK("https://pbs.twimg.com/profile_images/1356378821558202377/2aWD1TmO_normal.jpg")</f>
        <v>https://pbs.twimg.com/profile_images/1356378821558202377/2aWD1TmO_normal.jpg</v>
      </c>
      <c r="W112" s="84">
        <v>44483.41685185185</v>
      </c>
      <c r="X112" s="89">
        <v>44483</v>
      </c>
      <c r="Y112" s="86" t="s">
        <v>377</v>
      </c>
      <c r="Z112" s="85" t="str">
        <f>HYPERLINK("https://twitter.com/bridgetcraig17/status/1448589464146690051")</f>
        <v>https://twitter.com/bridgetcraig17/status/1448589464146690051</v>
      </c>
      <c r="AA112" s="82"/>
      <c r="AB112" s="82"/>
      <c r="AC112" s="86" t="s">
        <v>418</v>
      </c>
      <c r="AD112" s="86" t="s">
        <v>431</v>
      </c>
      <c r="AE112" s="82" t="b">
        <v>0</v>
      </c>
      <c r="AF112" s="82">
        <v>4</v>
      </c>
      <c r="AG112" s="86" t="s">
        <v>432</v>
      </c>
      <c r="AH112" s="82" t="b">
        <v>0</v>
      </c>
      <c r="AI112" s="82" t="s">
        <v>439</v>
      </c>
      <c r="AJ112" s="82"/>
      <c r="AK112" s="86" t="s">
        <v>441</v>
      </c>
      <c r="AL112" s="82" t="b">
        <v>0</v>
      </c>
      <c r="AM112" s="82">
        <v>0</v>
      </c>
      <c r="AN112" s="86" t="s">
        <v>441</v>
      </c>
      <c r="AO112" s="86" t="s">
        <v>445</v>
      </c>
      <c r="AP112" s="82" t="b">
        <v>0</v>
      </c>
      <c r="AQ112" s="86" t="s">
        <v>431</v>
      </c>
      <c r="AR112" s="82"/>
      <c r="AS112" s="82">
        <v>0</v>
      </c>
      <c r="AT112" s="82">
        <v>0</v>
      </c>
      <c r="AU112" s="82"/>
      <c r="AV112" s="82"/>
      <c r="AW112" s="82"/>
      <c r="AX112" s="82"/>
      <c r="AY112" s="82"/>
      <c r="AZ112" s="82"/>
      <c r="BA112" s="82"/>
      <c r="BB112" s="82"/>
      <c r="BC112">
        <v>1</v>
      </c>
      <c r="BD112" s="81" t="str">
        <f>REPLACE(INDEX(GroupVertices[Group],MATCH(Edges[[#This Row],[Vertex 1]],GroupVertices[Vertex],0)),1,1,"")</f>
        <v>1</v>
      </c>
      <c r="BE112" s="81" t="str">
        <f>REPLACE(INDEX(GroupVertices[Group],MATCH(Edges[[#This Row],[Vertex 2]],GroupVertices[Vertex],0)),1,1,"")</f>
        <v>1</v>
      </c>
      <c r="BF112" s="49"/>
      <c r="BG112" s="50"/>
      <c r="BH112" s="49"/>
      <c r="BI112" s="50"/>
      <c r="BJ112" s="49"/>
      <c r="BK112" s="50"/>
      <c r="BL112" s="49"/>
      <c r="BM112" s="50"/>
      <c r="BN112" s="49"/>
    </row>
    <row r="113" spans="1:66" ht="15">
      <c r="A113" s="66" t="s">
        <v>278</v>
      </c>
      <c r="B113" s="66" t="s">
        <v>289</v>
      </c>
      <c r="C113" s="67" t="s">
        <v>1011</v>
      </c>
      <c r="D113" s="68">
        <v>3</v>
      </c>
      <c r="E113" s="69" t="s">
        <v>132</v>
      </c>
      <c r="F113" s="70">
        <v>32</v>
      </c>
      <c r="G113" s="67"/>
      <c r="H113" s="71"/>
      <c r="I113" s="72"/>
      <c r="J113" s="72"/>
      <c r="K113" s="35" t="s">
        <v>65</v>
      </c>
      <c r="L113" s="80">
        <v>113</v>
      </c>
      <c r="M113" s="80"/>
      <c r="N113" s="74"/>
      <c r="O113" s="82" t="s">
        <v>303</v>
      </c>
      <c r="P113" s="84">
        <v>44483.41685185185</v>
      </c>
      <c r="Q113" s="82" t="s">
        <v>332</v>
      </c>
      <c r="R113" s="82"/>
      <c r="S113" s="82"/>
      <c r="T113" s="82"/>
      <c r="U113" s="82"/>
      <c r="V113" s="85" t="str">
        <f>HYPERLINK("https://pbs.twimg.com/profile_images/1356378821558202377/2aWD1TmO_normal.jpg")</f>
        <v>https://pbs.twimg.com/profile_images/1356378821558202377/2aWD1TmO_normal.jpg</v>
      </c>
      <c r="W113" s="84">
        <v>44483.41685185185</v>
      </c>
      <c r="X113" s="89">
        <v>44483</v>
      </c>
      <c r="Y113" s="86" t="s">
        <v>377</v>
      </c>
      <c r="Z113" s="85" t="str">
        <f>HYPERLINK("https://twitter.com/bridgetcraig17/status/1448589464146690051")</f>
        <v>https://twitter.com/bridgetcraig17/status/1448589464146690051</v>
      </c>
      <c r="AA113" s="82"/>
      <c r="AB113" s="82"/>
      <c r="AC113" s="86" t="s">
        <v>418</v>
      </c>
      <c r="AD113" s="86" t="s">
        <v>431</v>
      </c>
      <c r="AE113" s="82" t="b">
        <v>0</v>
      </c>
      <c r="AF113" s="82">
        <v>4</v>
      </c>
      <c r="AG113" s="86" t="s">
        <v>432</v>
      </c>
      <c r="AH113" s="82" t="b">
        <v>0</v>
      </c>
      <c r="AI113" s="82" t="s">
        <v>439</v>
      </c>
      <c r="AJ113" s="82"/>
      <c r="AK113" s="86" t="s">
        <v>441</v>
      </c>
      <c r="AL113" s="82" t="b">
        <v>0</v>
      </c>
      <c r="AM113" s="82">
        <v>0</v>
      </c>
      <c r="AN113" s="86" t="s">
        <v>441</v>
      </c>
      <c r="AO113" s="86" t="s">
        <v>445</v>
      </c>
      <c r="AP113" s="82" t="b">
        <v>0</v>
      </c>
      <c r="AQ113" s="86" t="s">
        <v>431</v>
      </c>
      <c r="AR113" s="82"/>
      <c r="AS113" s="82">
        <v>0</v>
      </c>
      <c r="AT113" s="82">
        <v>0</v>
      </c>
      <c r="AU113" s="82"/>
      <c r="AV113" s="82"/>
      <c r="AW113" s="82"/>
      <c r="AX113" s="82"/>
      <c r="AY113" s="82"/>
      <c r="AZ113" s="82"/>
      <c r="BA113" s="82"/>
      <c r="BB113" s="82"/>
      <c r="BC113">
        <v>1</v>
      </c>
      <c r="BD113" s="81" t="str">
        <f>REPLACE(INDEX(GroupVertices[Group],MATCH(Edges[[#This Row],[Vertex 1]],GroupVertices[Vertex],0)),1,1,"")</f>
        <v>1</v>
      </c>
      <c r="BE113" s="81" t="str">
        <f>REPLACE(INDEX(GroupVertices[Group],MATCH(Edges[[#This Row],[Vertex 2]],GroupVertices[Vertex],0)),1,1,"")</f>
        <v>1</v>
      </c>
      <c r="BF113" s="49">
        <v>0</v>
      </c>
      <c r="BG113" s="50">
        <v>0</v>
      </c>
      <c r="BH113" s="49">
        <v>0</v>
      </c>
      <c r="BI113" s="50">
        <v>0</v>
      </c>
      <c r="BJ113" s="49">
        <v>0</v>
      </c>
      <c r="BK113" s="50">
        <v>0</v>
      </c>
      <c r="BL113" s="49">
        <v>10</v>
      </c>
      <c r="BM113" s="50">
        <v>100</v>
      </c>
      <c r="BN113" s="49">
        <v>10</v>
      </c>
    </row>
    <row r="114" spans="1:66" ht="15">
      <c r="A114" s="66" t="s">
        <v>279</v>
      </c>
      <c r="B114" s="66" t="s">
        <v>297</v>
      </c>
      <c r="C114" s="67" t="s">
        <v>1011</v>
      </c>
      <c r="D114" s="68">
        <v>3</v>
      </c>
      <c r="E114" s="69" t="s">
        <v>132</v>
      </c>
      <c r="F114" s="70">
        <v>32</v>
      </c>
      <c r="G114" s="67"/>
      <c r="H114" s="71"/>
      <c r="I114" s="72"/>
      <c r="J114" s="72"/>
      <c r="K114" s="35" t="s">
        <v>65</v>
      </c>
      <c r="L114" s="80">
        <v>114</v>
      </c>
      <c r="M114" s="80"/>
      <c r="N114" s="74"/>
      <c r="O114" s="82" t="s">
        <v>302</v>
      </c>
      <c r="P114" s="84">
        <v>44483.37673611111</v>
      </c>
      <c r="Q114" s="82" t="s">
        <v>333</v>
      </c>
      <c r="R114" s="82"/>
      <c r="S114" s="82"/>
      <c r="T114" s="82"/>
      <c r="U114" s="82"/>
      <c r="V114" s="85" t="str">
        <f>HYPERLINK("https://pbs.twimg.com/profile_images/1405249649703755778/ZuPyNeeH_normal.jpg")</f>
        <v>https://pbs.twimg.com/profile_images/1405249649703755778/ZuPyNeeH_normal.jpg</v>
      </c>
      <c r="W114" s="84">
        <v>44483.37673611111</v>
      </c>
      <c r="X114" s="89">
        <v>44483</v>
      </c>
      <c r="Y114" s="86" t="s">
        <v>378</v>
      </c>
      <c r="Z114" s="85" t="str">
        <f>HYPERLINK("https://twitter.com/georgehotchki14/status/1448574929172054020")</f>
        <v>https://twitter.com/georgehotchki14/status/1448574929172054020</v>
      </c>
      <c r="AA114" s="82"/>
      <c r="AB114" s="82"/>
      <c r="AC114" s="86" t="s">
        <v>419</v>
      </c>
      <c r="AD114" s="86" t="s">
        <v>431</v>
      </c>
      <c r="AE114" s="82" t="b">
        <v>0</v>
      </c>
      <c r="AF114" s="82">
        <v>34</v>
      </c>
      <c r="AG114" s="86" t="s">
        <v>432</v>
      </c>
      <c r="AH114" s="82" t="b">
        <v>0</v>
      </c>
      <c r="AI114" s="82" t="s">
        <v>439</v>
      </c>
      <c r="AJ114" s="82"/>
      <c r="AK114" s="86" t="s">
        <v>441</v>
      </c>
      <c r="AL114" s="82" t="b">
        <v>0</v>
      </c>
      <c r="AM114" s="82">
        <v>7</v>
      </c>
      <c r="AN114" s="86" t="s">
        <v>441</v>
      </c>
      <c r="AO114" s="86" t="s">
        <v>447</v>
      </c>
      <c r="AP114" s="82" t="b">
        <v>0</v>
      </c>
      <c r="AQ114" s="86" t="s">
        <v>431</v>
      </c>
      <c r="AR114" s="82"/>
      <c r="AS114" s="82">
        <v>0</v>
      </c>
      <c r="AT114" s="82">
        <v>0</v>
      </c>
      <c r="AU114" s="82"/>
      <c r="AV114" s="82"/>
      <c r="AW114" s="82"/>
      <c r="AX114" s="82"/>
      <c r="AY114" s="82"/>
      <c r="AZ114" s="82"/>
      <c r="BA114" s="82"/>
      <c r="BB114" s="82"/>
      <c r="BC114">
        <v>1</v>
      </c>
      <c r="BD114" s="81" t="str">
        <f>REPLACE(INDEX(GroupVertices[Group],MATCH(Edges[[#This Row],[Vertex 1]],GroupVertices[Vertex],0)),1,1,"")</f>
        <v>1</v>
      </c>
      <c r="BE114" s="81" t="str">
        <f>REPLACE(INDEX(GroupVertices[Group],MATCH(Edges[[#This Row],[Vertex 2]],GroupVertices[Vertex],0)),1,1,"")</f>
        <v>1</v>
      </c>
      <c r="BF114" s="49">
        <v>1</v>
      </c>
      <c r="BG114" s="50">
        <v>5</v>
      </c>
      <c r="BH114" s="49">
        <v>1</v>
      </c>
      <c r="BI114" s="50">
        <v>5</v>
      </c>
      <c r="BJ114" s="49">
        <v>0</v>
      </c>
      <c r="BK114" s="50">
        <v>0</v>
      </c>
      <c r="BL114" s="49">
        <v>18</v>
      </c>
      <c r="BM114" s="50">
        <v>90</v>
      </c>
      <c r="BN114" s="49">
        <v>20</v>
      </c>
    </row>
    <row r="115" spans="1:66" ht="15">
      <c r="A115" s="66" t="s">
        <v>279</v>
      </c>
      <c r="B115" s="66" t="s">
        <v>290</v>
      </c>
      <c r="C115" s="67" t="s">
        <v>1011</v>
      </c>
      <c r="D115" s="68">
        <v>3</v>
      </c>
      <c r="E115" s="69" t="s">
        <v>132</v>
      </c>
      <c r="F115" s="70">
        <v>32</v>
      </c>
      <c r="G115" s="67"/>
      <c r="H115" s="71"/>
      <c r="I115" s="72"/>
      <c r="J115" s="72"/>
      <c r="K115" s="35" t="s">
        <v>65</v>
      </c>
      <c r="L115" s="80">
        <v>115</v>
      </c>
      <c r="M115" s="80"/>
      <c r="N115" s="74"/>
      <c r="O115" s="82" t="s">
        <v>302</v>
      </c>
      <c r="P115" s="84">
        <v>44483.37673611111</v>
      </c>
      <c r="Q115" s="82" t="s">
        <v>333</v>
      </c>
      <c r="R115" s="82"/>
      <c r="S115" s="82"/>
      <c r="T115" s="82"/>
      <c r="U115" s="82"/>
      <c r="V115" s="85" t="str">
        <f>HYPERLINK("https://pbs.twimg.com/profile_images/1405249649703755778/ZuPyNeeH_normal.jpg")</f>
        <v>https://pbs.twimg.com/profile_images/1405249649703755778/ZuPyNeeH_normal.jpg</v>
      </c>
      <c r="W115" s="84">
        <v>44483.37673611111</v>
      </c>
      <c r="X115" s="89">
        <v>44483</v>
      </c>
      <c r="Y115" s="86" t="s">
        <v>378</v>
      </c>
      <c r="Z115" s="85" t="str">
        <f>HYPERLINK("https://twitter.com/georgehotchki14/status/1448574929172054020")</f>
        <v>https://twitter.com/georgehotchki14/status/1448574929172054020</v>
      </c>
      <c r="AA115" s="82"/>
      <c r="AB115" s="82"/>
      <c r="AC115" s="86" t="s">
        <v>419</v>
      </c>
      <c r="AD115" s="86" t="s">
        <v>431</v>
      </c>
      <c r="AE115" s="82" t="b">
        <v>0</v>
      </c>
      <c r="AF115" s="82">
        <v>34</v>
      </c>
      <c r="AG115" s="86" t="s">
        <v>432</v>
      </c>
      <c r="AH115" s="82" t="b">
        <v>0</v>
      </c>
      <c r="AI115" s="82" t="s">
        <v>439</v>
      </c>
      <c r="AJ115" s="82"/>
      <c r="AK115" s="86" t="s">
        <v>441</v>
      </c>
      <c r="AL115" s="82" t="b">
        <v>0</v>
      </c>
      <c r="AM115" s="82">
        <v>7</v>
      </c>
      <c r="AN115" s="86" t="s">
        <v>441</v>
      </c>
      <c r="AO115" s="86" t="s">
        <v>447</v>
      </c>
      <c r="AP115" s="82" t="b">
        <v>0</v>
      </c>
      <c r="AQ115" s="86" t="s">
        <v>431</v>
      </c>
      <c r="AR115" s="82"/>
      <c r="AS115" s="82">
        <v>0</v>
      </c>
      <c r="AT115" s="82">
        <v>0</v>
      </c>
      <c r="AU115" s="82"/>
      <c r="AV115" s="82"/>
      <c r="AW115" s="82"/>
      <c r="AX115" s="82"/>
      <c r="AY115" s="82"/>
      <c r="AZ115" s="82"/>
      <c r="BA115" s="82"/>
      <c r="BB115" s="82"/>
      <c r="BC115">
        <v>1</v>
      </c>
      <c r="BD115" s="81" t="str">
        <f>REPLACE(INDEX(GroupVertices[Group],MATCH(Edges[[#This Row],[Vertex 1]],GroupVertices[Vertex],0)),1,1,"")</f>
        <v>1</v>
      </c>
      <c r="BE115" s="81" t="str">
        <f>REPLACE(INDEX(GroupVertices[Group],MATCH(Edges[[#This Row],[Vertex 2]],GroupVertices[Vertex],0)),1,1,"")</f>
        <v>1</v>
      </c>
      <c r="BF115" s="49"/>
      <c r="BG115" s="50"/>
      <c r="BH115" s="49"/>
      <c r="BI115" s="50"/>
      <c r="BJ115" s="49"/>
      <c r="BK115" s="50"/>
      <c r="BL115" s="49"/>
      <c r="BM115" s="50"/>
      <c r="BN115" s="49"/>
    </row>
    <row r="116" spans="1:66" ht="15">
      <c r="A116" s="66" t="s">
        <v>279</v>
      </c>
      <c r="B116" s="66" t="s">
        <v>291</v>
      </c>
      <c r="C116" s="67" t="s">
        <v>1011</v>
      </c>
      <c r="D116" s="68">
        <v>3</v>
      </c>
      <c r="E116" s="69" t="s">
        <v>132</v>
      </c>
      <c r="F116" s="70">
        <v>32</v>
      </c>
      <c r="G116" s="67"/>
      <c r="H116" s="71"/>
      <c r="I116" s="72"/>
      <c r="J116" s="72"/>
      <c r="K116" s="35" t="s">
        <v>65</v>
      </c>
      <c r="L116" s="80">
        <v>116</v>
      </c>
      <c r="M116" s="80"/>
      <c r="N116" s="74"/>
      <c r="O116" s="82" t="s">
        <v>302</v>
      </c>
      <c r="P116" s="84">
        <v>44483.37673611111</v>
      </c>
      <c r="Q116" s="82" t="s">
        <v>333</v>
      </c>
      <c r="R116" s="82"/>
      <c r="S116" s="82"/>
      <c r="T116" s="82"/>
      <c r="U116" s="82"/>
      <c r="V116" s="85" t="str">
        <f>HYPERLINK("https://pbs.twimg.com/profile_images/1405249649703755778/ZuPyNeeH_normal.jpg")</f>
        <v>https://pbs.twimg.com/profile_images/1405249649703755778/ZuPyNeeH_normal.jpg</v>
      </c>
      <c r="W116" s="84">
        <v>44483.37673611111</v>
      </c>
      <c r="X116" s="89">
        <v>44483</v>
      </c>
      <c r="Y116" s="86" t="s">
        <v>378</v>
      </c>
      <c r="Z116" s="85" t="str">
        <f>HYPERLINK("https://twitter.com/georgehotchki14/status/1448574929172054020")</f>
        <v>https://twitter.com/georgehotchki14/status/1448574929172054020</v>
      </c>
      <c r="AA116" s="82"/>
      <c r="AB116" s="82"/>
      <c r="AC116" s="86" t="s">
        <v>419</v>
      </c>
      <c r="AD116" s="86" t="s">
        <v>431</v>
      </c>
      <c r="AE116" s="82" t="b">
        <v>0</v>
      </c>
      <c r="AF116" s="82">
        <v>34</v>
      </c>
      <c r="AG116" s="86" t="s">
        <v>432</v>
      </c>
      <c r="AH116" s="82" t="b">
        <v>0</v>
      </c>
      <c r="AI116" s="82" t="s">
        <v>439</v>
      </c>
      <c r="AJ116" s="82"/>
      <c r="AK116" s="86" t="s">
        <v>441</v>
      </c>
      <c r="AL116" s="82" t="b">
        <v>0</v>
      </c>
      <c r="AM116" s="82">
        <v>7</v>
      </c>
      <c r="AN116" s="86" t="s">
        <v>441</v>
      </c>
      <c r="AO116" s="86" t="s">
        <v>447</v>
      </c>
      <c r="AP116" s="82" t="b">
        <v>0</v>
      </c>
      <c r="AQ116" s="86" t="s">
        <v>431</v>
      </c>
      <c r="AR116" s="82"/>
      <c r="AS116" s="82">
        <v>0</v>
      </c>
      <c r="AT116" s="82">
        <v>0</v>
      </c>
      <c r="AU116" s="82"/>
      <c r="AV116" s="82"/>
      <c r="AW116" s="82"/>
      <c r="AX116" s="82"/>
      <c r="AY116" s="82"/>
      <c r="AZ116" s="82"/>
      <c r="BA116" s="82"/>
      <c r="BB116" s="82"/>
      <c r="BC116">
        <v>1</v>
      </c>
      <c r="BD116" s="81" t="str">
        <f>REPLACE(INDEX(GroupVertices[Group],MATCH(Edges[[#This Row],[Vertex 1]],GroupVertices[Vertex],0)),1,1,"")</f>
        <v>1</v>
      </c>
      <c r="BE116" s="81" t="str">
        <f>REPLACE(INDEX(GroupVertices[Group],MATCH(Edges[[#This Row],[Vertex 2]],GroupVertices[Vertex],0)),1,1,"")</f>
        <v>1</v>
      </c>
      <c r="BF116" s="49"/>
      <c r="BG116" s="50"/>
      <c r="BH116" s="49"/>
      <c r="BI116" s="50"/>
      <c r="BJ116" s="49"/>
      <c r="BK116" s="50"/>
      <c r="BL116" s="49"/>
      <c r="BM116" s="50"/>
      <c r="BN116" s="49"/>
    </row>
    <row r="117" spans="1:66" ht="15">
      <c r="A117" s="66" t="s">
        <v>279</v>
      </c>
      <c r="B117" s="66" t="s">
        <v>289</v>
      </c>
      <c r="C117" s="67" t="s">
        <v>1011</v>
      </c>
      <c r="D117" s="68">
        <v>3</v>
      </c>
      <c r="E117" s="69" t="s">
        <v>132</v>
      </c>
      <c r="F117" s="70">
        <v>32</v>
      </c>
      <c r="G117" s="67"/>
      <c r="H117" s="71"/>
      <c r="I117" s="72"/>
      <c r="J117" s="72"/>
      <c r="K117" s="35" t="s">
        <v>65</v>
      </c>
      <c r="L117" s="80">
        <v>117</v>
      </c>
      <c r="M117" s="80"/>
      <c r="N117" s="74"/>
      <c r="O117" s="82" t="s">
        <v>303</v>
      </c>
      <c r="P117" s="84">
        <v>44483.37673611111</v>
      </c>
      <c r="Q117" s="82" t="s">
        <v>333</v>
      </c>
      <c r="R117" s="82"/>
      <c r="S117" s="82"/>
      <c r="T117" s="82"/>
      <c r="U117" s="82"/>
      <c r="V117" s="85" t="str">
        <f>HYPERLINK("https://pbs.twimg.com/profile_images/1405249649703755778/ZuPyNeeH_normal.jpg")</f>
        <v>https://pbs.twimg.com/profile_images/1405249649703755778/ZuPyNeeH_normal.jpg</v>
      </c>
      <c r="W117" s="84">
        <v>44483.37673611111</v>
      </c>
      <c r="X117" s="89">
        <v>44483</v>
      </c>
      <c r="Y117" s="86" t="s">
        <v>378</v>
      </c>
      <c r="Z117" s="85" t="str">
        <f>HYPERLINK("https://twitter.com/georgehotchki14/status/1448574929172054020")</f>
        <v>https://twitter.com/georgehotchki14/status/1448574929172054020</v>
      </c>
      <c r="AA117" s="82"/>
      <c r="AB117" s="82"/>
      <c r="AC117" s="86" t="s">
        <v>419</v>
      </c>
      <c r="AD117" s="86" t="s">
        <v>431</v>
      </c>
      <c r="AE117" s="82" t="b">
        <v>0</v>
      </c>
      <c r="AF117" s="82">
        <v>34</v>
      </c>
      <c r="AG117" s="86" t="s">
        <v>432</v>
      </c>
      <c r="AH117" s="82" t="b">
        <v>0</v>
      </c>
      <c r="AI117" s="82" t="s">
        <v>439</v>
      </c>
      <c r="AJ117" s="82"/>
      <c r="AK117" s="86" t="s">
        <v>441</v>
      </c>
      <c r="AL117" s="82" t="b">
        <v>0</v>
      </c>
      <c r="AM117" s="82">
        <v>7</v>
      </c>
      <c r="AN117" s="86" t="s">
        <v>441</v>
      </c>
      <c r="AO117" s="86" t="s">
        <v>447</v>
      </c>
      <c r="AP117" s="82" t="b">
        <v>0</v>
      </c>
      <c r="AQ117" s="86" t="s">
        <v>431</v>
      </c>
      <c r="AR117" s="82"/>
      <c r="AS117" s="82">
        <v>0</v>
      </c>
      <c r="AT117" s="82">
        <v>0</v>
      </c>
      <c r="AU117" s="82"/>
      <c r="AV117" s="82"/>
      <c r="AW117" s="82"/>
      <c r="AX117" s="82"/>
      <c r="AY117" s="82"/>
      <c r="AZ117" s="82"/>
      <c r="BA117" s="82"/>
      <c r="BB117" s="82"/>
      <c r="BC117">
        <v>1</v>
      </c>
      <c r="BD117" s="81" t="str">
        <f>REPLACE(INDEX(GroupVertices[Group],MATCH(Edges[[#This Row],[Vertex 1]],GroupVertices[Vertex],0)),1,1,"")</f>
        <v>1</v>
      </c>
      <c r="BE117" s="81" t="str">
        <f>REPLACE(INDEX(GroupVertices[Group],MATCH(Edges[[#This Row],[Vertex 2]],GroupVertices[Vertex],0)),1,1,"")</f>
        <v>1</v>
      </c>
      <c r="BF117" s="49"/>
      <c r="BG117" s="50"/>
      <c r="BH117" s="49"/>
      <c r="BI117" s="50"/>
      <c r="BJ117" s="49"/>
      <c r="BK117" s="50"/>
      <c r="BL117" s="49"/>
      <c r="BM117" s="50"/>
      <c r="BN117" s="49"/>
    </row>
    <row r="118" spans="1:66" ht="15">
      <c r="A118" s="66" t="s">
        <v>280</v>
      </c>
      <c r="B118" s="66" t="s">
        <v>290</v>
      </c>
      <c r="C118" s="67" t="s">
        <v>1011</v>
      </c>
      <c r="D118" s="68">
        <v>3</v>
      </c>
      <c r="E118" s="69" t="s">
        <v>132</v>
      </c>
      <c r="F118" s="70">
        <v>32</v>
      </c>
      <c r="G118" s="67"/>
      <c r="H118" s="71"/>
      <c r="I118" s="72"/>
      <c r="J118" s="72"/>
      <c r="K118" s="35" t="s">
        <v>65</v>
      </c>
      <c r="L118" s="80">
        <v>118</v>
      </c>
      <c r="M118" s="80"/>
      <c r="N118" s="74"/>
      <c r="O118" s="82" t="s">
        <v>302</v>
      </c>
      <c r="P118" s="84">
        <v>44483.72277777778</v>
      </c>
      <c r="Q118" s="82" t="s">
        <v>334</v>
      </c>
      <c r="R118" s="82"/>
      <c r="S118" s="82"/>
      <c r="T118" s="82"/>
      <c r="U118" s="82"/>
      <c r="V118" s="85" t="str">
        <f>HYPERLINK("https://abs.twimg.com/sticky/default_profile_images/default_profile_normal.png")</f>
        <v>https://abs.twimg.com/sticky/default_profile_images/default_profile_normal.png</v>
      </c>
      <c r="W118" s="84">
        <v>44483.72277777778</v>
      </c>
      <c r="X118" s="89">
        <v>44483</v>
      </c>
      <c r="Y118" s="86" t="s">
        <v>379</v>
      </c>
      <c r="Z118" s="85" t="str">
        <f>HYPERLINK("https://twitter.com/juliejohnson7/status/1448700330422767622")</f>
        <v>https://twitter.com/juliejohnson7/status/1448700330422767622</v>
      </c>
      <c r="AA118" s="82"/>
      <c r="AB118" s="82"/>
      <c r="AC118" s="86" t="s">
        <v>420</v>
      </c>
      <c r="AD118" s="86" t="s">
        <v>431</v>
      </c>
      <c r="AE118" s="82" t="b">
        <v>0</v>
      </c>
      <c r="AF118" s="82">
        <v>1</v>
      </c>
      <c r="AG118" s="86" t="s">
        <v>432</v>
      </c>
      <c r="AH118" s="82" t="b">
        <v>0</v>
      </c>
      <c r="AI118" s="82" t="s">
        <v>439</v>
      </c>
      <c r="AJ118" s="82"/>
      <c r="AK118" s="86" t="s">
        <v>441</v>
      </c>
      <c r="AL118" s="82" t="b">
        <v>0</v>
      </c>
      <c r="AM118" s="82">
        <v>0</v>
      </c>
      <c r="AN118" s="86" t="s">
        <v>441</v>
      </c>
      <c r="AO118" s="86" t="s">
        <v>447</v>
      </c>
      <c r="AP118" s="82" t="b">
        <v>0</v>
      </c>
      <c r="AQ118" s="86" t="s">
        <v>431</v>
      </c>
      <c r="AR118" s="82"/>
      <c r="AS118" s="82">
        <v>0</v>
      </c>
      <c r="AT118" s="82">
        <v>0</v>
      </c>
      <c r="AU118" s="82"/>
      <c r="AV118" s="82"/>
      <c r="AW118" s="82"/>
      <c r="AX118" s="82"/>
      <c r="AY118" s="82"/>
      <c r="AZ118" s="82"/>
      <c r="BA118" s="82"/>
      <c r="BB118" s="82"/>
      <c r="BC118">
        <v>1</v>
      </c>
      <c r="BD118" s="81" t="str">
        <f>REPLACE(INDEX(GroupVertices[Group],MATCH(Edges[[#This Row],[Vertex 1]],GroupVertices[Vertex],0)),1,1,"")</f>
        <v>1</v>
      </c>
      <c r="BE118" s="81" t="str">
        <f>REPLACE(INDEX(GroupVertices[Group],MATCH(Edges[[#This Row],[Vertex 2]],GroupVertices[Vertex],0)),1,1,"")</f>
        <v>1</v>
      </c>
      <c r="BF118" s="49"/>
      <c r="BG118" s="50"/>
      <c r="BH118" s="49"/>
      <c r="BI118" s="50"/>
      <c r="BJ118" s="49"/>
      <c r="BK118" s="50"/>
      <c r="BL118" s="49"/>
      <c r="BM118" s="50"/>
      <c r="BN118" s="49"/>
    </row>
    <row r="119" spans="1:66" ht="15">
      <c r="A119" s="66" t="s">
        <v>280</v>
      </c>
      <c r="B119" s="66" t="s">
        <v>291</v>
      </c>
      <c r="C119" s="67" t="s">
        <v>1011</v>
      </c>
      <c r="D119" s="68">
        <v>3</v>
      </c>
      <c r="E119" s="69" t="s">
        <v>132</v>
      </c>
      <c r="F119" s="70">
        <v>32</v>
      </c>
      <c r="G119" s="67"/>
      <c r="H119" s="71"/>
      <c r="I119" s="72"/>
      <c r="J119" s="72"/>
      <c r="K119" s="35" t="s">
        <v>65</v>
      </c>
      <c r="L119" s="80">
        <v>119</v>
      </c>
      <c r="M119" s="80"/>
      <c r="N119" s="74"/>
      <c r="O119" s="82" t="s">
        <v>302</v>
      </c>
      <c r="P119" s="84">
        <v>44483.72277777778</v>
      </c>
      <c r="Q119" s="82" t="s">
        <v>334</v>
      </c>
      <c r="R119" s="82"/>
      <c r="S119" s="82"/>
      <c r="T119" s="82"/>
      <c r="U119" s="82"/>
      <c r="V119" s="85" t="str">
        <f>HYPERLINK("https://abs.twimg.com/sticky/default_profile_images/default_profile_normal.png")</f>
        <v>https://abs.twimg.com/sticky/default_profile_images/default_profile_normal.png</v>
      </c>
      <c r="W119" s="84">
        <v>44483.72277777778</v>
      </c>
      <c r="X119" s="89">
        <v>44483</v>
      </c>
      <c r="Y119" s="86" t="s">
        <v>379</v>
      </c>
      <c r="Z119" s="85" t="str">
        <f>HYPERLINK("https://twitter.com/juliejohnson7/status/1448700330422767622")</f>
        <v>https://twitter.com/juliejohnson7/status/1448700330422767622</v>
      </c>
      <c r="AA119" s="82"/>
      <c r="AB119" s="82"/>
      <c r="AC119" s="86" t="s">
        <v>420</v>
      </c>
      <c r="AD119" s="86" t="s">
        <v>431</v>
      </c>
      <c r="AE119" s="82" t="b">
        <v>0</v>
      </c>
      <c r="AF119" s="82">
        <v>1</v>
      </c>
      <c r="AG119" s="86" t="s">
        <v>432</v>
      </c>
      <c r="AH119" s="82" t="b">
        <v>0</v>
      </c>
      <c r="AI119" s="82" t="s">
        <v>439</v>
      </c>
      <c r="AJ119" s="82"/>
      <c r="AK119" s="86" t="s">
        <v>441</v>
      </c>
      <c r="AL119" s="82" t="b">
        <v>0</v>
      </c>
      <c r="AM119" s="82">
        <v>0</v>
      </c>
      <c r="AN119" s="86" t="s">
        <v>441</v>
      </c>
      <c r="AO119" s="86" t="s">
        <v>447</v>
      </c>
      <c r="AP119" s="82" t="b">
        <v>0</v>
      </c>
      <c r="AQ119" s="86" t="s">
        <v>431</v>
      </c>
      <c r="AR119" s="82"/>
      <c r="AS119" s="82">
        <v>0</v>
      </c>
      <c r="AT119" s="82">
        <v>0</v>
      </c>
      <c r="AU119" s="82"/>
      <c r="AV119" s="82"/>
      <c r="AW119" s="82"/>
      <c r="AX119" s="82"/>
      <c r="AY119" s="82"/>
      <c r="AZ119" s="82"/>
      <c r="BA119" s="82"/>
      <c r="BB119" s="82"/>
      <c r="BC119">
        <v>1</v>
      </c>
      <c r="BD119" s="81" t="str">
        <f>REPLACE(INDEX(GroupVertices[Group],MATCH(Edges[[#This Row],[Vertex 1]],GroupVertices[Vertex],0)),1,1,"")</f>
        <v>1</v>
      </c>
      <c r="BE119" s="81" t="str">
        <f>REPLACE(INDEX(GroupVertices[Group],MATCH(Edges[[#This Row],[Vertex 2]],GroupVertices[Vertex],0)),1,1,"")</f>
        <v>1</v>
      </c>
      <c r="BF119" s="49"/>
      <c r="BG119" s="50"/>
      <c r="BH119" s="49"/>
      <c r="BI119" s="50"/>
      <c r="BJ119" s="49"/>
      <c r="BK119" s="50"/>
      <c r="BL119" s="49"/>
      <c r="BM119" s="50"/>
      <c r="BN119" s="49"/>
    </row>
    <row r="120" spans="1:66" ht="15">
      <c r="A120" s="66" t="s">
        <v>280</v>
      </c>
      <c r="B120" s="66" t="s">
        <v>289</v>
      </c>
      <c r="C120" s="67" t="s">
        <v>1011</v>
      </c>
      <c r="D120" s="68">
        <v>3</v>
      </c>
      <c r="E120" s="69" t="s">
        <v>132</v>
      </c>
      <c r="F120" s="70">
        <v>32</v>
      </c>
      <c r="G120" s="67"/>
      <c r="H120" s="71"/>
      <c r="I120" s="72"/>
      <c r="J120" s="72"/>
      <c r="K120" s="35" t="s">
        <v>65</v>
      </c>
      <c r="L120" s="80">
        <v>120</v>
      </c>
      <c r="M120" s="80"/>
      <c r="N120" s="74"/>
      <c r="O120" s="82" t="s">
        <v>303</v>
      </c>
      <c r="P120" s="84">
        <v>44483.72277777778</v>
      </c>
      <c r="Q120" s="82" t="s">
        <v>334</v>
      </c>
      <c r="R120" s="82"/>
      <c r="S120" s="82"/>
      <c r="T120" s="82"/>
      <c r="U120" s="82"/>
      <c r="V120" s="85" t="str">
        <f>HYPERLINK("https://abs.twimg.com/sticky/default_profile_images/default_profile_normal.png")</f>
        <v>https://abs.twimg.com/sticky/default_profile_images/default_profile_normal.png</v>
      </c>
      <c r="W120" s="84">
        <v>44483.72277777778</v>
      </c>
      <c r="X120" s="89">
        <v>44483</v>
      </c>
      <c r="Y120" s="86" t="s">
        <v>379</v>
      </c>
      <c r="Z120" s="85" t="str">
        <f>HYPERLINK("https://twitter.com/juliejohnson7/status/1448700330422767622")</f>
        <v>https://twitter.com/juliejohnson7/status/1448700330422767622</v>
      </c>
      <c r="AA120" s="82"/>
      <c r="AB120" s="82"/>
      <c r="AC120" s="86" t="s">
        <v>420</v>
      </c>
      <c r="AD120" s="86" t="s">
        <v>431</v>
      </c>
      <c r="AE120" s="82" t="b">
        <v>0</v>
      </c>
      <c r="AF120" s="82">
        <v>1</v>
      </c>
      <c r="AG120" s="86" t="s">
        <v>432</v>
      </c>
      <c r="AH120" s="82" t="b">
        <v>0</v>
      </c>
      <c r="AI120" s="82" t="s">
        <v>439</v>
      </c>
      <c r="AJ120" s="82"/>
      <c r="AK120" s="86" t="s">
        <v>441</v>
      </c>
      <c r="AL120" s="82" t="b">
        <v>0</v>
      </c>
      <c r="AM120" s="82">
        <v>0</v>
      </c>
      <c r="AN120" s="86" t="s">
        <v>441</v>
      </c>
      <c r="AO120" s="86" t="s">
        <v>447</v>
      </c>
      <c r="AP120" s="82" t="b">
        <v>0</v>
      </c>
      <c r="AQ120" s="86" t="s">
        <v>431</v>
      </c>
      <c r="AR120" s="82"/>
      <c r="AS120" s="82">
        <v>0</v>
      </c>
      <c r="AT120" s="82">
        <v>0</v>
      </c>
      <c r="AU120" s="82"/>
      <c r="AV120" s="82"/>
      <c r="AW120" s="82"/>
      <c r="AX120" s="82"/>
      <c r="AY120" s="82"/>
      <c r="AZ120" s="82"/>
      <c r="BA120" s="82"/>
      <c r="BB120" s="82"/>
      <c r="BC120">
        <v>1</v>
      </c>
      <c r="BD120" s="81" t="str">
        <f>REPLACE(INDEX(GroupVertices[Group],MATCH(Edges[[#This Row],[Vertex 1]],GroupVertices[Vertex],0)),1,1,"")</f>
        <v>1</v>
      </c>
      <c r="BE120" s="81" t="str">
        <f>REPLACE(INDEX(GroupVertices[Group],MATCH(Edges[[#This Row],[Vertex 2]],GroupVertices[Vertex],0)),1,1,"")</f>
        <v>1</v>
      </c>
      <c r="BF120" s="49">
        <v>0</v>
      </c>
      <c r="BG120" s="50">
        <v>0</v>
      </c>
      <c r="BH120" s="49">
        <v>1</v>
      </c>
      <c r="BI120" s="50">
        <v>10</v>
      </c>
      <c r="BJ120" s="49">
        <v>0</v>
      </c>
      <c r="BK120" s="50">
        <v>0</v>
      </c>
      <c r="BL120" s="49">
        <v>9</v>
      </c>
      <c r="BM120" s="50">
        <v>90</v>
      </c>
      <c r="BN120" s="49">
        <v>10</v>
      </c>
    </row>
    <row r="121" spans="1:66" ht="15">
      <c r="A121" s="66" t="s">
        <v>281</v>
      </c>
      <c r="B121" s="66" t="s">
        <v>298</v>
      </c>
      <c r="C121" s="67" t="s">
        <v>1011</v>
      </c>
      <c r="D121" s="68">
        <v>3</v>
      </c>
      <c r="E121" s="69" t="s">
        <v>132</v>
      </c>
      <c r="F121" s="70">
        <v>32</v>
      </c>
      <c r="G121" s="67"/>
      <c r="H121" s="71"/>
      <c r="I121" s="72"/>
      <c r="J121" s="72"/>
      <c r="K121" s="35" t="s">
        <v>65</v>
      </c>
      <c r="L121" s="80">
        <v>121</v>
      </c>
      <c r="M121" s="80"/>
      <c r="N121" s="74"/>
      <c r="O121" s="82" t="s">
        <v>302</v>
      </c>
      <c r="P121" s="84">
        <v>44483.69734953704</v>
      </c>
      <c r="Q121" s="82" t="s">
        <v>335</v>
      </c>
      <c r="R121" s="82"/>
      <c r="S121" s="82"/>
      <c r="T121" s="82"/>
      <c r="U121" s="82"/>
      <c r="V121" s="85" t="str">
        <f>HYPERLINK("https://pbs.twimg.com/profile_images/1290336441827045378/lhjmkss8_normal.jpg")</f>
        <v>https://pbs.twimg.com/profile_images/1290336441827045378/lhjmkss8_normal.jpg</v>
      </c>
      <c r="W121" s="84">
        <v>44483.69734953704</v>
      </c>
      <c r="X121" s="89">
        <v>44483</v>
      </c>
      <c r="Y121" s="86" t="s">
        <v>380</v>
      </c>
      <c r="Z121" s="85" t="str">
        <f>HYPERLINK("https://twitter.com/john210750/status/1448691112860950540")</f>
        <v>https://twitter.com/john210750/status/1448691112860950540</v>
      </c>
      <c r="AA121" s="82"/>
      <c r="AB121" s="82"/>
      <c r="AC121" s="86" t="s">
        <v>421</v>
      </c>
      <c r="AD121" s="86" t="s">
        <v>431</v>
      </c>
      <c r="AE121" s="82" t="b">
        <v>0</v>
      </c>
      <c r="AF121" s="82">
        <v>2</v>
      </c>
      <c r="AG121" s="86" t="s">
        <v>432</v>
      </c>
      <c r="AH121" s="82" t="b">
        <v>0</v>
      </c>
      <c r="AI121" s="82" t="s">
        <v>439</v>
      </c>
      <c r="AJ121" s="82"/>
      <c r="AK121" s="86" t="s">
        <v>441</v>
      </c>
      <c r="AL121" s="82" t="b">
        <v>0</v>
      </c>
      <c r="AM121" s="82">
        <v>0</v>
      </c>
      <c r="AN121" s="86" t="s">
        <v>441</v>
      </c>
      <c r="AO121" s="86" t="s">
        <v>444</v>
      </c>
      <c r="AP121" s="82" t="b">
        <v>0</v>
      </c>
      <c r="AQ121" s="86" t="s">
        <v>431</v>
      </c>
      <c r="AR121" s="82"/>
      <c r="AS121" s="82">
        <v>0</v>
      </c>
      <c r="AT121" s="82">
        <v>0</v>
      </c>
      <c r="AU121" s="82"/>
      <c r="AV121" s="82"/>
      <c r="AW121" s="82"/>
      <c r="AX121" s="82"/>
      <c r="AY121" s="82"/>
      <c r="AZ121" s="82"/>
      <c r="BA121" s="82"/>
      <c r="BB121" s="82"/>
      <c r="BC121">
        <v>1</v>
      </c>
      <c r="BD121" s="81" t="str">
        <f>REPLACE(INDEX(GroupVertices[Group],MATCH(Edges[[#This Row],[Vertex 1]],GroupVertices[Vertex],0)),1,1,"")</f>
        <v>1</v>
      </c>
      <c r="BE121" s="81" t="str">
        <f>REPLACE(INDEX(GroupVertices[Group],MATCH(Edges[[#This Row],[Vertex 2]],GroupVertices[Vertex],0)),1,1,"")</f>
        <v>1</v>
      </c>
      <c r="BF121" s="49">
        <v>0</v>
      </c>
      <c r="BG121" s="50">
        <v>0</v>
      </c>
      <c r="BH121" s="49">
        <v>0</v>
      </c>
      <c r="BI121" s="50">
        <v>0</v>
      </c>
      <c r="BJ121" s="49">
        <v>0</v>
      </c>
      <c r="BK121" s="50">
        <v>0</v>
      </c>
      <c r="BL121" s="49">
        <v>12</v>
      </c>
      <c r="BM121" s="50">
        <v>100</v>
      </c>
      <c r="BN121" s="49">
        <v>12</v>
      </c>
    </row>
    <row r="122" spans="1:66" ht="15">
      <c r="A122" s="66" t="s">
        <v>281</v>
      </c>
      <c r="B122" s="66" t="s">
        <v>290</v>
      </c>
      <c r="C122" s="67" t="s">
        <v>1011</v>
      </c>
      <c r="D122" s="68">
        <v>3</v>
      </c>
      <c r="E122" s="69" t="s">
        <v>132</v>
      </c>
      <c r="F122" s="70">
        <v>32</v>
      </c>
      <c r="G122" s="67"/>
      <c r="H122" s="71"/>
      <c r="I122" s="72"/>
      <c r="J122" s="72"/>
      <c r="K122" s="35" t="s">
        <v>65</v>
      </c>
      <c r="L122" s="80">
        <v>122</v>
      </c>
      <c r="M122" s="80"/>
      <c r="N122" s="74"/>
      <c r="O122" s="82" t="s">
        <v>302</v>
      </c>
      <c r="P122" s="84">
        <v>44483.69734953704</v>
      </c>
      <c r="Q122" s="82" t="s">
        <v>335</v>
      </c>
      <c r="R122" s="82"/>
      <c r="S122" s="82"/>
      <c r="T122" s="82"/>
      <c r="U122" s="82"/>
      <c r="V122" s="85" t="str">
        <f>HYPERLINK("https://pbs.twimg.com/profile_images/1290336441827045378/lhjmkss8_normal.jpg")</f>
        <v>https://pbs.twimg.com/profile_images/1290336441827045378/lhjmkss8_normal.jpg</v>
      </c>
      <c r="W122" s="84">
        <v>44483.69734953704</v>
      </c>
      <c r="X122" s="89">
        <v>44483</v>
      </c>
      <c r="Y122" s="86" t="s">
        <v>380</v>
      </c>
      <c r="Z122" s="85" t="str">
        <f>HYPERLINK("https://twitter.com/john210750/status/1448691112860950540")</f>
        <v>https://twitter.com/john210750/status/1448691112860950540</v>
      </c>
      <c r="AA122" s="82"/>
      <c r="AB122" s="82"/>
      <c r="AC122" s="86" t="s">
        <v>421</v>
      </c>
      <c r="AD122" s="86" t="s">
        <v>431</v>
      </c>
      <c r="AE122" s="82" t="b">
        <v>0</v>
      </c>
      <c r="AF122" s="82">
        <v>2</v>
      </c>
      <c r="AG122" s="86" t="s">
        <v>432</v>
      </c>
      <c r="AH122" s="82" t="b">
        <v>0</v>
      </c>
      <c r="AI122" s="82" t="s">
        <v>439</v>
      </c>
      <c r="AJ122" s="82"/>
      <c r="AK122" s="86" t="s">
        <v>441</v>
      </c>
      <c r="AL122" s="82" t="b">
        <v>0</v>
      </c>
      <c r="AM122" s="82">
        <v>0</v>
      </c>
      <c r="AN122" s="86" t="s">
        <v>441</v>
      </c>
      <c r="AO122" s="86" t="s">
        <v>444</v>
      </c>
      <c r="AP122" s="82" t="b">
        <v>0</v>
      </c>
      <c r="AQ122" s="86" t="s">
        <v>431</v>
      </c>
      <c r="AR122" s="82"/>
      <c r="AS122" s="82">
        <v>0</v>
      </c>
      <c r="AT122" s="82">
        <v>0</v>
      </c>
      <c r="AU122" s="82"/>
      <c r="AV122" s="82"/>
      <c r="AW122" s="82"/>
      <c r="AX122" s="82"/>
      <c r="AY122" s="82"/>
      <c r="AZ122" s="82"/>
      <c r="BA122" s="82"/>
      <c r="BB122" s="82"/>
      <c r="BC122">
        <v>1</v>
      </c>
      <c r="BD122" s="81" t="str">
        <f>REPLACE(INDEX(GroupVertices[Group],MATCH(Edges[[#This Row],[Vertex 1]],GroupVertices[Vertex],0)),1,1,"")</f>
        <v>1</v>
      </c>
      <c r="BE122" s="81" t="str">
        <f>REPLACE(INDEX(GroupVertices[Group],MATCH(Edges[[#This Row],[Vertex 2]],GroupVertices[Vertex],0)),1,1,"")</f>
        <v>1</v>
      </c>
      <c r="BF122" s="49"/>
      <c r="BG122" s="50"/>
      <c r="BH122" s="49"/>
      <c r="BI122" s="50"/>
      <c r="BJ122" s="49"/>
      <c r="BK122" s="50"/>
      <c r="BL122" s="49"/>
      <c r="BM122" s="50"/>
      <c r="BN122" s="49"/>
    </row>
    <row r="123" spans="1:66" ht="15">
      <c r="A123" s="66" t="s">
        <v>281</v>
      </c>
      <c r="B123" s="66" t="s">
        <v>291</v>
      </c>
      <c r="C123" s="67" t="s">
        <v>1011</v>
      </c>
      <c r="D123" s="68">
        <v>3</v>
      </c>
      <c r="E123" s="69" t="s">
        <v>132</v>
      </c>
      <c r="F123" s="70">
        <v>32</v>
      </c>
      <c r="G123" s="67"/>
      <c r="H123" s="71"/>
      <c r="I123" s="72"/>
      <c r="J123" s="72"/>
      <c r="K123" s="35" t="s">
        <v>65</v>
      </c>
      <c r="L123" s="80">
        <v>123</v>
      </c>
      <c r="M123" s="80"/>
      <c r="N123" s="74"/>
      <c r="O123" s="82" t="s">
        <v>302</v>
      </c>
      <c r="P123" s="84">
        <v>44483.69734953704</v>
      </c>
      <c r="Q123" s="82" t="s">
        <v>335</v>
      </c>
      <c r="R123" s="82"/>
      <c r="S123" s="82"/>
      <c r="T123" s="82"/>
      <c r="U123" s="82"/>
      <c r="V123" s="85" t="str">
        <f>HYPERLINK("https://pbs.twimg.com/profile_images/1290336441827045378/lhjmkss8_normal.jpg")</f>
        <v>https://pbs.twimg.com/profile_images/1290336441827045378/lhjmkss8_normal.jpg</v>
      </c>
      <c r="W123" s="84">
        <v>44483.69734953704</v>
      </c>
      <c r="X123" s="89">
        <v>44483</v>
      </c>
      <c r="Y123" s="86" t="s">
        <v>380</v>
      </c>
      <c r="Z123" s="85" t="str">
        <f>HYPERLINK("https://twitter.com/john210750/status/1448691112860950540")</f>
        <v>https://twitter.com/john210750/status/1448691112860950540</v>
      </c>
      <c r="AA123" s="82"/>
      <c r="AB123" s="82"/>
      <c r="AC123" s="86" t="s">
        <v>421</v>
      </c>
      <c r="AD123" s="86" t="s">
        <v>431</v>
      </c>
      <c r="AE123" s="82" t="b">
        <v>0</v>
      </c>
      <c r="AF123" s="82">
        <v>2</v>
      </c>
      <c r="AG123" s="86" t="s">
        <v>432</v>
      </c>
      <c r="AH123" s="82" t="b">
        <v>0</v>
      </c>
      <c r="AI123" s="82" t="s">
        <v>439</v>
      </c>
      <c r="AJ123" s="82"/>
      <c r="AK123" s="86" t="s">
        <v>441</v>
      </c>
      <c r="AL123" s="82" t="b">
        <v>0</v>
      </c>
      <c r="AM123" s="82">
        <v>0</v>
      </c>
      <c r="AN123" s="86" t="s">
        <v>441</v>
      </c>
      <c r="AO123" s="86" t="s">
        <v>444</v>
      </c>
      <c r="AP123" s="82" t="b">
        <v>0</v>
      </c>
      <c r="AQ123" s="86" t="s">
        <v>431</v>
      </c>
      <c r="AR123" s="82"/>
      <c r="AS123" s="82">
        <v>0</v>
      </c>
      <c r="AT123" s="82">
        <v>0</v>
      </c>
      <c r="AU123" s="82"/>
      <c r="AV123" s="82"/>
      <c r="AW123" s="82"/>
      <c r="AX123" s="82"/>
      <c r="AY123" s="82"/>
      <c r="AZ123" s="82"/>
      <c r="BA123" s="82"/>
      <c r="BB123" s="82"/>
      <c r="BC123">
        <v>1</v>
      </c>
      <c r="BD123" s="81" t="str">
        <f>REPLACE(INDEX(GroupVertices[Group],MATCH(Edges[[#This Row],[Vertex 1]],GroupVertices[Vertex],0)),1,1,"")</f>
        <v>1</v>
      </c>
      <c r="BE123" s="81" t="str">
        <f>REPLACE(INDEX(GroupVertices[Group],MATCH(Edges[[#This Row],[Vertex 2]],GroupVertices[Vertex],0)),1,1,"")</f>
        <v>1</v>
      </c>
      <c r="BF123" s="49"/>
      <c r="BG123" s="50"/>
      <c r="BH123" s="49"/>
      <c r="BI123" s="50"/>
      <c r="BJ123" s="49"/>
      <c r="BK123" s="50"/>
      <c r="BL123" s="49"/>
      <c r="BM123" s="50"/>
      <c r="BN123" s="49"/>
    </row>
    <row r="124" spans="1:66" ht="15">
      <c r="A124" s="66" t="s">
        <v>281</v>
      </c>
      <c r="B124" s="66" t="s">
        <v>289</v>
      </c>
      <c r="C124" s="67" t="s">
        <v>1011</v>
      </c>
      <c r="D124" s="68">
        <v>3</v>
      </c>
      <c r="E124" s="69" t="s">
        <v>132</v>
      </c>
      <c r="F124" s="70">
        <v>32</v>
      </c>
      <c r="G124" s="67"/>
      <c r="H124" s="71"/>
      <c r="I124" s="72"/>
      <c r="J124" s="72"/>
      <c r="K124" s="35" t="s">
        <v>65</v>
      </c>
      <c r="L124" s="80">
        <v>124</v>
      </c>
      <c r="M124" s="80"/>
      <c r="N124" s="74"/>
      <c r="O124" s="82" t="s">
        <v>303</v>
      </c>
      <c r="P124" s="84">
        <v>44483.69734953704</v>
      </c>
      <c r="Q124" s="82" t="s">
        <v>335</v>
      </c>
      <c r="R124" s="82"/>
      <c r="S124" s="82"/>
      <c r="T124" s="82"/>
      <c r="U124" s="82"/>
      <c r="V124" s="85" t="str">
        <f>HYPERLINK("https://pbs.twimg.com/profile_images/1290336441827045378/lhjmkss8_normal.jpg")</f>
        <v>https://pbs.twimg.com/profile_images/1290336441827045378/lhjmkss8_normal.jpg</v>
      </c>
      <c r="W124" s="84">
        <v>44483.69734953704</v>
      </c>
      <c r="X124" s="89">
        <v>44483</v>
      </c>
      <c r="Y124" s="86" t="s">
        <v>380</v>
      </c>
      <c r="Z124" s="85" t="str">
        <f>HYPERLINK("https://twitter.com/john210750/status/1448691112860950540")</f>
        <v>https://twitter.com/john210750/status/1448691112860950540</v>
      </c>
      <c r="AA124" s="82"/>
      <c r="AB124" s="82"/>
      <c r="AC124" s="86" t="s">
        <v>421</v>
      </c>
      <c r="AD124" s="86" t="s">
        <v>431</v>
      </c>
      <c r="AE124" s="82" t="b">
        <v>0</v>
      </c>
      <c r="AF124" s="82">
        <v>2</v>
      </c>
      <c r="AG124" s="86" t="s">
        <v>432</v>
      </c>
      <c r="AH124" s="82" t="b">
        <v>0</v>
      </c>
      <c r="AI124" s="82" t="s">
        <v>439</v>
      </c>
      <c r="AJ124" s="82"/>
      <c r="AK124" s="86" t="s">
        <v>441</v>
      </c>
      <c r="AL124" s="82" t="b">
        <v>0</v>
      </c>
      <c r="AM124" s="82">
        <v>0</v>
      </c>
      <c r="AN124" s="86" t="s">
        <v>441</v>
      </c>
      <c r="AO124" s="86" t="s">
        <v>444</v>
      </c>
      <c r="AP124" s="82" t="b">
        <v>0</v>
      </c>
      <c r="AQ124" s="86" t="s">
        <v>431</v>
      </c>
      <c r="AR124" s="82"/>
      <c r="AS124" s="82">
        <v>0</v>
      </c>
      <c r="AT124" s="82">
        <v>0</v>
      </c>
      <c r="AU124" s="82"/>
      <c r="AV124" s="82"/>
      <c r="AW124" s="82"/>
      <c r="AX124" s="82"/>
      <c r="AY124" s="82"/>
      <c r="AZ124" s="82"/>
      <c r="BA124" s="82"/>
      <c r="BB124" s="82"/>
      <c r="BC124">
        <v>1</v>
      </c>
      <c r="BD124" s="81" t="str">
        <f>REPLACE(INDEX(GroupVertices[Group],MATCH(Edges[[#This Row],[Vertex 1]],GroupVertices[Vertex],0)),1,1,"")</f>
        <v>1</v>
      </c>
      <c r="BE124" s="81" t="str">
        <f>REPLACE(INDEX(GroupVertices[Group],MATCH(Edges[[#This Row],[Vertex 2]],GroupVertices[Vertex],0)),1,1,"")</f>
        <v>1</v>
      </c>
      <c r="BF124" s="49"/>
      <c r="BG124" s="50"/>
      <c r="BH124" s="49"/>
      <c r="BI124" s="50"/>
      <c r="BJ124" s="49"/>
      <c r="BK124" s="50"/>
      <c r="BL124" s="49"/>
      <c r="BM124" s="50"/>
      <c r="BN124" s="49"/>
    </row>
    <row r="125" spans="1:66" ht="15">
      <c r="A125" s="66" t="s">
        <v>282</v>
      </c>
      <c r="B125" s="66" t="s">
        <v>290</v>
      </c>
      <c r="C125" s="67" t="s">
        <v>1011</v>
      </c>
      <c r="D125" s="68">
        <v>3</v>
      </c>
      <c r="E125" s="69" t="s">
        <v>132</v>
      </c>
      <c r="F125" s="70">
        <v>32</v>
      </c>
      <c r="G125" s="67"/>
      <c r="H125" s="71"/>
      <c r="I125" s="72"/>
      <c r="J125" s="72"/>
      <c r="K125" s="35" t="s">
        <v>65</v>
      </c>
      <c r="L125" s="80">
        <v>125</v>
      </c>
      <c r="M125" s="80"/>
      <c r="N125" s="74"/>
      <c r="O125" s="82" t="s">
        <v>302</v>
      </c>
      <c r="P125" s="84">
        <v>44483.678402777776</v>
      </c>
      <c r="Q125" s="82" t="s">
        <v>336</v>
      </c>
      <c r="R125" s="82"/>
      <c r="S125" s="82"/>
      <c r="T125" s="82"/>
      <c r="U125" s="82"/>
      <c r="V125" s="85" t="str">
        <f>HYPERLINK("https://pbs.twimg.com/profile_images/656055213179191297/YNHgob7a_normal.jpg")</f>
        <v>https://pbs.twimg.com/profile_images/656055213179191297/YNHgob7a_normal.jpg</v>
      </c>
      <c r="W125" s="84">
        <v>44483.678402777776</v>
      </c>
      <c r="X125" s="89">
        <v>44483</v>
      </c>
      <c r="Y125" s="86" t="s">
        <v>381</v>
      </c>
      <c r="Z125" s="85" t="str">
        <f>HYPERLINK("https://twitter.com/seanmcd4464/status/1448684246286077952")</f>
        <v>https://twitter.com/seanmcd4464/status/1448684246286077952</v>
      </c>
      <c r="AA125" s="82"/>
      <c r="AB125" s="82"/>
      <c r="AC125" s="86" t="s">
        <v>422</v>
      </c>
      <c r="AD125" s="86" t="s">
        <v>431</v>
      </c>
      <c r="AE125" s="82" t="b">
        <v>0</v>
      </c>
      <c r="AF125" s="82">
        <v>0</v>
      </c>
      <c r="AG125" s="86" t="s">
        <v>432</v>
      </c>
      <c r="AH125" s="82" t="b">
        <v>0</v>
      </c>
      <c r="AI125" s="82" t="s">
        <v>439</v>
      </c>
      <c r="AJ125" s="82"/>
      <c r="AK125" s="86" t="s">
        <v>441</v>
      </c>
      <c r="AL125" s="82" t="b">
        <v>0</v>
      </c>
      <c r="AM125" s="82">
        <v>0</v>
      </c>
      <c r="AN125" s="86" t="s">
        <v>441</v>
      </c>
      <c r="AO125" s="86" t="s">
        <v>445</v>
      </c>
      <c r="AP125" s="82" t="b">
        <v>0</v>
      </c>
      <c r="AQ125" s="86" t="s">
        <v>431</v>
      </c>
      <c r="AR125" s="82"/>
      <c r="AS125" s="82">
        <v>0</v>
      </c>
      <c r="AT125" s="82">
        <v>0</v>
      </c>
      <c r="AU125" s="82" t="s">
        <v>448</v>
      </c>
      <c r="AV125" s="82" t="s">
        <v>451</v>
      </c>
      <c r="AW125" s="82" t="s">
        <v>452</v>
      </c>
      <c r="AX125" s="82" t="s">
        <v>453</v>
      </c>
      <c r="AY125" s="82" t="s">
        <v>456</v>
      </c>
      <c r="AZ125" s="82" t="s">
        <v>459</v>
      </c>
      <c r="BA125" s="82" t="s">
        <v>462</v>
      </c>
      <c r="BB125" s="85" t="str">
        <f>HYPERLINK("https://api.twitter.com/1.1/geo/id/6798d62af4d977a5.json")</f>
        <v>https://api.twitter.com/1.1/geo/id/6798d62af4d977a5.json</v>
      </c>
      <c r="BC125">
        <v>1</v>
      </c>
      <c r="BD125" s="81" t="str">
        <f>REPLACE(INDEX(GroupVertices[Group],MATCH(Edges[[#This Row],[Vertex 1]],GroupVertices[Vertex],0)),1,1,"")</f>
        <v>1</v>
      </c>
      <c r="BE125" s="81" t="str">
        <f>REPLACE(INDEX(GroupVertices[Group],MATCH(Edges[[#This Row],[Vertex 2]],GroupVertices[Vertex],0)),1,1,"")</f>
        <v>1</v>
      </c>
      <c r="BF125" s="49"/>
      <c r="BG125" s="50"/>
      <c r="BH125" s="49"/>
      <c r="BI125" s="50"/>
      <c r="BJ125" s="49"/>
      <c r="BK125" s="50"/>
      <c r="BL125" s="49"/>
      <c r="BM125" s="50"/>
      <c r="BN125" s="49"/>
    </row>
    <row r="126" spans="1:66" ht="15">
      <c r="A126" s="66" t="s">
        <v>282</v>
      </c>
      <c r="B126" s="66" t="s">
        <v>291</v>
      </c>
      <c r="C126" s="67" t="s">
        <v>1011</v>
      </c>
      <c r="D126" s="68">
        <v>3</v>
      </c>
      <c r="E126" s="69" t="s">
        <v>132</v>
      </c>
      <c r="F126" s="70">
        <v>32</v>
      </c>
      <c r="G126" s="67"/>
      <c r="H126" s="71"/>
      <c r="I126" s="72"/>
      <c r="J126" s="72"/>
      <c r="K126" s="35" t="s">
        <v>65</v>
      </c>
      <c r="L126" s="80">
        <v>126</v>
      </c>
      <c r="M126" s="80"/>
      <c r="N126" s="74"/>
      <c r="O126" s="82" t="s">
        <v>302</v>
      </c>
      <c r="P126" s="84">
        <v>44483.678402777776</v>
      </c>
      <c r="Q126" s="82" t="s">
        <v>336</v>
      </c>
      <c r="R126" s="82"/>
      <c r="S126" s="82"/>
      <c r="T126" s="82"/>
      <c r="U126" s="82"/>
      <c r="V126" s="85" t="str">
        <f>HYPERLINK("https://pbs.twimg.com/profile_images/656055213179191297/YNHgob7a_normal.jpg")</f>
        <v>https://pbs.twimg.com/profile_images/656055213179191297/YNHgob7a_normal.jpg</v>
      </c>
      <c r="W126" s="84">
        <v>44483.678402777776</v>
      </c>
      <c r="X126" s="89">
        <v>44483</v>
      </c>
      <c r="Y126" s="86" t="s">
        <v>381</v>
      </c>
      <c r="Z126" s="85" t="str">
        <f>HYPERLINK("https://twitter.com/seanmcd4464/status/1448684246286077952")</f>
        <v>https://twitter.com/seanmcd4464/status/1448684246286077952</v>
      </c>
      <c r="AA126" s="82"/>
      <c r="AB126" s="82"/>
      <c r="AC126" s="86" t="s">
        <v>422</v>
      </c>
      <c r="AD126" s="86" t="s">
        <v>431</v>
      </c>
      <c r="AE126" s="82" t="b">
        <v>0</v>
      </c>
      <c r="AF126" s="82">
        <v>0</v>
      </c>
      <c r="AG126" s="86" t="s">
        <v>432</v>
      </c>
      <c r="AH126" s="82" t="b">
        <v>0</v>
      </c>
      <c r="AI126" s="82" t="s">
        <v>439</v>
      </c>
      <c r="AJ126" s="82"/>
      <c r="AK126" s="86" t="s">
        <v>441</v>
      </c>
      <c r="AL126" s="82" t="b">
        <v>0</v>
      </c>
      <c r="AM126" s="82">
        <v>0</v>
      </c>
      <c r="AN126" s="86" t="s">
        <v>441</v>
      </c>
      <c r="AO126" s="86" t="s">
        <v>445</v>
      </c>
      <c r="AP126" s="82" t="b">
        <v>0</v>
      </c>
      <c r="AQ126" s="86" t="s">
        <v>431</v>
      </c>
      <c r="AR126" s="82"/>
      <c r="AS126" s="82">
        <v>0</v>
      </c>
      <c r="AT126" s="82">
        <v>0</v>
      </c>
      <c r="AU126" s="82" t="s">
        <v>448</v>
      </c>
      <c r="AV126" s="82" t="s">
        <v>451</v>
      </c>
      <c r="AW126" s="82" t="s">
        <v>452</v>
      </c>
      <c r="AX126" s="82" t="s">
        <v>453</v>
      </c>
      <c r="AY126" s="82" t="s">
        <v>456</v>
      </c>
      <c r="AZ126" s="82" t="s">
        <v>459</v>
      </c>
      <c r="BA126" s="82" t="s">
        <v>462</v>
      </c>
      <c r="BB126" s="85" t="str">
        <f>HYPERLINK("https://api.twitter.com/1.1/geo/id/6798d62af4d977a5.json")</f>
        <v>https://api.twitter.com/1.1/geo/id/6798d62af4d977a5.json</v>
      </c>
      <c r="BC126">
        <v>1</v>
      </c>
      <c r="BD126" s="81" t="str">
        <f>REPLACE(INDEX(GroupVertices[Group],MATCH(Edges[[#This Row],[Vertex 1]],GroupVertices[Vertex],0)),1,1,"")</f>
        <v>1</v>
      </c>
      <c r="BE126" s="81" t="str">
        <f>REPLACE(INDEX(GroupVertices[Group],MATCH(Edges[[#This Row],[Vertex 2]],GroupVertices[Vertex],0)),1,1,"")</f>
        <v>1</v>
      </c>
      <c r="BF126" s="49"/>
      <c r="BG126" s="50"/>
      <c r="BH126" s="49"/>
      <c r="BI126" s="50"/>
      <c r="BJ126" s="49"/>
      <c r="BK126" s="50"/>
      <c r="BL126" s="49"/>
      <c r="BM126" s="50"/>
      <c r="BN126" s="49"/>
    </row>
    <row r="127" spans="1:66" ht="15">
      <c r="A127" s="66" t="s">
        <v>282</v>
      </c>
      <c r="B127" s="66" t="s">
        <v>289</v>
      </c>
      <c r="C127" s="67" t="s">
        <v>1011</v>
      </c>
      <c r="D127" s="68">
        <v>3</v>
      </c>
      <c r="E127" s="69" t="s">
        <v>132</v>
      </c>
      <c r="F127" s="70">
        <v>32</v>
      </c>
      <c r="G127" s="67"/>
      <c r="H127" s="71"/>
      <c r="I127" s="72"/>
      <c r="J127" s="72"/>
      <c r="K127" s="35" t="s">
        <v>65</v>
      </c>
      <c r="L127" s="80">
        <v>127</v>
      </c>
      <c r="M127" s="80"/>
      <c r="N127" s="74"/>
      <c r="O127" s="82" t="s">
        <v>303</v>
      </c>
      <c r="P127" s="84">
        <v>44483.678402777776</v>
      </c>
      <c r="Q127" s="82" t="s">
        <v>336</v>
      </c>
      <c r="R127" s="82"/>
      <c r="S127" s="82"/>
      <c r="T127" s="82"/>
      <c r="U127" s="82"/>
      <c r="V127" s="85" t="str">
        <f>HYPERLINK("https://pbs.twimg.com/profile_images/656055213179191297/YNHgob7a_normal.jpg")</f>
        <v>https://pbs.twimg.com/profile_images/656055213179191297/YNHgob7a_normal.jpg</v>
      </c>
      <c r="W127" s="84">
        <v>44483.678402777776</v>
      </c>
      <c r="X127" s="89">
        <v>44483</v>
      </c>
      <c r="Y127" s="86" t="s">
        <v>381</v>
      </c>
      <c r="Z127" s="85" t="str">
        <f>HYPERLINK("https://twitter.com/seanmcd4464/status/1448684246286077952")</f>
        <v>https://twitter.com/seanmcd4464/status/1448684246286077952</v>
      </c>
      <c r="AA127" s="82"/>
      <c r="AB127" s="82"/>
      <c r="AC127" s="86" t="s">
        <v>422</v>
      </c>
      <c r="AD127" s="86" t="s">
        <v>431</v>
      </c>
      <c r="AE127" s="82" t="b">
        <v>0</v>
      </c>
      <c r="AF127" s="82">
        <v>0</v>
      </c>
      <c r="AG127" s="86" t="s">
        <v>432</v>
      </c>
      <c r="AH127" s="82" t="b">
        <v>0</v>
      </c>
      <c r="AI127" s="82" t="s">
        <v>439</v>
      </c>
      <c r="AJ127" s="82"/>
      <c r="AK127" s="86" t="s">
        <v>441</v>
      </c>
      <c r="AL127" s="82" t="b">
        <v>0</v>
      </c>
      <c r="AM127" s="82">
        <v>0</v>
      </c>
      <c r="AN127" s="86" t="s">
        <v>441</v>
      </c>
      <c r="AO127" s="86" t="s">
        <v>445</v>
      </c>
      <c r="AP127" s="82" t="b">
        <v>0</v>
      </c>
      <c r="AQ127" s="86" t="s">
        <v>431</v>
      </c>
      <c r="AR127" s="82"/>
      <c r="AS127" s="82">
        <v>0</v>
      </c>
      <c r="AT127" s="82">
        <v>0</v>
      </c>
      <c r="AU127" s="82" t="s">
        <v>448</v>
      </c>
      <c r="AV127" s="82" t="s">
        <v>451</v>
      </c>
      <c r="AW127" s="82" t="s">
        <v>452</v>
      </c>
      <c r="AX127" s="82" t="s">
        <v>453</v>
      </c>
      <c r="AY127" s="82" t="s">
        <v>456</v>
      </c>
      <c r="AZ127" s="82" t="s">
        <v>459</v>
      </c>
      <c r="BA127" s="82" t="s">
        <v>462</v>
      </c>
      <c r="BB127" s="85" t="str">
        <f>HYPERLINK("https://api.twitter.com/1.1/geo/id/6798d62af4d977a5.json")</f>
        <v>https://api.twitter.com/1.1/geo/id/6798d62af4d977a5.json</v>
      </c>
      <c r="BC127">
        <v>1</v>
      </c>
      <c r="BD127" s="81" t="str">
        <f>REPLACE(INDEX(GroupVertices[Group],MATCH(Edges[[#This Row],[Vertex 1]],GroupVertices[Vertex],0)),1,1,"")</f>
        <v>1</v>
      </c>
      <c r="BE127" s="81" t="str">
        <f>REPLACE(INDEX(GroupVertices[Group],MATCH(Edges[[#This Row],[Vertex 2]],GroupVertices[Vertex],0)),1,1,"")</f>
        <v>1</v>
      </c>
      <c r="BF127" s="49">
        <v>1</v>
      </c>
      <c r="BG127" s="50">
        <v>20</v>
      </c>
      <c r="BH127" s="49">
        <v>0</v>
      </c>
      <c r="BI127" s="50">
        <v>0</v>
      </c>
      <c r="BJ127" s="49">
        <v>0</v>
      </c>
      <c r="BK127" s="50">
        <v>0</v>
      </c>
      <c r="BL127" s="49">
        <v>4</v>
      </c>
      <c r="BM127" s="50">
        <v>80</v>
      </c>
      <c r="BN127" s="49">
        <v>5</v>
      </c>
    </row>
    <row r="128" spans="1:66" ht="15">
      <c r="A128" s="66" t="s">
        <v>283</v>
      </c>
      <c r="B128" s="66" t="s">
        <v>290</v>
      </c>
      <c r="C128" s="67" t="s">
        <v>1011</v>
      </c>
      <c r="D128" s="68">
        <v>3</v>
      </c>
      <c r="E128" s="69" t="s">
        <v>132</v>
      </c>
      <c r="F128" s="70">
        <v>32</v>
      </c>
      <c r="G128" s="67"/>
      <c r="H128" s="71"/>
      <c r="I128" s="72"/>
      <c r="J128" s="72"/>
      <c r="K128" s="35" t="s">
        <v>65</v>
      </c>
      <c r="L128" s="80">
        <v>128</v>
      </c>
      <c r="M128" s="80"/>
      <c r="N128" s="74"/>
      <c r="O128" s="82" t="s">
        <v>302</v>
      </c>
      <c r="P128" s="84">
        <v>44484.31989583333</v>
      </c>
      <c r="Q128" s="82" t="s">
        <v>337</v>
      </c>
      <c r="R128" s="82"/>
      <c r="S128" s="82"/>
      <c r="T128" s="82"/>
      <c r="U128" s="82"/>
      <c r="V128" s="85" t="str">
        <f>HYPERLINK("https://pbs.twimg.com/profile_images/644362955/Bill8_small_normal.jpg")</f>
        <v>https://pbs.twimg.com/profile_images/644362955/Bill8_small_normal.jpg</v>
      </c>
      <c r="W128" s="84">
        <v>44484.31989583333</v>
      </c>
      <c r="X128" s="89">
        <v>44484</v>
      </c>
      <c r="Y128" s="86" t="s">
        <v>382</v>
      </c>
      <c r="Z128" s="85" t="str">
        <f>HYPERLINK("https://twitter.com/billacres2/status/1448916717586075650")</f>
        <v>https://twitter.com/billacres2/status/1448916717586075650</v>
      </c>
      <c r="AA128" s="82"/>
      <c r="AB128" s="82"/>
      <c r="AC128" s="86" t="s">
        <v>423</v>
      </c>
      <c r="AD128" s="86" t="s">
        <v>431</v>
      </c>
      <c r="AE128" s="82" t="b">
        <v>0</v>
      </c>
      <c r="AF128" s="82">
        <v>0</v>
      </c>
      <c r="AG128" s="86" t="s">
        <v>432</v>
      </c>
      <c r="AH128" s="82" t="b">
        <v>0</v>
      </c>
      <c r="AI128" s="82" t="s">
        <v>439</v>
      </c>
      <c r="AJ128" s="82"/>
      <c r="AK128" s="86" t="s">
        <v>441</v>
      </c>
      <c r="AL128" s="82" t="b">
        <v>0</v>
      </c>
      <c r="AM128" s="82">
        <v>0</v>
      </c>
      <c r="AN128" s="86" t="s">
        <v>441</v>
      </c>
      <c r="AO128" s="86" t="s">
        <v>445</v>
      </c>
      <c r="AP128" s="82" t="b">
        <v>0</v>
      </c>
      <c r="AQ128" s="86" t="s">
        <v>431</v>
      </c>
      <c r="AR128" s="82"/>
      <c r="AS128" s="82">
        <v>0</v>
      </c>
      <c r="AT128" s="82">
        <v>0</v>
      </c>
      <c r="AU128" s="82"/>
      <c r="AV128" s="82"/>
      <c r="AW128" s="82"/>
      <c r="AX128" s="82"/>
      <c r="AY128" s="82"/>
      <c r="AZ128" s="82"/>
      <c r="BA128" s="82"/>
      <c r="BB128" s="82"/>
      <c r="BC128">
        <v>1</v>
      </c>
      <c r="BD128" s="81" t="str">
        <f>REPLACE(INDEX(GroupVertices[Group],MATCH(Edges[[#This Row],[Vertex 1]],GroupVertices[Vertex],0)),1,1,"")</f>
        <v>1</v>
      </c>
      <c r="BE128" s="81" t="str">
        <f>REPLACE(INDEX(GroupVertices[Group],MATCH(Edges[[#This Row],[Vertex 2]],GroupVertices[Vertex],0)),1,1,"")</f>
        <v>1</v>
      </c>
      <c r="BF128" s="49"/>
      <c r="BG128" s="50"/>
      <c r="BH128" s="49"/>
      <c r="BI128" s="50"/>
      <c r="BJ128" s="49"/>
      <c r="BK128" s="50"/>
      <c r="BL128" s="49"/>
      <c r="BM128" s="50"/>
      <c r="BN128" s="49"/>
    </row>
    <row r="129" spans="1:66" ht="15">
      <c r="A129" s="66" t="s">
        <v>283</v>
      </c>
      <c r="B129" s="66" t="s">
        <v>291</v>
      </c>
      <c r="C129" s="67" t="s">
        <v>1011</v>
      </c>
      <c r="D129" s="68">
        <v>3</v>
      </c>
      <c r="E129" s="69" t="s">
        <v>132</v>
      </c>
      <c r="F129" s="70">
        <v>32</v>
      </c>
      <c r="G129" s="67"/>
      <c r="H129" s="71"/>
      <c r="I129" s="72"/>
      <c r="J129" s="72"/>
      <c r="K129" s="35" t="s">
        <v>65</v>
      </c>
      <c r="L129" s="80">
        <v>129</v>
      </c>
      <c r="M129" s="80"/>
      <c r="N129" s="74"/>
      <c r="O129" s="82" t="s">
        <v>302</v>
      </c>
      <c r="P129" s="84">
        <v>44484.31989583333</v>
      </c>
      <c r="Q129" s="82" t="s">
        <v>337</v>
      </c>
      <c r="R129" s="82"/>
      <c r="S129" s="82"/>
      <c r="T129" s="82"/>
      <c r="U129" s="82"/>
      <c r="V129" s="85" t="str">
        <f>HYPERLINK("https://pbs.twimg.com/profile_images/644362955/Bill8_small_normal.jpg")</f>
        <v>https://pbs.twimg.com/profile_images/644362955/Bill8_small_normal.jpg</v>
      </c>
      <c r="W129" s="84">
        <v>44484.31989583333</v>
      </c>
      <c r="X129" s="89">
        <v>44484</v>
      </c>
      <c r="Y129" s="86" t="s">
        <v>382</v>
      </c>
      <c r="Z129" s="85" t="str">
        <f>HYPERLINK("https://twitter.com/billacres2/status/1448916717586075650")</f>
        <v>https://twitter.com/billacres2/status/1448916717586075650</v>
      </c>
      <c r="AA129" s="82"/>
      <c r="AB129" s="82"/>
      <c r="AC129" s="86" t="s">
        <v>423</v>
      </c>
      <c r="AD129" s="86" t="s">
        <v>431</v>
      </c>
      <c r="AE129" s="82" t="b">
        <v>0</v>
      </c>
      <c r="AF129" s="82">
        <v>0</v>
      </c>
      <c r="AG129" s="86" t="s">
        <v>432</v>
      </c>
      <c r="AH129" s="82" t="b">
        <v>0</v>
      </c>
      <c r="AI129" s="82" t="s">
        <v>439</v>
      </c>
      <c r="AJ129" s="82"/>
      <c r="AK129" s="86" t="s">
        <v>441</v>
      </c>
      <c r="AL129" s="82" t="b">
        <v>0</v>
      </c>
      <c r="AM129" s="82">
        <v>0</v>
      </c>
      <c r="AN129" s="86" t="s">
        <v>441</v>
      </c>
      <c r="AO129" s="86" t="s">
        <v>445</v>
      </c>
      <c r="AP129" s="82" t="b">
        <v>0</v>
      </c>
      <c r="AQ129" s="86" t="s">
        <v>431</v>
      </c>
      <c r="AR129" s="82"/>
      <c r="AS129" s="82">
        <v>0</v>
      </c>
      <c r="AT129" s="82">
        <v>0</v>
      </c>
      <c r="AU129" s="82"/>
      <c r="AV129" s="82"/>
      <c r="AW129" s="82"/>
      <c r="AX129" s="82"/>
      <c r="AY129" s="82"/>
      <c r="AZ129" s="82"/>
      <c r="BA129" s="82"/>
      <c r="BB129" s="82"/>
      <c r="BC129">
        <v>1</v>
      </c>
      <c r="BD129" s="81" t="str">
        <f>REPLACE(INDEX(GroupVertices[Group],MATCH(Edges[[#This Row],[Vertex 1]],GroupVertices[Vertex],0)),1,1,"")</f>
        <v>1</v>
      </c>
      <c r="BE129" s="81" t="str">
        <f>REPLACE(INDEX(GroupVertices[Group],MATCH(Edges[[#This Row],[Vertex 2]],GroupVertices[Vertex],0)),1,1,"")</f>
        <v>1</v>
      </c>
      <c r="BF129" s="49"/>
      <c r="BG129" s="50"/>
      <c r="BH129" s="49"/>
      <c r="BI129" s="50"/>
      <c r="BJ129" s="49"/>
      <c r="BK129" s="50"/>
      <c r="BL129" s="49"/>
      <c r="BM129" s="50"/>
      <c r="BN129" s="49"/>
    </row>
    <row r="130" spans="1:66" ht="15">
      <c r="A130" s="66" t="s">
        <v>283</v>
      </c>
      <c r="B130" s="66" t="s">
        <v>289</v>
      </c>
      <c r="C130" s="67" t="s">
        <v>1011</v>
      </c>
      <c r="D130" s="68">
        <v>3</v>
      </c>
      <c r="E130" s="69" t="s">
        <v>132</v>
      </c>
      <c r="F130" s="70">
        <v>32</v>
      </c>
      <c r="G130" s="67"/>
      <c r="H130" s="71"/>
      <c r="I130" s="72"/>
      <c r="J130" s="72"/>
      <c r="K130" s="35" t="s">
        <v>65</v>
      </c>
      <c r="L130" s="80">
        <v>130</v>
      </c>
      <c r="M130" s="80"/>
      <c r="N130" s="74"/>
      <c r="O130" s="82" t="s">
        <v>303</v>
      </c>
      <c r="P130" s="84">
        <v>44484.31989583333</v>
      </c>
      <c r="Q130" s="82" t="s">
        <v>337</v>
      </c>
      <c r="R130" s="82"/>
      <c r="S130" s="82"/>
      <c r="T130" s="82"/>
      <c r="U130" s="82"/>
      <c r="V130" s="85" t="str">
        <f>HYPERLINK("https://pbs.twimg.com/profile_images/644362955/Bill8_small_normal.jpg")</f>
        <v>https://pbs.twimg.com/profile_images/644362955/Bill8_small_normal.jpg</v>
      </c>
      <c r="W130" s="84">
        <v>44484.31989583333</v>
      </c>
      <c r="X130" s="89">
        <v>44484</v>
      </c>
      <c r="Y130" s="86" t="s">
        <v>382</v>
      </c>
      <c r="Z130" s="85" t="str">
        <f>HYPERLINK("https://twitter.com/billacres2/status/1448916717586075650")</f>
        <v>https://twitter.com/billacres2/status/1448916717586075650</v>
      </c>
      <c r="AA130" s="82"/>
      <c r="AB130" s="82"/>
      <c r="AC130" s="86" t="s">
        <v>423</v>
      </c>
      <c r="AD130" s="86" t="s">
        <v>431</v>
      </c>
      <c r="AE130" s="82" t="b">
        <v>0</v>
      </c>
      <c r="AF130" s="82">
        <v>0</v>
      </c>
      <c r="AG130" s="86" t="s">
        <v>432</v>
      </c>
      <c r="AH130" s="82" t="b">
        <v>0</v>
      </c>
      <c r="AI130" s="82" t="s">
        <v>439</v>
      </c>
      <c r="AJ130" s="82"/>
      <c r="AK130" s="86" t="s">
        <v>441</v>
      </c>
      <c r="AL130" s="82" t="b">
        <v>0</v>
      </c>
      <c r="AM130" s="82">
        <v>0</v>
      </c>
      <c r="AN130" s="86" t="s">
        <v>441</v>
      </c>
      <c r="AO130" s="86" t="s">
        <v>445</v>
      </c>
      <c r="AP130" s="82" t="b">
        <v>0</v>
      </c>
      <c r="AQ130" s="86" t="s">
        <v>431</v>
      </c>
      <c r="AR130" s="82"/>
      <c r="AS130" s="82">
        <v>0</v>
      </c>
      <c r="AT130" s="82">
        <v>0</v>
      </c>
      <c r="AU130" s="82"/>
      <c r="AV130" s="82"/>
      <c r="AW130" s="82"/>
      <c r="AX130" s="82"/>
      <c r="AY130" s="82"/>
      <c r="AZ130" s="82"/>
      <c r="BA130" s="82"/>
      <c r="BB130" s="82"/>
      <c r="BC130">
        <v>1</v>
      </c>
      <c r="BD130" s="81" t="str">
        <f>REPLACE(INDEX(GroupVertices[Group],MATCH(Edges[[#This Row],[Vertex 1]],GroupVertices[Vertex],0)),1,1,"")</f>
        <v>1</v>
      </c>
      <c r="BE130" s="81" t="str">
        <f>REPLACE(INDEX(GroupVertices[Group],MATCH(Edges[[#This Row],[Vertex 2]],GroupVertices[Vertex],0)),1,1,"")</f>
        <v>1</v>
      </c>
      <c r="BF130" s="49">
        <v>0</v>
      </c>
      <c r="BG130" s="50">
        <v>0</v>
      </c>
      <c r="BH130" s="49">
        <v>0</v>
      </c>
      <c r="BI130" s="50">
        <v>0</v>
      </c>
      <c r="BJ130" s="49">
        <v>0</v>
      </c>
      <c r="BK130" s="50">
        <v>0</v>
      </c>
      <c r="BL130" s="49">
        <v>14</v>
      </c>
      <c r="BM130" s="50">
        <v>100</v>
      </c>
      <c r="BN130" s="49">
        <v>14</v>
      </c>
    </row>
    <row r="131" spans="1:66" ht="15">
      <c r="A131" s="66" t="s">
        <v>284</v>
      </c>
      <c r="B131" s="66" t="s">
        <v>290</v>
      </c>
      <c r="C131" s="67" t="s">
        <v>1011</v>
      </c>
      <c r="D131" s="68">
        <v>3</v>
      </c>
      <c r="E131" s="69" t="s">
        <v>132</v>
      </c>
      <c r="F131" s="70">
        <v>32</v>
      </c>
      <c r="G131" s="67"/>
      <c r="H131" s="71"/>
      <c r="I131" s="72"/>
      <c r="J131" s="72"/>
      <c r="K131" s="35" t="s">
        <v>65</v>
      </c>
      <c r="L131" s="80">
        <v>131</v>
      </c>
      <c r="M131" s="80"/>
      <c r="N131" s="74"/>
      <c r="O131" s="82" t="s">
        <v>302</v>
      </c>
      <c r="P131" s="84">
        <v>44483.375810185185</v>
      </c>
      <c r="Q131" s="82" t="s">
        <v>338</v>
      </c>
      <c r="R131" s="82"/>
      <c r="S131" s="82"/>
      <c r="T131" s="82"/>
      <c r="U131" s="82"/>
      <c r="V131" s="85" t="str">
        <f>HYPERLINK("https://pbs.twimg.com/profile_images/1245671256889921537/xSiRP1vn_normal.jpg")</f>
        <v>https://pbs.twimg.com/profile_images/1245671256889921537/xSiRP1vn_normal.jpg</v>
      </c>
      <c r="W131" s="84">
        <v>44483.375810185185</v>
      </c>
      <c r="X131" s="89">
        <v>44483</v>
      </c>
      <c r="Y131" s="86" t="s">
        <v>383</v>
      </c>
      <c r="Z131" s="85" t="str">
        <f>HYPERLINK("https://twitter.com/lubylou64th/status/1448574593430691843")</f>
        <v>https://twitter.com/lubylou64th/status/1448574593430691843</v>
      </c>
      <c r="AA131" s="82"/>
      <c r="AB131" s="82"/>
      <c r="AC131" s="86" t="s">
        <v>424</v>
      </c>
      <c r="AD131" s="86" t="s">
        <v>431</v>
      </c>
      <c r="AE131" s="82" t="b">
        <v>0</v>
      </c>
      <c r="AF131" s="82">
        <v>3</v>
      </c>
      <c r="AG131" s="86" t="s">
        <v>432</v>
      </c>
      <c r="AH131" s="82" t="b">
        <v>0</v>
      </c>
      <c r="AI131" s="82" t="s">
        <v>439</v>
      </c>
      <c r="AJ131" s="82"/>
      <c r="AK131" s="86" t="s">
        <v>441</v>
      </c>
      <c r="AL131" s="82" t="b">
        <v>0</v>
      </c>
      <c r="AM131" s="82">
        <v>2</v>
      </c>
      <c r="AN131" s="86" t="s">
        <v>441</v>
      </c>
      <c r="AO131" s="86" t="s">
        <v>446</v>
      </c>
      <c r="AP131" s="82" t="b">
        <v>0</v>
      </c>
      <c r="AQ131" s="86" t="s">
        <v>431</v>
      </c>
      <c r="AR131" s="82"/>
      <c r="AS131" s="82">
        <v>0</v>
      </c>
      <c r="AT131" s="82">
        <v>0</v>
      </c>
      <c r="AU131" s="82"/>
      <c r="AV131" s="82"/>
      <c r="AW131" s="82"/>
      <c r="AX131" s="82"/>
      <c r="AY131" s="82"/>
      <c r="AZ131" s="82"/>
      <c r="BA131" s="82"/>
      <c r="BB131" s="82"/>
      <c r="BC131">
        <v>1</v>
      </c>
      <c r="BD131" s="81" t="str">
        <f>REPLACE(INDEX(GroupVertices[Group],MATCH(Edges[[#This Row],[Vertex 1]],GroupVertices[Vertex],0)),1,1,"")</f>
        <v>1</v>
      </c>
      <c r="BE131" s="81" t="str">
        <f>REPLACE(INDEX(GroupVertices[Group],MATCH(Edges[[#This Row],[Vertex 2]],GroupVertices[Vertex],0)),1,1,"")</f>
        <v>1</v>
      </c>
      <c r="BF131" s="49"/>
      <c r="BG131" s="50"/>
      <c r="BH131" s="49"/>
      <c r="BI131" s="50"/>
      <c r="BJ131" s="49"/>
      <c r="BK131" s="50"/>
      <c r="BL131" s="49"/>
      <c r="BM131" s="50"/>
      <c r="BN131" s="49"/>
    </row>
    <row r="132" spans="1:66" ht="15">
      <c r="A132" s="66" t="s">
        <v>284</v>
      </c>
      <c r="B132" s="66" t="s">
        <v>291</v>
      </c>
      <c r="C132" s="67" t="s">
        <v>1011</v>
      </c>
      <c r="D132" s="68">
        <v>3</v>
      </c>
      <c r="E132" s="69" t="s">
        <v>132</v>
      </c>
      <c r="F132" s="70">
        <v>32</v>
      </c>
      <c r="G132" s="67"/>
      <c r="H132" s="71"/>
      <c r="I132" s="72"/>
      <c r="J132" s="72"/>
      <c r="K132" s="35" t="s">
        <v>65</v>
      </c>
      <c r="L132" s="80">
        <v>132</v>
      </c>
      <c r="M132" s="80"/>
      <c r="N132" s="74"/>
      <c r="O132" s="82" t="s">
        <v>302</v>
      </c>
      <c r="P132" s="84">
        <v>44483.375810185185</v>
      </c>
      <c r="Q132" s="82" t="s">
        <v>338</v>
      </c>
      <c r="R132" s="82"/>
      <c r="S132" s="82"/>
      <c r="T132" s="82"/>
      <c r="U132" s="82"/>
      <c r="V132" s="85" t="str">
        <f>HYPERLINK("https://pbs.twimg.com/profile_images/1245671256889921537/xSiRP1vn_normal.jpg")</f>
        <v>https://pbs.twimg.com/profile_images/1245671256889921537/xSiRP1vn_normal.jpg</v>
      </c>
      <c r="W132" s="84">
        <v>44483.375810185185</v>
      </c>
      <c r="X132" s="89">
        <v>44483</v>
      </c>
      <c r="Y132" s="86" t="s">
        <v>383</v>
      </c>
      <c r="Z132" s="85" t="str">
        <f>HYPERLINK("https://twitter.com/lubylou64th/status/1448574593430691843")</f>
        <v>https://twitter.com/lubylou64th/status/1448574593430691843</v>
      </c>
      <c r="AA132" s="82"/>
      <c r="AB132" s="82"/>
      <c r="AC132" s="86" t="s">
        <v>424</v>
      </c>
      <c r="AD132" s="86" t="s">
        <v>431</v>
      </c>
      <c r="AE132" s="82" t="b">
        <v>0</v>
      </c>
      <c r="AF132" s="82">
        <v>3</v>
      </c>
      <c r="AG132" s="86" t="s">
        <v>432</v>
      </c>
      <c r="AH132" s="82" t="b">
        <v>0</v>
      </c>
      <c r="AI132" s="82" t="s">
        <v>439</v>
      </c>
      <c r="AJ132" s="82"/>
      <c r="AK132" s="86" t="s">
        <v>441</v>
      </c>
      <c r="AL132" s="82" t="b">
        <v>0</v>
      </c>
      <c r="AM132" s="82">
        <v>2</v>
      </c>
      <c r="AN132" s="86" t="s">
        <v>441</v>
      </c>
      <c r="AO132" s="86" t="s">
        <v>446</v>
      </c>
      <c r="AP132" s="82" t="b">
        <v>0</v>
      </c>
      <c r="AQ132" s="86" t="s">
        <v>431</v>
      </c>
      <c r="AR132" s="82"/>
      <c r="AS132" s="82">
        <v>0</v>
      </c>
      <c r="AT132" s="82">
        <v>0</v>
      </c>
      <c r="AU132" s="82"/>
      <c r="AV132" s="82"/>
      <c r="AW132" s="82"/>
      <c r="AX132" s="82"/>
      <c r="AY132" s="82"/>
      <c r="AZ132" s="82"/>
      <c r="BA132" s="82"/>
      <c r="BB132" s="82"/>
      <c r="BC132">
        <v>1</v>
      </c>
      <c r="BD132" s="81" t="str">
        <f>REPLACE(INDEX(GroupVertices[Group],MATCH(Edges[[#This Row],[Vertex 1]],GroupVertices[Vertex],0)),1,1,"")</f>
        <v>1</v>
      </c>
      <c r="BE132" s="81" t="str">
        <f>REPLACE(INDEX(GroupVertices[Group],MATCH(Edges[[#This Row],[Vertex 2]],GroupVertices[Vertex],0)),1,1,"")</f>
        <v>1</v>
      </c>
      <c r="BF132" s="49"/>
      <c r="BG132" s="50"/>
      <c r="BH132" s="49"/>
      <c r="BI132" s="50"/>
      <c r="BJ132" s="49"/>
      <c r="BK132" s="50"/>
      <c r="BL132" s="49"/>
      <c r="BM132" s="50"/>
      <c r="BN132" s="49"/>
    </row>
    <row r="133" spans="1:66" ht="15">
      <c r="A133" s="66" t="s">
        <v>284</v>
      </c>
      <c r="B133" s="66" t="s">
        <v>292</v>
      </c>
      <c r="C133" s="67" t="s">
        <v>1011</v>
      </c>
      <c r="D133" s="68">
        <v>3</v>
      </c>
      <c r="E133" s="69" t="s">
        <v>132</v>
      </c>
      <c r="F133" s="70">
        <v>32</v>
      </c>
      <c r="G133" s="67"/>
      <c r="H133" s="71"/>
      <c r="I133" s="72"/>
      <c r="J133" s="72"/>
      <c r="K133" s="35" t="s">
        <v>65</v>
      </c>
      <c r="L133" s="80">
        <v>133</v>
      </c>
      <c r="M133" s="80"/>
      <c r="N133" s="74"/>
      <c r="O133" s="82" t="s">
        <v>302</v>
      </c>
      <c r="P133" s="84">
        <v>44483.375810185185</v>
      </c>
      <c r="Q133" s="82" t="s">
        <v>338</v>
      </c>
      <c r="R133" s="82"/>
      <c r="S133" s="82"/>
      <c r="T133" s="82"/>
      <c r="U133" s="82"/>
      <c r="V133" s="85" t="str">
        <f>HYPERLINK("https://pbs.twimg.com/profile_images/1245671256889921537/xSiRP1vn_normal.jpg")</f>
        <v>https://pbs.twimg.com/profile_images/1245671256889921537/xSiRP1vn_normal.jpg</v>
      </c>
      <c r="W133" s="84">
        <v>44483.375810185185</v>
      </c>
      <c r="X133" s="89">
        <v>44483</v>
      </c>
      <c r="Y133" s="86" t="s">
        <v>383</v>
      </c>
      <c r="Z133" s="85" t="str">
        <f>HYPERLINK("https://twitter.com/lubylou64th/status/1448574593430691843")</f>
        <v>https://twitter.com/lubylou64th/status/1448574593430691843</v>
      </c>
      <c r="AA133" s="82"/>
      <c r="AB133" s="82"/>
      <c r="AC133" s="86" t="s">
        <v>424</v>
      </c>
      <c r="AD133" s="86" t="s">
        <v>431</v>
      </c>
      <c r="AE133" s="82" t="b">
        <v>0</v>
      </c>
      <c r="AF133" s="82">
        <v>3</v>
      </c>
      <c r="AG133" s="86" t="s">
        <v>432</v>
      </c>
      <c r="AH133" s="82" t="b">
        <v>0</v>
      </c>
      <c r="AI133" s="82" t="s">
        <v>439</v>
      </c>
      <c r="AJ133" s="82"/>
      <c r="AK133" s="86" t="s">
        <v>441</v>
      </c>
      <c r="AL133" s="82" t="b">
        <v>0</v>
      </c>
      <c r="AM133" s="82">
        <v>2</v>
      </c>
      <c r="AN133" s="86" t="s">
        <v>441</v>
      </c>
      <c r="AO133" s="86" t="s">
        <v>446</v>
      </c>
      <c r="AP133" s="82" t="b">
        <v>0</v>
      </c>
      <c r="AQ133" s="86" t="s">
        <v>431</v>
      </c>
      <c r="AR133" s="82"/>
      <c r="AS133" s="82">
        <v>0</v>
      </c>
      <c r="AT133" s="82">
        <v>0</v>
      </c>
      <c r="AU133" s="82"/>
      <c r="AV133" s="82"/>
      <c r="AW133" s="82"/>
      <c r="AX133" s="82"/>
      <c r="AY133" s="82"/>
      <c r="AZ133" s="82"/>
      <c r="BA133" s="82"/>
      <c r="BB133" s="82"/>
      <c r="BC133">
        <v>1</v>
      </c>
      <c r="BD133" s="81" t="str">
        <f>REPLACE(INDEX(GroupVertices[Group],MATCH(Edges[[#This Row],[Vertex 1]],GroupVertices[Vertex],0)),1,1,"")</f>
        <v>1</v>
      </c>
      <c r="BE133" s="81" t="str">
        <f>REPLACE(INDEX(GroupVertices[Group],MATCH(Edges[[#This Row],[Vertex 2]],GroupVertices[Vertex],0)),1,1,"")</f>
        <v>2</v>
      </c>
      <c r="BF133" s="49"/>
      <c r="BG133" s="50"/>
      <c r="BH133" s="49"/>
      <c r="BI133" s="50"/>
      <c r="BJ133" s="49"/>
      <c r="BK133" s="50"/>
      <c r="BL133" s="49"/>
      <c r="BM133" s="50"/>
      <c r="BN133" s="49"/>
    </row>
    <row r="134" spans="1:66" ht="15">
      <c r="A134" s="66" t="s">
        <v>284</v>
      </c>
      <c r="B134" s="66" t="s">
        <v>289</v>
      </c>
      <c r="C134" s="67" t="s">
        <v>1011</v>
      </c>
      <c r="D134" s="68">
        <v>3</v>
      </c>
      <c r="E134" s="69" t="s">
        <v>132</v>
      </c>
      <c r="F134" s="70">
        <v>32</v>
      </c>
      <c r="G134" s="67"/>
      <c r="H134" s="71"/>
      <c r="I134" s="72"/>
      <c r="J134" s="72"/>
      <c r="K134" s="35" t="s">
        <v>65</v>
      </c>
      <c r="L134" s="80">
        <v>134</v>
      </c>
      <c r="M134" s="80"/>
      <c r="N134" s="74"/>
      <c r="O134" s="82" t="s">
        <v>303</v>
      </c>
      <c r="P134" s="84">
        <v>44483.375810185185</v>
      </c>
      <c r="Q134" s="82" t="s">
        <v>338</v>
      </c>
      <c r="R134" s="82"/>
      <c r="S134" s="82"/>
      <c r="T134" s="82"/>
      <c r="U134" s="82"/>
      <c r="V134" s="85" t="str">
        <f>HYPERLINK("https://pbs.twimg.com/profile_images/1245671256889921537/xSiRP1vn_normal.jpg")</f>
        <v>https://pbs.twimg.com/profile_images/1245671256889921537/xSiRP1vn_normal.jpg</v>
      </c>
      <c r="W134" s="84">
        <v>44483.375810185185</v>
      </c>
      <c r="X134" s="89">
        <v>44483</v>
      </c>
      <c r="Y134" s="86" t="s">
        <v>383</v>
      </c>
      <c r="Z134" s="85" t="str">
        <f>HYPERLINK("https://twitter.com/lubylou64th/status/1448574593430691843")</f>
        <v>https://twitter.com/lubylou64th/status/1448574593430691843</v>
      </c>
      <c r="AA134" s="82"/>
      <c r="AB134" s="82"/>
      <c r="AC134" s="86" t="s">
        <v>424</v>
      </c>
      <c r="AD134" s="86" t="s">
        <v>431</v>
      </c>
      <c r="AE134" s="82" t="b">
        <v>0</v>
      </c>
      <c r="AF134" s="82">
        <v>3</v>
      </c>
      <c r="AG134" s="86" t="s">
        <v>432</v>
      </c>
      <c r="AH134" s="82" t="b">
        <v>0</v>
      </c>
      <c r="AI134" s="82" t="s">
        <v>439</v>
      </c>
      <c r="AJ134" s="82"/>
      <c r="AK134" s="86" t="s">
        <v>441</v>
      </c>
      <c r="AL134" s="82" t="b">
        <v>0</v>
      </c>
      <c r="AM134" s="82">
        <v>2</v>
      </c>
      <c r="AN134" s="86" t="s">
        <v>441</v>
      </c>
      <c r="AO134" s="86" t="s">
        <v>446</v>
      </c>
      <c r="AP134" s="82" t="b">
        <v>0</v>
      </c>
      <c r="AQ134" s="86" t="s">
        <v>431</v>
      </c>
      <c r="AR134" s="82"/>
      <c r="AS134" s="82">
        <v>0</v>
      </c>
      <c r="AT134" s="82">
        <v>0</v>
      </c>
      <c r="AU134" s="82"/>
      <c r="AV134" s="82"/>
      <c r="AW134" s="82"/>
      <c r="AX134" s="82"/>
      <c r="AY134" s="82"/>
      <c r="AZ134" s="82"/>
      <c r="BA134" s="82"/>
      <c r="BB134" s="82"/>
      <c r="BC134">
        <v>1</v>
      </c>
      <c r="BD134" s="81" t="str">
        <f>REPLACE(INDEX(GroupVertices[Group],MATCH(Edges[[#This Row],[Vertex 1]],GroupVertices[Vertex],0)),1,1,"")</f>
        <v>1</v>
      </c>
      <c r="BE134" s="81" t="str">
        <f>REPLACE(INDEX(GroupVertices[Group],MATCH(Edges[[#This Row],[Vertex 2]],GroupVertices[Vertex],0)),1,1,"")</f>
        <v>1</v>
      </c>
      <c r="BF134" s="49">
        <v>0</v>
      </c>
      <c r="BG134" s="50">
        <v>0</v>
      </c>
      <c r="BH134" s="49">
        <v>0</v>
      </c>
      <c r="BI134" s="50">
        <v>0</v>
      </c>
      <c r="BJ134" s="49">
        <v>0</v>
      </c>
      <c r="BK134" s="50">
        <v>0</v>
      </c>
      <c r="BL134" s="49">
        <v>9</v>
      </c>
      <c r="BM134" s="50">
        <v>100</v>
      </c>
      <c r="BN134" s="49">
        <v>9</v>
      </c>
    </row>
    <row r="135" spans="1:66" ht="15">
      <c r="A135" s="66" t="s">
        <v>285</v>
      </c>
      <c r="B135" s="66" t="s">
        <v>299</v>
      </c>
      <c r="C135" s="67" t="s">
        <v>1011</v>
      </c>
      <c r="D135" s="68">
        <v>3</v>
      </c>
      <c r="E135" s="69" t="s">
        <v>132</v>
      </c>
      <c r="F135" s="70">
        <v>32</v>
      </c>
      <c r="G135" s="67"/>
      <c r="H135" s="71"/>
      <c r="I135" s="72"/>
      <c r="J135" s="72"/>
      <c r="K135" s="35" t="s">
        <v>65</v>
      </c>
      <c r="L135" s="80">
        <v>135</v>
      </c>
      <c r="M135" s="80"/>
      <c r="N135" s="74"/>
      <c r="O135" s="82" t="s">
        <v>302</v>
      </c>
      <c r="P135" s="84">
        <v>44483.37422453704</v>
      </c>
      <c r="Q135" s="82" t="s">
        <v>339</v>
      </c>
      <c r="R135" s="82"/>
      <c r="S135" s="82"/>
      <c r="T135" s="82"/>
      <c r="U135" s="82"/>
      <c r="V135" s="85" t="str">
        <f>HYPERLINK("https://pbs.twimg.com/profile_images/1665851208/grumpy_normal.jpg")</f>
        <v>https://pbs.twimg.com/profile_images/1665851208/grumpy_normal.jpg</v>
      </c>
      <c r="W135" s="84">
        <v>44483.37422453704</v>
      </c>
      <c r="X135" s="89">
        <v>44483</v>
      </c>
      <c r="Y135" s="86" t="s">
        <v>384</v>
      </c>
      <c r="Z135" s="85" t="str">
        <f>HYPERLINK("https://twitter.com/mikek1956/status/1448574018962051074")</f>
        <v>https://twitter.com/mikek1956/status/1448574018962051074</v>
      </c>
      <c r="AA135" s="82"/>
      <c r="AB135" s="82"/>
      <c r="AC135" s="86" t="s">
        <v>425</v>
      </c>
      <c r="AD135" s="86" t="s">
        <v>431</v>
      </c>
      <c r="AE135" s="82" t="b">
        <v>0</v>
      </c>
      <c r="AF135" s="82">
        <v>2</v>
      </c>
      <c r="AG135" s="86" t="s">
        <v>432</v>
      </c>
      <c r="AH135" s="82" t="b">
        <v>0</v>
      </c>
      <c r="AI135" s="82" t="s">
        <v>439</v>
      </c>
      <c r="AJ135" s="82"/>
      <c r="AK135" s="86" t="s">
        <v>441</v>
      </c>
      <c r="AL135" s="82" t="b">
        <v>0</v>
      </c>
      <c r="AM135" s="82">
        <v>0</v>
      </c>
      <c r="AN135" s="86" t="s">
        <v>441</v>
      </c>
      <c r="AO135" s="86" t="s">
        <v>444</v>
      </c>
      <c r="AP135" s="82" t="b">
        <v>0</v>
      </c>
      <c r="AQ135" s="86" t="s">
        <v>431</v>
      </c>
      <c r="AR135" s="82"/>
      <c r="AS135" s="82">
        <v>0</v>
      </c>
      <c r="AT135" s="82">
        <v>0</v>
      </c>
      <c r="AU135" s="82"/>
      <c r="AV135" s="82"/>
      <c r="AW135" s="82"/>
      <c r="AX135" s="82"/>
      <c r="AY135" s="82"/>
      <c r="AZ135" s="82"/>
      <c r="BA135" s="82"/>
      <c r="BB135" s="82"/>
      <c r="BC135">
        <v>1</v>
      </c>
      <c r="BD135" s="81" t="str">
        <f>REPLACE(INDEX(GroupVertices[Group],MATCH(Edges[[#This Row],[Vertex 1]],GroupVertices[Vertex],0)),1,1,"")</f>
        <v>1</v>
      </c>
      <c r="BE135" s="81" t="str">
        <f>REPLACE(INDEX(GroupVertices[Group],MATCH(Edges[[#This Row],[Vertex 2]],GroupVertices[Vertex],0)),1,1,"")</f>
        <v>1</v>
      </c>
      <c r="BF135" s="49">
        <v>0</v>
      </c>
      <c r="BG135" s="50">
        <v>0</v>
      </c>
      <c r="BH135" s="49">
        <v>0</v>
      </c>
      <c r="BI135" s="50">
        <v>0</v>
      </c>
      <c r="BJ135" s="49">
        <v>0</v>
      </c>
      <c r="BK135" s="50">
        <v>0</v>
      </c>
      <c r="BL135" s="49">
        <v>6</v>
      </c>
      <c r="BM135" s="50">
        <v>100</v>
      </c>
      <c r="BN135" s="49">
        <v>6</v>
      </c>
    </row>
    <row r="136" spans="1:66" ht="15">
      <c r="A136" s="66" t="s">
        <v>285</v>
      </c>
      <c r="B136" s="66" t="s">
        <v>290</v>
      </c>
      <c r="C136" s="67" t="s">
        <v>1011</v>
      </c>
      <c r="D136" s="68">
        <v>3</v>
      </c>
      <c r="E136" s="69" t="s">
        <v>132</v>
      </c>
      <c r="F136" s="70">
        <v>32</v>
      </c>
      <c r="G136" s="67"/>
      <c r="H136" s="71"/>
      <c r="I136" s="72"/>
      <c r="J136" s="72"/>
      <c r="K136" s="35" t="s">
        <v>65</v>
      </c>
      <c r="L136" s="80">
        <v>136</v>
      </c>
      <c r="M136" s="80"/>
      <c r="N136" s="74"/>
      <c r="O136" s="82" t="s">
        <v>302</v>
      </c>
      <c r="P136" s="84">
        <v>44483.37422453704</v>
      </c>
      <c r="Q136" s="82" t="s">
        <v>339</v>
      </c>
      <c r="R136" s="82"/>
      <c r="S136" s="82"/>
      <c r="T136" s="82"/>
      <c r="U136" s="82"/>
      <c r="V136" s="85" t="str">
        <f>HYPERLINK("https://pbs.twimg.com/profile_images/1665851208/grumpy_normal.jpg")</f>
        <v>https://pbs.twimg.com/profile_images/1665851208/grumpy_normal.jpg</v>
      </c>
      <c r="W136" s="84">
        <v>44483.37422453704</v>
      </c>
      <c r="X136" s="89">
        <v>44483</v>
      </c>
      <c r="Y136" s="86" t="s">
        <v>384</v>
      </c>
      <c r="Z136" s="85" t="str">
        <f>HYPERLINK("https://twitter.com/mikek1956/status/1448574018962051074")</f>
        <v>https://twitter.com/mikek1956/status/1448574018962051074</v>
      </c>
      <c r="AA136" s="82"/>
      <c r="AB136" s="82"/>
      <c r="AC136" s="86" t="s">
        <v>425</v>
      </c>
      <c r="AD136" s="86" t="s">
        <v>431</v>
      </c>
      <c r="AE136" s="82" t="b">
        <v>0</v>
      </c>
      <c r="AF136" s="82">
        <v>2</v>
      </c>
      <c r="AG136" s="86" t="s">
        <v>432</v>
      </c>
      <c r="AH136" s="82" t="b">
        <v>0</v>
      </c>
      <c r="AI136" s="82" t="s">
        <v>439</v>
      </c>
      <c r="AJ136" s="82"/>
      <c r="AK136" s="86" t="s">
        <v>441</v>
      </c>
      <c r="AL136" s="82" t="b">
        <v>0</v>
      </c>
      <c r="AM136" s="82">
        <v>0</v>
      </c>
      <c r="AN136" s="86" t="s">
        <v>441</v>
      </c>
      <c r="AO136" s="86" t="s">
        <v>444</v>
      </c>
      <c r="AP136" s="82" t="b">
        <v>0</v>
      </c>
      <c r="AQ136" s="86" t="s">
        <v>431</v>
      </c>
      <c r="AR136" s="82"/>
      <c r="AS136" s="82">
        <v>0</v>
      </c>
      <c r="AT136" s="82">
        <v>0</v>
      </c>
      <c r="AU136" s="82"/>
      <c r="AV136" s="82"/>
      <c r="AW136" s="82"/>
      <c r="AX136" s="82"/>
      <c r="AY136" s="82"/>
      <c r="AZ136" s="82"/>
      <c r="BA136" s="82"/>
      <c r="BB136" s="82"/>
      <c r="BC136">
        <v>1</v>
      </c>
      <c r="BD136" s="81" t="str">
        <f>REPLACE(INDEX(GroupVertices[Group],MATCH(Edges[[#This Row],[Vertex 1]],GroupVertices[Vertex],0)),1,1,"")</f>
        <v>1</v>
      </c>
      <c r="BE136" s="81" t="str">
        <f>REPLACE(INDEX(GroupVertices[Group],MATCH(Edges[[#This Row],[Vertex 2]],GroupVertices[Vertex],0)),1,1,"")</f>
        <v>1</v>
      </c>
      <c r="BF136" s="49"/>
      <c r="BG136" s="50"/>
      <c r="BH136" s="49"/>
      <c r="BI136" s="50"/>
      <c r="BJ136" s="49"/>
      <c r="BK136" s="50"/>
      <c r="BL136" s="49"/>
      <c r="BM136" s="50"/>
      <c r="BN136" s="49"/>
    </row>
    <row r="137" spans="1:66" ht="15">
      <c r="A137" s="66" t="s">
        <v>285</v>
      </c>
      <c r="B137" s="66" t="s">
        <v>291</v>
      </c>
      <c r="C137" s="67" t="s">
        <v>1011</v>
      </c>
      <c r="D137" s="68">
        <v>3</v>
      </c>
      <c r="E137" s="69" t="s">
        <v>132</v>
      </c>
      <c r="F137" s="70">
        <v>32</v>
      </c>
      <c r="G137" s="67"/>
      <c r="H137" s="71"/>
      <c r="I137" s="72"/>
      <c r="J137" s="72"/>
      <c r="K137" s="35" t="s">
        <v>65</v>
      </c>
      <c r="L137" s="80">
        <v>137</v>
      </c>
      <c r="M137" s="80"/>
      <c r="N137" s="74"/>
      <c r="O137" s="82" t="s">
        <v>302</v>
      </c>
      <c r="P137" s="84">
        <v>44483.37422453704</v>
      </c>
      <c r="Q137" s="82" t="s">
        <v>339</v>
      </c>
      <c r="R137" s="82"/>
      <c r="S137" s="82"/>
      <c r="T137" s="82"/>
      <c r="U137" s="82"/>
      <c r="V137" s="85" t="str">
        <f>HYPERLINK("https://pbs.twimg.com/profile_images/1665851208/grumpy_normal.jpg")</f>
        <v>https://pbs.twimg.com/profile_images/1665851208/grumpy_normal.jpg</v>
      </c>
      <c r="W137" s="84">
        <v>44483.37422453704</v>
      </c>
      <c r="X137" s="89">
        <v>44483</v>
      </c>
      <c r="Y137" s="86" t="s">
        <v>384</v>
      </c>
      <c r="Z137" s="85" t="str">
        <f>HYPERLINK("https://twitter.com/mikek1956/status/1448574018962051074")</f>
        <v>https://twitter.com/mikek1956/status/1448574018962051074</v>
      </c>
      <c r="AA137" s="82"/>
      <c r="AB137" s="82"/>
      <c r="AC137" s="86" t="s">
        <v>425</v>
      </c>
      <c r="AD137" s="86" t="s">
        <v>431</v>
      </c>
      <c r="AE137" s="82" t="b">
        <v>0</v>
      </c>
      <c r="AF137" s="82">
        <v>2</v>
      </c>
      <c r="AG137" s="86" t="s">
        <v>432</v>
      </c>
      <c r="AH137" s="82" t="b">
        <v>0</v>
      </c>
      <c r="AI137" s="82" t="s">
        <v>439</v>
      </c>
      <c r="AJ137" s="82"/>
      <c r="AK137" s="86" t="s">
        <v>441</v>
      </c>
      <c r="AL137" s="82" t="b">
        <v>0</v>
      </c>
      <c r="AM137" s="82">
        <v>0</v>
      </c>
      <c r="AN137" s="86" t="s">
        <v>441</v>
      </c>
      <c r="AO137" s="86" t="s">
        <v>444</v>
      </c>
      <c r="AP137" s="82" t="b">
        <v>0</v>
      </c>
      <c r="AQ137" s="86" t="s">
        <v>431</v>
      </c>
      <c r="AR137" s="82"/>
      <c r="AS137" s="82">
        <v>0</v>
      </c>
      <c r="AT137" s="82">
        <v>0</v>
      </c>
      <c r="AU137" s="82"/>
      <c r="AV137" s="82"/>
      <c r="AW137" s="82"/>
      <c r="AX137" s="82"/>
      <c r="AY137" s="82"/>
      <c r="AZ137" s="82"/>
      <c r="BA137" s="82"/>
      <c r="BB137" s="82"/>
      <c r="BC137">
        <v>1</v>
      </c>
      <c r="BD137" s="81" t="str">
        <f>REPLACE(INDEX(GroupVertices[Group],MATCH(Edges[[#This Row],[Vertex 1]],GroupVertices[Vertex],0)),1,1,"")</f>
        <v>1</v>
      </c>
      <c r="BE137" s="81" t="str">
        <f>REPLACE(INDEX(GroupVertices[Group],MATCH(Edges[[#This Row],[Vertex 2]],GroupVertices[Vertex],0)),1,1,"")</f>
        <v>1</v>
      </c>
      <c r="BF137" s="49"/>
      <c r="BG137" s="50"/>
      <c r="BH137" s="49"/>
      <c r="BI137" s="50"/>
      <c r="BJ137" s="49"/>
      <c r="BK137" s="50"/>
      <c r="BL137" s="49"/>
      <c r="BM137" s="50"/>
      <c r="BN137" s="49"/>
    </row>
    <row r="138" spans="1:66" ht="15">
      <c r="A138" s="66" t="s">
        <v>285</v>
      </c>
      <c r="B138" s="66" t="s">
        <v>289</v>
      </c>
      <c r="C138" s="67" t="s">
        <v>1011</v>
      </c>
      <c r="D138" s="68">
        <v>3</v>
      </c>
      <c r="E138" s="69" t="s">
        <v>132</v>
      </c>
      <c r="F138" s="70">
        <v>32</v>
      </c>
      <c r="G138" s="67"/>
      <c r="H138" s="71"/>
      <c r="I138" s="72"/>
      <c r="J138" s="72"/>
      <c r="K138" s="35" t="s">
        <v>65</v>
      </c>
      <c r="L138" s="80">
        <v>138</v>
      </c>
      <c r="M138" s="80"/>
      <c r="N138" s="74"/>
      <c r="O138" s="82" t="s">
        <v>303</v>
      </c>
      <c r="P138" s="84">
        <v>44483.37422453704</v>
      </c>
      <c r="Q138" s="82" t="s">
        <v>339</v>
      </c>
      <c r="R138" s="82"/>
      <c r="S138" s="82"/>
      <c r="T138" s="82"/>
      <c r="U138" s="82"/>
      <c r="V138" s="85" t="str">
        <f>HYPERLINK("https://pbs.twimg.com/profile_images/1665851208/grumpy_normal.jpg")</f>
        <v>https://pbs.twimg.com/profile_images/1665851208/grumpy_normal.jpg</v>
      </c>
      <c r="W138" s="84">
        <v>44483.37422453704</v>
      </c>
      <c r="X138" s="89">
        <v>44483</v>
      </c>
      <c r="Y138" s="86" t="s">
        <v>384</v>
      </c>
      <c r="Z138" s="85" t="str">
        <f>HYPERLINK("https://twitter.com/mikek1956/status/1448574018962051074")</f>
        <v>https://twitter.com/mikek1956/status/1448574018962051074</v>
      </c>
      <c r="AA138" s="82"/>
      <c r="AB138" s="82"/>
      <c r="AC138" s="86" t="s">
        <v>425</v>
      </c>
      <c r="AD138" s="86" t="s">
        <v>431</v>
      </c>
      <c r="AE138" s="82" t="b">
        <v>0</v>
      </c>
      <c r="AF138" s="82">
        <v>2</v>
      </c>
      <c r="AG138" s="86" t="s">
        <v>432</v>
      </c>
      <c r="AH138" s="82" t="b">
        <v>0</v>
      </c>
      <c r="AI138" s="82" t="s">
        <v>439</v>
      </c>
      <c r="AJ138" s="82"/>
      <c r="AK138" s="86" t="s">
        <v>441</v>
      </c>
      <c r="AL138" s="82" t="b">
        <v>0</v>
      </c>
      <c r="AM138" s="82">
        <v>0</v>
      </c>
      <c r="AN138" s="86" t="s">
        <v>441</v>
      </c>
      <c r="AO138" s="86" t="s">
        <v>444</v>
      </c>
      <c r="AP138" s="82" t="b">
        <v>0</v>
      </c>
      <c r="AQ138" s="86" t="s">
        <v>431</v>
      </c>
      <c r="AR138" s="82"/>
      <c r="AS138" s="82">
        <v>0</v>
      </c>
      <c r="AT138" s="82">
        <v>0</v>
      </c>
      <c r="AU138" s="82"/>
      <c r="AV138" s="82"/>
      <c r="AW138" s="82"/>
      <c r="AX138" s="82"/>
      <c r="AY138" s="82"/>
      <c r="AZ138" s="82"/>
      <c r="BA138" s="82"/>
      <c r="BB138" s="82"/>
      <c r="BC138">
        <v>1</v>
      </c>
      <c r="BD138" s="81" t="str">
        <f>REPLACE(INDEX(GroupVertices[Group],MATCH(Edges[[#This Row],[Vertex 1]],GroupVertices[Vertex],0)),1,1,"")</f>
        <v>1</v>
      </c>
      <c r="BE138" s="81" t="str">
        <f>REPLACE(INDEX(GroupVertices[Group],MATCH(Edges[[#This Row],[Vertex 2]],GroupVertices[Vertex],0)),1,1,"")</f>
        <v>1</v>
      </c>
      <c r="BF138" s="49"/>
      <c r="BG138" s="50"/>
      <c r="BH138" s="49"/>
      <c r="BI138" s="50"/>
      <c r="BJ138" s="49"/>
      <c r="BK138" s="50"/>
      <c r="BL138" s="49"/>
      <c r="BM138" s="50"/>
      <c r="BN138" s="49"/>
    </row>
    <row r="139" spans="1:66" ht="15">
      <c r="A139" s="66" t="s">
        <v>286</v>
      </c>
      <c r="B139" s="66" t="s">
        <v>300</v>
      </c>
      <c r="C139" s="67" t="s">
        <v>1012</v>
      </c>
      <c r="D139" s="68">
        <v>3</v>
      </c>
      <c r="E139" s="69" t="s">
        <v>136</v>
      </c>
      <c r="F139" s="70">
        <v>6</v>
      </c>
      <c r="G139" s="67"/>
      <c r="H139" s="71"/>
      <c r="I139" s="72"/>
      <c r="J139" s="72"/>
      <c r="K139" s="35" t="s">
        <v>65</v>
      </c>
      <c r="L139" s="80">
        <v>139</v>
      </c>
      <c r="M139" s="80"/>
      <c r="N139" s="74"/>
      <c r="O139" s="82" t="s">
        <v>302</v>
      </c>
      <c r="P139" s="84">
        <v>44483.40783564815</v>
      </c>
      <c r="Q139" s="82" t="s">
        <v>340</v>
      </c>
      <c r="R139" s="82"/>
      <c r="S139" s="82"/>
      <c r="T139" s="82"/>
      <c r="U139" s="82"/>
      <c r="V139" s="85" t="str">
        <f>HYPERLINK("https://pbs.twimg.com/profile_images/666663530586898432/zWoR2JV1_normal.jpg")</f>
        <v>https://pbs.twimg.com/profile_images/666663530586898432/zWoR2JV1_normal.jpg</v>
      </c>
      <c r="W139" s="84">
        <v>44483.40783564815</v>
      </c>
      <c r="X139" s="89">
        <v>44483</v>
      </c>
      <c r="Y139" s="86" t="s">
        <v>385</v>
      </c>
      <c r="Z139" s="85" t="str">
        <f>HYPERLINK("https://twitter.com/nglwaug/status/1448586195282366464")</f>
        <v>https://twitter.com/nglwaug/status/1448586195282366464</v>
      </c>
      <c r="AA139" s="82"/>
      <c r="AB139" s="82"/>
      <c r="AC139" s="86" t="s">
        <v>426</v>
      </c>
      <c r="AD139" s="86" t="s">
        <v>427</v>
      </c>
      <c r="AE139" s="82" t="b">
        <v>0</v>
      </c>
      <c r="AF139" s="82">
        <v>3</v>
      </c>
      <c r="AG139" s="86" t="s">
        <v>438</v>
      </c>
      <c r="AH139" s="82" t="b">
        <v>0</v>
      </c>
      <c r="AI139" s="82" t="s">
        <v>439</v>
      </c>
      <c r="AJ139" s="82"/>
      <c r="AK139" s="86" t="s">
        <v>441</v>
      </c>
      <c r="AL139" s="82" t="b">
        <v>0</v>
      </c>
      <c r="AM139" s="82">
        <v>1</v>
      </c>
      <c r="AN139" s="86" t="s">
        <v>441</v>
      </c>
      <c r="AO139" s="86" t="s">
        <v>445</v>
      </c>
      <c r="AP139" s="82" t="b">
        <v>0</v>
      </c>
      <c r="AQ139" s="86" t="s">
        <v>427</v>
      </c>
      <c r="AR139" s="82"/>
      <c r="AS139" s="82">
        <v>0</v>
      </c>
      <c r="AT139" s="82">
        <v>0</v>
      </c>
      <c r="AU139" s="82"/>
      <c r="AV139" s="82"/>
      <c r="AW139" s="82"/>
      <c r="AX139" s="82"/>
      <c r="AY139" s="82"/>
      <c r="AZ139" s="82"/>
      <c r="BA139" s="82"/>
      <c r="BB139" s="82"/>
      <c r="BC139">
        <v>2</v>
      </c>
      <c r="BD139" s="81" t="str">
        <f>REPLACE(INDEX(GroupVertices[Group],MATCH(Edges[[#This Row],[Vertex 1]],GroupVertices[Vertex],0)),1,1,"")</f>
        <v>1</v>
      </c>
      <c r="BE139" s="81" t="str">
        <f>REPLACE(INDEX(GroupVertices[Group],MATCH(Edges[[#This Row],[Vertex 2]],GroupVertices[Vertex],0)),1,1,"")</f>
        <v>1</v>
      </c>
      <c r="BF139" s="49">
        <v>0</v>
      </c>
      <c r="BG139" s="50">
        <v>0</v>
      </c>
      <c r="BH139" s="49">
        <v>0</v>
      </c>
      <c r="BI139" s="50">
        <v>0</v>
      </c>
      <c r="BJ139" s="49">
        <v>0</v>
      </c>
      <c r="BK139" s="50">
        <v>0</v>
      </c>
      <c r="BL139" s="49">
        <v>14</v>
      </c>
      <c r="BM139" s="50">
        <v>100</v>
      </c>
      <c r="BN139" s="49">
        <v>14</v>
      </c>
    </row>
    <row r="140" spans="1:66" ht="15">
      <c r="A140" s="66" t="s">
        <v>286</v>
      </c>
      <c r="B140" s="66" t="s">
        <v>300</v>
      </c>
      <c r="C140" s="67" t="s">
        <v>1012</v>
      </c>
      <c r="D140" s="68">
        <v>3</v>
      </c>
      <c r="E140" s="69" t="s">
        <v>136</v>
      </c>
      <c r="F140" s="70">
        <v>6</v>
      </c>
      <c r="G140" s="67"/>
      <c r="H140" s="71"/>
      <c r="I140" s="72"/>
      <c r="J140" s="72"/>
      <c r="K140" s="35" t="s">
        <v>65</v>
      </c>
      <c r="L140" s="80">
        <v>140</v>
      </c>
      <c r="M140" s="80"/>
      <c r="N140" s="74"/>
      <c r="O140" s="82" t="s">
        <v>302</v>
      </c>
      <c r="P140" s="84">
        <v>44483.407326388886</v>
      </c>
      <c r="Q140" s="82" t="s">
        <v>341</v>
      </c>
      <c r="R140" s="82"/>
      <c r="S140" s="82"/>
      <c r="T140" s="82"/>
      <c r="U140" s="82"/>
      <c r="V140" s="85" t="str">
        <f>HYPERLINK("https://pbs.twimg.com/profile_images/666663530586898432/zWoR2JV1_normal.jpg")</f>
        <v>https://pbs.twimg.com/profile_images/666663530586898432/zWoR2JV1_normal.jpg</v>
      </c>
      <c r="W140" s="84">
        <v>44483.407326388886</v>
      </c>
      <c r="X140" s="89">
        <v>44483</v>
      </c>
      <c r="Y140" s="86" t="s">
        <v>386</v>
      </c>
      <c r="Z140" s="85" t="str">
        <f>HYPERLINK("https://twitter.com/nglwaug/status/1448586014302347268")</f>
        <v>https://twitter.com/nglwaug/status/1448586014302347268</v>
      </c>
      <c r="AA140" s="82"/>
      <c r="AB140" s="82"/>
      <c r="AC140" s="86" t="s">
        <v>427</v>
      </c>
      <c r="AD140" s="86" t="s">
        <v>431</v>
      </c>
      <c r="AE140" s="82" t="b">
        <v>0</v>
      </c>
      <c r="AF140" s="82">
        <v>5</v>
      </c>
      <c r="AG140" s="86" t="s">
        <v>432</v>
      </c>
      <c r="AH140" s="82" t="b">
        <v>0</v>
      </c>
      <c r="AI140" s="82" t="s">
        <v>439</v>
      </c>
      <c r="AJ140" s="82"/>
      <c r="AK140" s="86" t="s">
        <v>441</v>
      </c>
      <c r="AL140" s="82" t="b">
        <v>0</v>
      </c>
      <c r="AM140" s="82">
        <v>2</v>
      </c>
      <c r="AN140" s="86" t="s">
        <v>441</v>
      </c>
      <c r="AO140" s="86" t="s">
        <v>445</v>
      </c>
      <c r="AP140" s="82" t="b">
        <v>0</v>
      </c>
      <c r="AQ140" s="86" t="s">
        <v>431</v>
      </c>
      <c r="AR140" s="82"/>
      <c r="AS140" s="82">
        <v>0</v>
      </c>
      <c r="AT140" s="82">
        <v>0</v>
      </c>
      <c r="AU140" s="82"/>
      <c r="AV140" s="82"/>
      <c r="AW140" s="82"/>
      <c r="AX140" s="82"/>
      <c r="AY140" s="82"/>
      <c r="AZ140" s="82"/>
      <c r="BA140" s="82"/>
      <c r="BB140" s="82"/>
      <c r="BC140">
        <v>2</v>
      </c>
      <c r="BD140" s="81" t="str">
        <f>REPLACE(INDEX(GroupVertices[Group],MATCH(Edges[[#This Row],[Vertex 1]],GroupVertices[Vertex],0)),1,1,"")</f>
        <v>1</v>
      </c>
      <c r="BE140" s="81" t="str">
        <f>REPLACE(INDEX(GroupVertices[Group],MATCH(Edges[[#This Row],[Vertex 2]],GroupVertices[Vertex],0)),1,1,"")</f>
        <v>1</v>
      </c>
      <c r="BF140" s="49">
        <v>0</v>
      </c>
      <c r="BG140" s="50">
        <v>0</v>
      </c>
      <c r="BH140" s="49">
        <v>0</v>
      </c>
      <c r="BI140" s="50">
        <v>0</v>
      </c>
      <c r="BJ140" s="49">
        <v>0</v>
      </c>
      <c r="BK140" s="50">
        <v>0</v>
      </c>
      <c r="BL140" s="49">
        <v>22</v>
      </c>
      <c r="BM140" s="50">
        <v>100</v>
      </c>
      <c r="BN140" s="49">
        <v>22</v>
      </c>
    </row>
    <row r="141" spans="1:66" ht="15">
      <c r="A141" s="66" t="s">
        <v>286</v>
      </c>
      <c r="B141" s="66" t="s">
        <v>290</v>
      </c>
      <c r="C141" s="67" t="s">
        <v>1012</v>
      </c>
      <c r="D141" s="68">
        <v>3</v>
      </c>
      <c r="E141" s="69" t="s">
        <v>136</v>
      </c>
      <c r="F141" s="70">
        <v>6</v>
      </c>
      <c r="G141" s="67"/>
      <c r="H141" s="71"/>
      <c r="I141" s="72"/>
      <c r="J141" s="72"/>
      <c r="K141" s="35" t="s">
        <v>65</v>
      </c>
      <c r="L141" s="80">
        <v>141</v>
      </c>
      <c r="M141" s="80"/>
      <c r="N141" s="74"/>
      <c r="O141" s="82" t="s">
        <v>302</v>
      </c>
      <c r="P141" s="84">
        <v>44483.40783564815</v>
      </c>
      <c r="Q141" s="82" t="s">
        <v>340</v>
      </c>
      <c r="R141" s="82"/>
      <c r="S141" s="82"/>
      <c r="T141" s="82"/>
      <c r="U141" s="82"/>
      <c r="V141" s="85" t="str">
        <f>HYPERLINK("https://pbs.twimg.com/profile_images/666663530586898432/zWoR2JV1_normal.jpg")</f>
        <v>https://pbs.twimg.com/profile_images/666663530586898432/zWoR2JV1_normal.jpg</v>
      </c>
      <c r="W141" s="84">
        <v>44483.40783564815</v>
      </c>
      <c r="X141" s="89">
        <v>44483</v>
      </c>
      <c r="Y141" s="86" t="s">
        <v>385</v>
      </c>
      <c r="Z141" s="85" t="str">
        <f>HYPERLINK("https://twitter.com/nglwaug/status/1448586195282366464")</f>
        <v>https://twitter.com/nglwaug/status/1448586195282366464</v>
      </c>
      <c r="AA141" s="82"/>
      <c r="AB141" s="82"/>
      <c r="AC141" s="86" t="s">
        <v>426</v>
      </c>
      <c r="AD141" s="86" t="s">
        <v>427</v>
      </c>
      <c r="AE141" s="82" t="b">
        <v>0</v>
      </c>
      <c r="AF141" s="82">
        <v>3</v>
      </c>
      <c r="AG141" s="86" t="s">
        <v>438</v>
      </c>
      <c r="AH141" s="82" t="b">
        <v>0</v>
      </c>
      <c r="AI141" s="82" t="s">
        <v>439</v>
      </c>
      <c r="AJ141" s="82"/>
      <c r="AK141" s="86" t="s">
        <v>441</v>
      </c>
      <c r="AL141" s="82" t="b">
        <v>0</v>
      </c>
      <c r="AM141" s="82">
        <v>1</v>
      </c>
      <c r="AN141" s="86" t="s">
        <v>441</v>
      </c>
      <c r="AO141" s="86" t="s">
        <v>445</v>
      </c>
      <c r="AP141" s="82" t="b">
        <v>0</v>
      </c>
      <c r="AQ141" s="86" t="s">
        <v>427</v>
      </c>
      <c r="AR141" s="82"/>
      <c r="AS141" s="82">
        <v>0</v>
      </c>
      <c r="AT141" s="82">
        <v>0</v>
      </c>
      <c r="AU141" s="82"/>
      <c r="AV141" s="82"/>
      <c r="AW141" s="82"/>
      <c r="AX141" s="82"/>
      <c r="AY141" s="82"/>
      <c r="AZ141" s="82"/>
      <c r="BA141" s="82"/>
      <c r="BB141" s="82"/>
      <c r="BC141">
        <v>2</v>
      </c>
      <c r="BD141" s="81" t="str">
        <f>REPLACE(INDEX(GroupVertices[Group],MATCH(Edges[[#This Row],[Vertex 1]],GroupVertices[Vertex],0)),1,1,"")</f>
        <v>1</v>
      </c>
      <c r="BE141" s="81" t="str">
        <f>REPLACE(INDEX(GroupVertices[Group],MATCH(Edges[[#This Row],[Vertex 2]],GroupVertices[Vertex],0)),1,1,"")</f>
        <v>1</v>
      </c>
      <c r="BF141" s="49"/>
      <c r="BG141" s="50"/>
      <c r="BH141" s="49"/>
      <c r="BI141" s="50"/>
      <c r="BJ141" s="49"/>
      <c r="BK141" s="50"/>
      <c r="BL141" s="49"/>
      <c r="BM141" s="50"/>
      <c r="BN141" s="49"/>
    </row>
    <row r="142" spans="1:66" ht="15">
      <c r="A142" s="66" t="s">
        <v>286</v>
      </c>
      <c r="B142" s="66" t="s">
        <v>291</v>
      </c>
      <c r="C142" s="67" t="s">
        <v>1012</v>
      </c>
      <c r="D142" s="68">
        <v>3</v>
      </c>
      <c r="E142" s="69" t="s">
        <v>136</v>
      </c>
      <c r="F142" s="70">
        <v>6</v>
      </c>
      <c r="G142" s="67"/>
      <c r="H142" s="71"/>
      <c r="I142" s="72"/>
      <c r="J142" s="72"/>
      <c r="K142" s="35" t="s">
        <v>65</v>
      </c>
      <c r="L142" s="80">
        <v>142</v>
      </c>
      <c r="M142" s="80"/>
      <c r="N142" s="74"/>
      <c r="O142" s="82" t="s">
        <v>302</v>
      </c>
      <c r="P142" s="84">
        <v>44483.40783564815</v>
      </c>
      <c r="Q142" s="82" t="s">
        <v>340</v>
      </c>
      <c r="R142" s="82"/>
      <c r="S142" s="82"/>
      <c r="T142" s="82"/>
      <c r="U142" s="82"/>
      <c r="V142" s="85" t="str">
        <f>HYPERLINK("https://pbs.twimg.com/profile_images/666663530586898432/zWoR2JV1_normal.jpg")</f>
        <v>https://pbs.twimg.com/profile_images/666663530586898432/zWoR2JV1_normal.jpg</v>
      </c>
      <c r="W142" s="84">
        <v>44483.40783564815</v>
      </c>
      <c r="X142" s="89">
        <v>44483</v>
      </c>
      <c r="Y142" s="86" t="s">
        <v>385</v>
      </c>
      <c r="Z142" s="85" t="str">
        <f>HYPERLINK("https://twitter.com/nglwaug/status/1448586195282366464")</f>
        <v>https://twitter.com/nglwaug/status/1448586195282366464</v>
      </c>
      <c r="AA142" s="82"/>
      <c r="AB142" s="82"/>
      <c r="AC142" s="86" t="s">
        <v>426</v>
      </c>
      <c r="AD142" s="86" t="s">
        <v>427</v>
      </c>
      <c r="AE142" s="82" t="b">
        <v>0</v>
      </c>
      <c r="AF142" s="82">
        <v>3</v>
      </c>
      <c r="AG142" s="86" t="s">
        <v>438</v>
      </c>
      <c r="AH142" s="82" t="b">
        <v>0</v>
      </c>
      <c r="AI142" s="82" t="s">
        <v>439</v>
      </c>
      <c r="AJ142" s="82"/>
      <c r="AK142" s="86" t="s">
        <v>441</v>
      </c>
      <c r="AL142" s="82" t="b">
        <v>0</v>
      </c>
      <c r="AM142" s="82">
        <v>1</v>
      </c>
      <c r="AN142" s="86" t="s">
        <v>441</v>
      </c>
      <c r="AO142" s="86" t="s">
        <v>445</v>
      </c>
      <c r="AP142" s="82" t="b">
        <v>0</v>
      </c>
      <c r="AQ142" s="86" t="s">
        <v>427</v>
      </c>
      <c r="AR142" s="82"/>
      <c r="AS142" s="82">
        <v>0</v>
      </c>
      <c r="AT142" s="82">
        <v>0</v>
      </c>
      <c r="AU142" s="82"/>
      <c r="AV142" s="82"/>
      <c r="AW142" s="82"/>
      <c r="AX142" s="82"/>
      <c r="AY142" s="82"/>
      <c r="AZ142" s="82"/>
      <c r="BA142" s="82"/>
      <c r="BB142" s="82"/>
      <c r="BC142">
        <v>2</v>
      </c>
      <c r="BD142" s="81" t="str">
        <f>REPLACE(INDEX(GroupVertices[Group],MATCH(Edges[[#This Row],[Vertex 1]],GroupVertices[Vertex],0)),1,1,"")</f>
        <v>1</v>
      </c>
      <c r="BE142" s="81" t="str">
        <f>REPLACE(INDEX(GroupVertices[Group],MATCH(Edges[[#This Row],[Vertex 2]],GroupVertices[Vertex],0)),1,1,"")</f>
        <v>1</v>
      </c>
      <c r="BF142" s="49"/>
      <c r="BG142" s="50"/>
      <c r="BH142" s="49"/>
      <c r="BI142" s="50"/>
      <c r="BJ142" s="49"/>
      <c r="BK142" s="50"/>
      <c r="BL142" s="49"/>
      <c r="BM142" s="50"/>
      <c r="BN142" s="49"/>
    </row>
    <row r="143" spans="1:66" ht="15">
      <c r="A143" s="66" t="s">
        <v>286</v>
      </c>
      <c r="B143" s="66" t="s">
        <v>289</v>
      </c>
      <c r="C143" s="67" t="s">
        <v>1012</v>
      </c>
      <c r="D143" s="68">
        <v>3</v>
      </c>
      <c r="E143" s="69" t="s">
        <v>136</v>
      </c>
      <c r="F143" s="70">
        <v>6</v>
      </c>
      <c r="G143" s="67"/>
      <c r="H143" s="71"/>
      <c r="I143" s="72"/>
      <c r="J143" s="72"/>
      <c r="K143" s="35" t="s">
        <v>65</v>
      </c>
      <c r="L143" s="80">
        <v>143</v>
      </c>
      <c r="M143" s="80"/>
      <c r="N143" s="74"/>
      <c r="O143" s="82" t="s">
        <v>303</v>
      </c>
      <c r="P143" s="84">
        <v>44483.40783564815</v>
      </c>
      <c r="Q143" s="82" t="s">
        <v>340</v>
      </c>
      <c r="R143" s="82"/>
      <c r="S143" s="82"/>
      <c r="T143" s="82"/>
      <c r="U143" s="82"/>
      <c r="V143" s="85" t="str">
        <f>HYPERLINK("https://pbs.twimg.com/profile_images/666663530586898432/zWoR2JV1_normal.jpg")</f>
        <v>https://pbs.twimg.com/profile_images/666663530586898432/zWoR2JV1_normal.jpg</v>
      </c>
      <c r="W143" s="84">
        <v>44483.40783564815</v>
      </c>
      <c r="X143" s="89">
        <v>44483</v>
      </c>
      <c r="Y143" s="86" t="s">
        <v>385</v>
      </c>
      <c r="Z143" s="85" t="str">
        <f>HYPERLINK("https://twitter.com/nglwaug/status/1448586195282366464")</f>
        <v>https://twitter.com/nglwaug/status/1448586195282366464</v>
      </c>
      <c r="AA143" s="82"/>
      <c r="AB143" s="82"/>
      <c r="AC143" s="86" t="s">
        <v>426</v>
      </c>
      <c r="AD143" s="86" t="s">
        <v>427</v>
      </c>
      <c r="AE143" s="82" t="b">
        <v>0</v>
      </c>
      <c r="AF143" s="82">
        <v>3</v>
      </c>
      <c r="AG143" s="86" t="s">
        <v>438</v>
      </c>
      <c r="AH143" s="82" t="b">
        <v>0</v>
      </c>
      <c r="AI143" s="82" t="s">
        <v>439</v>
      </c>
      <c r="AJ143" s="82"/>
      <c r="AK143" s="86" t="s">
        <v>441</v>
      </c>
      <c r="AL143" s="82" t="b">
        <v>0</v>
      </c>
      <c r="AM143" s="82">
        <v>1</v>
      </c>
      <c r="AN143" s="86" t="s">
        <v>441</v>
      </c>
      <c r="AO143" s="86" t="s">
        <v>445</v>
      </c>
      <c r="AP143" s="82" t="b">
        <v>0</v>
      </c>
      <c r="AQ143" s="86" t="s">
        <v>427</v>
      </c>
      <c r="AR143" s="82"/>
      <c r="AS143" s="82">
        <v>0</v>
      </c>
      <c r="AT143" s="82">
        <v>0</v>
      </c>
      <c r="AU143" s="82"/>
      <c r="AV143" s="82"/>
      <c r="AW143" s="82"/>
      <c r="AX143" s="82"/>
      <c r="AY143" s="82"/>
      <c r="AZ143" s="82"/>
      <c r="BA143" s="82"/>
      <c r="BB143" s="82"/>
      <c r="BC143">
        <v>2</v>
      </c>
      <c r="BD143" s="81" t="str">
        <f>REPLACE(INDEX(GroupVertices[Group],MATCH(Edges[[#This Row],[Vertex 1]],GroupVertices[Vertex],0)),1,1,"")</f>
        <v>1</v>
      </c>
      <c r="BE143" s="81" t="str">
        <f>REPLACE(INDEX(GroupVertices[Group],MATCH(Edges[[#This Row],[Vertex 2]],GroupVertices[Vertex],0)),1,1,"")</f>
        <v>1</v>
      </c>
      <c r="BF143" s="49"/>
      <c r="BG143" s="50"/>
      <c r="BH143" s="49"/>
      <c r="BI143" s="50"/>
      <c r="BJ143" s="49"/>
      <c r="BK143" s="50"/>
      <c r="BL143" s="49"/>
      <c r="BM143" s="50"/>
      <c r="BN143" s="49"/>
    </row>
    <row r="144" spans="1:66" ht="15">
      <c r="A144" s="66" t="s">
        <v>286</v>
      </c>
      <c r="B144" s="66" t="s">
        <v>290</v>
      </c>
      <c r="C144" s="67" t="s">
        <v>1012</v>
      </c>
      <c r="D144" s="68">
        <v>3</v>
      </c>
      <c r="E144" s="69" t="s">
        <v>136</v>
      </c>
      <c r="F144" s="70">
        <v>6</v>
      </c>
      <c r="G144" s="67"/>
      <c r="H144" s="71"/>
      <c r="I144" s="72"/>
      <c r="J144" s="72"/>
      <c r="K144" s="35" t="s">
        <v>65</v>
      </c>
      <c r="L144" s="80">
        <v>144</v>
      </c>
      <c r="M144" s="80"/>
      <c r="N144" s="74"/>
      <c r="O144" s="82" t="s">
        <v>302</v>
      </c>
      <c r="P144" s="84">
        <v>44483.407326388886</v>
      </c>
      <c r="Q144" s="82" t="s">
        <v>341</v>
      </c>
      <c r="R144" s="82"/>
      <c r="S144" s="82"/>
      <c r="T144" s="82"/>
      <c r="U144" s="82"/>
      <c r="V144" s="85" t="str">
        <f>HYPERLINK("https://pbs.twimg.com/profile_images/666663530586898432/zWoR2JV1_normal.jpg")</f>
        <v>https://pbs.twimg.com/profile_images/666663530586898432/zWoR2JV1_normal.jpg</v>
      </c>
      <c r="W144" s="84">
        <v>44483.407326388886</v>
      </c>
      <c r="X144" s="89">
        <v>44483</v>
      </c>
      <c r="Y144" s="86" t="s">
        <v>386</v>
      </c>
      <c r="Z144" s="85" t="str">
        <f>HYPERLINK("https://twitter.com/nglwaug/status/1448586014302347268")</f>
        <v>https://twitter.com/nglwaug/status/1448586014302347268</v>
      </c>
      <c r="AA144" s="82"/>
      <c r="AB144" s="82"/>
      <c r="AC144" s="86" t="s">
        <v>427</v>
      </c>
      <c r="AD144" s="86" t="s">
        <v>431</v>
      </c>
      <c r="AE144" s="82" t="b">
        <v>0</v>
      </c>
      <c r="AF144" s="82">
        <v>5</v>
      </c>
      <c r="AG144" s="86" t="s">
        <v>432</v>
      </c>
      <c r="AH144" s="82" t="b">
        <v>0</v>
      </c>
      <c r="AI144" s="82" t="s">
        <v>439</v>
      </c>
      <c r="AJ144" s="82"/>
      <c r="AK144" s="86" t="s">
        <v>441</v>
      </c>
      <c r="AL144" s="82" t="b">
        <v>0</v>
      </c>
      <c r="AM144" s="82">
        <v>2</v>
      </c>
      <c r="AN144" s="86" t="s">
        <v>441</v>
      </c>
      <c r="AO144" s="86" t="s">
        <v>445</v>
      </c>
      <c r="AP144" s="82" t="b">
        <v>0</v>
      </c>
      <c r="AQ144" s="86" t="s">
        <v>431</v>
      </c>
      <c r="AR144" s="82"/>
      <c r="AS144" s="82">
        <v>0</v>
      </c>
      <c r="AT144" s="82">
        <v>0</v>
      </c>
      <c r="AU144" s="82"/>
      <c r="AV144" s="82"/>
      <c r="AW144" s="82"/>
      <c r="AX144" s="82"/>
      <c r="AY144" s="82"/>
      <c r="AZ144" s="82"/>
      <c r="BA144" s="82"/>
      <c r="BB144" s="82"/>
      <c r="BC144">
        <v>2</v>
      </c>
      <c r="BD144" s="81" t="str">
        <f>REPLACE(INDEX(GroupVertices[Group],MATCH(Edges[[#This Row],[Vertex 1]],GroupVertices[Vertex],0)),1,1,"")</f>
        <v>1</v>
      </c>
      <c r="BE144" s="81" t="str">
        <f>REPLACE(INDEX(GroupVertices[Group],MATCH(Edges[[#This Row],[Vertex 2]],GroupVertices[Vertex],0)),1,1,"")</f>
        <v>1</v>
      </c>
      <c r="BF144" s="49"/>
      <c r="BG144" s="50"/>
      <c r="BH144" s="49"/>
      <c r="BI144" s="50"/>
      <c r="BJ144" s="49"/>
      <c r="BK144" s="50"/>
      <c r="BL144" s="49"/>
      <c r="BM144" s="50"/>
      <c r="BN144" s="49"/>
    </row>
    <row r="145" spans="1:66" ht="15">
      <c r="A145" s="66" t="s">
        <v>286</v>
      </c>
      <c r="B145" s="66" t="s">
        <v>291</v>
      </c>
      <c r="C145" s="67" t="s">
        <v>1012</v>
      </c>
      <c r="D145" s="68">
        <v>3</v>
      </c>
      <c r="E145" s="69" t="s">
        <v>136</v>
      </c>
      <c r="F145" s="70">
        <v>6</v>
      </c>
      <c r="G145" s="67"/>
      <c r="H145" s="71"/>
      <c r="I145" s="72"/>
      <c r="J145" s="72"/>
      <c r="K145" s="35" t="s">
        <v>65</v>
      </c>
      <c r="L145" s="80">
        <v>145</v>
      </c>
      <c r="M145" s="80"/>
      <c r="N145" s="74"/>
      <c r="O145" s="82" t="s">
        <v>302</v>
      </c>
      <c r="P145" s="84">
        <v>44483.407326388886</v>
      </c>
      <c r="Q145" s="82" t="s">
        <v>341</v>
      </c>
      <c r="R145" s="82"/>
      <c r="S145" s="82"/>
      <c r="T145" s="82"/>
      <c r="U145" s="82"/>
      <c r="V145" s="85" t="str">
        <f>HYPERLINK("https://pbs.twimg.com/profile_images/666663530586898432/zWoR2JV1_normal.jpg")</f>
        <v>https://pbs.twimg.com/profile_images/666663530586898432/zWoR2JV1_normal.jpg</v>
      </c>
      <c r="W145" s="84">
        <v>44483.407326388886</v>
      </c>
      <c r="X145" s="89">
        <v>44483</v>
      </c>
      <c r="Y145" s="86" t="s">
        <v>386</v>
      </c>
      <c r="Z145" s="85" t="str">
        <f>HYPERLINK("https://twitter.com/nglwaug/status/1448586014302347268")</f>
        <v>https://twitter.com/nglwaug/status/1448586014302347268</v>
      </c>
      <c r="AA145" s="82"/>
      <c r="AB145" s="82"/>
      <c r="AC145" s="86" t="s">
        <v>427</v>
      </c>
      <c r="AD145" s="86" t="s">
        <v>431</v>
      </c>
      <c r="AE145" s="82" t="b">
        <v>0</v>
      </c>
      <c r="AF145" s="82">
        <v>5</v>
      </c>
      <c r="AG145" s="86" t="s">
        <v>432</v>
      </c>
      <c r="AH145" s="82" t="b">
        <v>0</v>
      </c>
      <c r="AI145" s="82" t="s">
        <v>439</v>
      </c>
      <c r="AJ145" s="82"/>
      <c r="AK145" s="86" t="s">
        <v>441</v>
      </c>
      <c r="AL145" s="82" t="b">
        <v>0</v>
      </c>
      <c r="AM145" s="82">
        <v>2</v>
      </c>
      <c r="AN145" s="86" t="s">
        <v>441</v>
      </c>
      <c r="AO145" s="86" t="s">
        <v>445</v>
      </c>
      <c r="AP145" s="82" t="b">
        <v>0</v>
      </c>
      <c r="AQ145" s="86" t="s">
        <v>431</v>
      </c>
      <c r="AR145" s="82"/>
      <c r="AS145" s="82">
        <v>0</v>
      </c>
      <c r="AT145" s="82">
        <v>0</v>
      </c>
      <c r="AU145" s="82"/>
      <c r="AV145" s="82"/>
      <c r="AW145" s="82"/>
      <c r="AX145" s="82"/>
      <c r="AY145" s="82"/>
      <c r="AZ145" s="82"/>
      <c r="BA145" s="82"/>
      <c r="BB145" s="82"/>
      <c r="BC145">
        <v>2</v>
      </c>
      <c r="BD145" s="81" t="str">
        <f>REPLACE(INDEX(GroupVertices[Group],MATCH(Edges[[#This Row],[Vertex 1]],GroupVertices[Vertex],0)),1,1,"")</f>
        <v>1</v>
      </c>
      <c r="BE145" s="81" t="str">
        <f>REPLACE(INDEX(GroupVertices[Group],MATCH(Edges[[#This Row],[Vertex 2]],GroupVertices[Vertex],0)),1,1,"")</f>
        <v>1</v>
      </c>
      <c r="BF145" s="49"/>
      <c r="BG145" s="50"/>
      <c r="BH145" s="49"/>
      <c r="BI145" s="50"/>
      <c r="BJ145" s="49"/>
      <c r="BK145" s="50"/>
      <c r="BL145" s="49"/>
      <c r="BM145" s="50"/>
      <c r="BN145" s="49"/>
    </row>
    <row r="146" spans="1:66" ht="15">
      <c r="A146" s="66" t="s">
        <v>286</v>
      </c>
      <c r="B146" s="66" t="s">
        <v>289</v>
      </c>
      <c r="C146" s="67" t="s">
        <v>1012</v>
      </c>
      <c r="D146" s="68">
        <v>3</v>
      </c>
      <c r="E146" s="69" t="s">
        <v>136</v>
      </c>
      <c r="F146" s="70">
        <v>6</v>
      </c>
      <c r="G146" s="67"/>
      <c r="H146" s="71"/>
      <c r="I146" s="72"/>
      <c r="J146" s="72"/>
      <c r="K146" s="35" t="s">
        <v>65</v>
      </c>
      <c r="L146" s="80">
        <v>146</v>
      </c>
      <c r="M146" s="80"/>
      <c r="N146" s="74"/>
      <c r="O146" s="82" t="s">
        <v>303</v>
      </c>
      <c r="P146" s="84">
        <v>44483.407326388886</v>
      </c>
      <c r="Q146" s="82" t="s">
        <v>341</v>
      </c>
      <c r="R146" s="82"/>
      <c r="S146" s="82"/>
      <c r="T146" s="82"/>
      <c r="U146" s="82"/>
      <c r="V146" s="85" t="str">
        <f>HYPERLINK("https://pbs.twimg.com/profile_images/666663530586898432/zWoR2JV1_normal.jpg")</f>
        <v>https://pbs.twimg.com/profile_images/666663530586898432/zWoR2JV1_normal.jpg</v>
      </c>
      <c r="W146" s="84">
        <v>44483.407326388886</v>
      </c>
      <c r="X146" s="89">
        <v>44483</v>
      </c>
      <c r="Y146" s="86" t="s">
        <v>386</v>
      </c>
      <c r="Z146" s="85" t="str">
        <f>HYPERLINK("https://twitter.com/nglwaug/status/1448586014302347268")</f>
        <v>https://twitter.com/nglwaug/status/1448586014302347268</v>
      </c>
      <c r="AA146" s="82"/>
      <c r="AB146" s="82"/>
      <c r="AC146" s="86" t="s">
        <v>427</v>
      </c>
      <c r="AD146" s="86" t="s">
        <v>431</v>
      </c>
      <c r="AE146" s="82" t="b">
        <v>0</v>
      </c>
      <c r="AF146" s="82">
        <v>5</v>
      </c>
      <c r="AG146" s="86" t="s">
        <v>432</v>
      </c>
      <c r="AH146" s="82" t="b">
        <v>0</v>
      </c>
      <c r="AI146" s="82" t="s">
        <v>439</v>
      </c>
      <c r="AJ146" s="82"/>
      <c r="AK146" s="86" t="s">
        <v>441</v>
      </c>
      <c r="AL146" s="82" t="b">
        <v>0</v>
      </c>
      <c r="AM146" s="82">
        <v>2</v>
      </c>
      <c r="AN146" s="86" t="s">
        <v>441</v>
      </c>
      <c r="AO146" s="86" t="s">
        <v>445</v>
      </c>
      <c r="AP146" s="82" t="b">
        <v>0</v>
      </c>
      <c r="AQ146" s="86" t="s">
        <v>431</v>
      </c>
      <c r="AR146" s="82"/>
      <c r="AS146" s="82">
        <v>0</v>
      </c>
      <c r="AT146" s="82">
        <v>0</v>
      </c>
      <c r="AU146" s="82"/>
      <c r="AV146" s="82"/>
      <c r="AW146" s="82"/>
      <c r="AX146" s="82"/>
      <c r="AY146" s="82"/>
      <c r="AZ146" s="82"/>
      <c r="BA146" s="82"/>
      <c r="BB146" s="82"/>
      <c r="BC146">
        <v>2</v>
      </c>
      <c r="BD146" s="81" t="str">
        <f>REPLACE(INDEX(GroupVertices[Group],MATCH(Edges[[#This Row],[Vertex 1]],GroupVertices[Vertex],0)),1,1,"")</f>
        <v>1</v>
      </c>
      <c r="BE146" s="81" t="str">
        <f>REPLACE(INDEX(GroupVertices[Group],MATCH(Edges[[#This Row],[Vertex 2]],GroupVertices[Vertex],0)),1,1,"")</f>
        <v>1</v>
      </c>
      <c r="BF146" s="49"/>
      <c r="BG146" s="50"/>
      <c r="BH146" s="49"/>
      <c r="BI146" s="50"/>
      <c r="BJ146" s="49"/>
      <c r="BK146" s="50"/>
      <c r="BL146" s="49"/>
      <c r="BM146" s="50"/>
      <c r="BN146" s="49"/>
    </row>
    <row r="147" spans="1:66" ht="15">
      <c r="A147" s="66" t="s">
        <v>287</v>
      </c>
      <c r="B147" s="66" t="s">
        <v>290</v>
      </c>
      <c r="C147" s="67" t="s">
        <v>1011</v>
      </c>
      <c r="D147" s="68">
        <v>3</v>
      </c>
      <c r="E147" s="69" t="s">
        <v>132</v>
      </c>
      <c r="F147" s="70">
        <v>32</v>
      </c>
      <c r="G147" s="67"/>
      <c r="H147" s="71"/>
      <c r="I147" s="72"/>
      <c r="J147" s="72"/>
      <c r="K147" s="35" t="s">
        <v>65</v>
      </c>
      <c r="L147" s="80">
        <v>147</v>
      </c>
      <c r="M147" s="80"/>
      <c r="N147" s="74"/>
      <c r="O147" s="82" t="s">
        <v>302</v>
      </c>
      <c r="P147" s="84">
        <v>44483.45684027778</v>
      </c>
      <c r="Q147" s="82" t="s">
        <v>342</v>
      </c>
      <c r="R147" s="82"/>
      <c r="S147" s="82"/>
      <c r="T147" s="82"/>
      <c r="U147" s="82"/>
      <c r="V147" s="85" t="str">
        <f>HYPERLINK("https://pbs.twimg.com/profile_images/1351227544360673286/KU3JBomo_normal.jpg")</f>
        <v>https://pbs.twimg.com/profile_images/1351227544360673286/KU3JBomo_normal.jpg</v>
      </c>
      <c r="W147" s="84">
        <v>44483.45684027778</v>
      </c>
      <c r="X147" s="89">
        <v>44483</v>
      </c>
      <c r="Y147" s="86" t="s">
        <v>387</v>
      </c>
      <c r="Z147" s="85" t="str">
        <f>HYPERLINK("https://twitter.com/raffertycarol/status/1448603955089584130")</f>
        <v>https://twitter.com/raffertycarol/status/1448603955089584130</v>
      </c>
      <c r="AA147" s="82"/>
      <c r="AB147" s="82"/>
      <c r="AC147" s="86" t="s">
        <v>428</v>
      </c>
      <c r="AD147" s="86" t="s">
        <v>431</v>
      </c>
      <c r="AE147" s="82" t="b">
        <v>0</v>
      </c>
      <c r="AF147" s="82">
        <v>2</v>
      </c>
      <c r="AG147" s="86" t="s">
        <v>432</v>
      </c>
      <c r="AH147" s="82" t="b">
        <v>0</v>
      </c>
      <c r="AI147" s="82" t="s">
        <v>439</v>
      </c>
      <c r="AJ147" s="82"/>
      <c r="AK147" s="86" t="s">
        <v>441</v>
      </c>
      <c r="AL147" s="82" t="b">
        <v>0</v>
      </c>
      <c r="AM147" s="82">
        <v>1</v>
      </c>
      <c r="AN147" s="86" t="s">
        <v>441</v>
      </c>
      <c r="AO147" s="86" t="s">
        <v>445</v>
      </c>
      <c r="AP147" s="82" t="b">
        <v>0</v>
      </c>
      <c r="AQ147" s="86" t="s">
        <v>431</v>
      </c>
      <c r="AR147" s="82"/>
      <c r="AS147" s="82">
        <v>0</v>
      </c>
      <c r="AT147" s="82">
        <v>0</v>
      </c>
      <c r="AU147" s="82"/>
      <c r="AV147" s="82"/>
      <c r="AW147" s="82"/>
      <c r="AX147" s="82"/>
      <c r="AY147" s="82"/>
      <c r="AZ147" s="82"/>
      <c r="BA147" s="82"/>
      <c r="BB147" s="82"/>
      <c r="BC147">
        <v>1</v>
      </c>
      <c r="BD147" s="81" t="str">
        <f>REPLACE(INDEX(GroupVertices[Group],MATCH(Edges[[#This Row],[Vertex 1]],GroupVertices[Vertex],0)),1,1,"")</f>
        <v>2</v>
      </c>
      <c r="BE147" s="81" t="str">
        <f>REPLACE(INDEX(GroupVertices[Group],MATCH(Edges[[#This Row],[Vertex 2]],GroupVertices[Vertex],0)),1,1,"")</f>
        <v>1</v>
      </c>
      <c r="BF147" s="49"/>
      <c r="BG147" s="50"/>
      <c r="BH147" s="49"/>
      <c r="BI147" s="50"/>
      <c r="BJ147" s="49"/>
      <c r="BK147" s="50"/>
      <c r="BL147" s="49"/>
      <c r="BM147" s="50"/>
      <c r="BN147" s="49"/>
    </row>
    <row r="148" spans="1:66" ht="15">
      <c r="A148" s="66" t="s">
        <v>287</v>
      </c>
      <c r="B148" s="66" t="s">
        <v>291</v>
      </c>
      <c r="C148" s="67" t="s">
        <v>1011</v>
      </c>
      <c r="D148" s="68">
        <v>3</v>
      </c>
      <c r="E148" s="69" t="s">
        <v>132</v>
      </c>
      <c r="F148" s="70">
        <v>32</v>
      </c>
      <c r="G148" s="67"/>
      <c r="H148" s="71"/>
      <c r="I148" s="72"/>
      <c r="J148" s="72"/>
      <c r="K148" s="35" t="s">
        <v>65</v>
      </c>
      <c r="L148" s="80">
        <v>148</v>
      </c>
      <c r="M148" s="80"/>
      <c r="N148" s="74"/>
      <c r="O148" s="82" t="s">
        <v>302</v>
      </c>
      <c r="P148" s="84">
        <v>44483.45684027778</v>
      </c>
      <c r="Q148" s="82" t="s">
        <v>342</v>
      </c>
      <c r="R148" s="82"/>
      <c r="S148" s="82"/>
      <c r="T148" s="82"/>
      <c r="U148" s="82"/>
      <c r="V148" s="85" t="str">
        <f>HYPERLINK("https://pbs.twimg.com/profile_images/1351227544360673286/KU3JBomo_normal.jpg")</f>
        <v>https://pbs.twimg.com/profile_images/1351227544360673286/KU3JBomo_normal.jpg</v>
      </c>
      <c r="W148" s="84">
        <v>44483.45684027778</v>
      </c>
      <c r="X148" s="89">
        <v>44483</v>
      </c>
      <c r="Y148" s="86" t="s">
        <v>387</v>
      </c>
      <c r="Z148" s="85" t="str">
        <f>HYPERLINK("https://twitter.com/raffertycarol/status/1448603955089584130")</f>
        <v>https://twitter.com/raffertycarol/status/1448603955089584130</v>
      </c>
      <c r="AA148" s="82"/>
      <c r="AB148" s="82"/>
      <c r="AC148" s="86" t="s">
        <v>428</v>
      </c>
      <c r="AD148" s="86" t="s">
        <v>431</v>
      </c>
      <c r="AE148" s="82" t="b">
        <v>0</v>
      </c>
      <c r="AF148" s="82">
        <v>2</v>
      </c>
      <c r="AG148" s="86" t="s">
        <v>432</v>
      </c>
      <c r="AH148" s="82" t="b">
        <v>0</v>
      </c>
      <c r="AI148" s="82" t="s">
        <v>439</v>
      </c>
      <c r="AJ148" s="82"/>
      <c r="AK148" s="86" t="s">
        <v>441</v>
      </c>
      <c r="AL148" s="82" t="b">
        <v>0</v>
      </c>
      <c r="AM148" s="82">
        <v>1</v>
      </c>
      <c r="AN148" s="86" t="s">
        <v>441</v>
      </c>
      <c r="AO148" s="86" t="s">
        <v>445</v>
      </c>
      <c r="AP148" s="82" t="b">
        <v>0</v>
      </c>
      <c r="AQ148" s="86" t="s">
        <v>431</v>
      </c>
      <c r="AR148" s="82"/>
      <c r="AS148" s="82">
        <v>0</v>
      </c>
      <c r="AT148" s="82">
        <v>0</v>
      </c>
      <c r="AU148" s="82"/>
      <c r="AV148" s="82"/>
      <c r="AW148" s="82"/>
      <c r="AX148" s="82"/>
      <c r="AY148" s="82"/>
      <c r="AZ148" s="82"/>
      <c r="BA148" s="82"/>
      <c r="BB148" s="82"/>
      <c r="BC148">
        <v>1</v>
      </c>
      <c r="BD148" s="81" t="str">
        <f>REPLACE(INDEX(GroupVertices[Group],MATCH(Edges[[#This Row],[Vertex 1]],GroupVertices[Vertex],0)),1,1,"")</f>
        <v>2</v>
      </c>
      <c r="BE148" s="81" t="str">
        <f>REPLACE(INDEX(GroupVertices[Group],MATCH(Edges[[#This Row],[Vertex 2]],GroupVertices[Vertex],0)),1,1,"")</f>
        <v>1</v>
      </c>
      <c r="BF148" s="49"/>
      <c r="BG148" s="50"/>
      <c r="BH148" s="49"/>
      <c r="BI148" s="50"/>
      <c r="BJ148" s="49"/>
      <c r="BK148" s="50"/>
      <c r="BL148" s="49"/>
      <c r="BM148" s="50"/>
      <c r="BN148" s="49"/>
    </row>
    <row r="149" spans="1:66" ht="15">
      <c r="A149" s="66" t="s">
        <v>287</v>
      </c>
      <c r="B149" s="66" t="s">
        <v>292</v>
      </c>
      <c r="C149" s="67" t="s">
        <v>1011</v>
      </c>
      <c r="D149" s="68">
        <v>3</v>
      </c>
      <c r="E149" s="69" t="s">
        <v>132</v>
      </c>
      <c r="F149" s="70">
        <v>32</v>
      </c>
      <c r="G149" s="67"/>
      <c r="H149" s="71"/>
      <c r="I149" s="72"/>
      <c r="J149" s="72"/>
      <c r="K149" s="35" t="s">
        <v>65</v>
      </c>
      <c r="L149" s="80">
        <v>149</v>
      </c>
      <c r="M149" s="80"/>
      <c r="N149" s="74"/>
      <c r="O149" s="82" t="s">
        <v>302</v>
      </c>
      <c r="P149" s="84">
        <v>44483.45684027778</v>
      </c>
      <c r="Q149" s="82" t="s">
        <v>342</v>
      </c>
      <c r="R149" s="82"/>
      <c r="S149" s="82"/>
      <c r="T149" s="82"/>
      <c r="U149" s="82"/>
      <c r="V149" s="85" t="str">
        <f>HYPERLINK("https://pbs.twimg.com/profile_images/1351227544360673286/KU3JBomo_normal.jpg")</f>
        <v>https://pbs.twimg.com/profile_images/1351227544360673286/KU3JBomo_normal.jpg</v>
      </c>
      <c r="W149" s="84">
        <v>44483.45684027778</v>
      </c>
      <c r="X149" s="89">
        <v>44483</v>
      </c>
      <c r="Y149" s="86" t="s">
        <v>387</v>
      </c>
      <c r="Z149" s="85" t="str">
        <f>HYPERLINK("https://twitter.com/raffertycarol/status/1448603955089584130")</f>
        <v>https://twitter.com/raffertycarol/status/1448603955089584130</v>
      </c>
      <c r="AA149" s="82"/>
      <c r="AB149" s="82"/>
      <c r="AC149" s="86" t="s">
        <v>428</v>
      </c>
      <c r="AD149" s="86" t="s">
        <v>431</v>
      </c>
      <c r="AE149" s="82" t="b">
        <v>0</v>
      </c>
      <c r="AF149" s="82">
        <v>2</v>
      </c>
      <c r="AG149" s="86" t="s">
        <v>432</v>
      </c>
      <c r="AH149" s="82" t="b">
        <v>0</v>
      </c>
      <c r="AI149" s="82" t="s">
        <v>439</v>
      </c>
      <c r="AJ149" s="82"/>
      <c r="AK149" s="86" t="s">
        <v>441</v>
      </c>
      <c r="AL149" s="82" t="b">
        <v>0</v>
      </c>
      <c r="AM149" s="82">
        <v>1</v>
      </c>
      <c r="AN149" s="86" t="s">
        <v>441</v>
      </c>
      <c r="AO149" s="86" t="s">
        <v>445</v>
      </c>
      <c r="AP149" s="82" t="b">
        <v>0</v>
      </c>
      <c r="AQ149" s="86" t="s">
        <v>431</v>
      </c>
      <c r="AR149" s="82"/>
      <c r="AS149" s="82">
        <v>0</v>
      </c>
      <c r="AT149" s="82">
        <v>0</v>
      </c>
      <c r="AU149" s="82"/>
      <c r="AV149" s="82"/>
      <c r="AW149" s="82"/>
      <c r="AX149" s="82"/>
      <c r="AY149" s="82"/>
      <c r="AZ149" s="82"/>
      <c r="BA149" s="82"/>
      <c r="BB149" s="82"/>
      <c r="BC149">
        <v>1</v>
      </c>
      <c r="BD149" s="81" t="str">
        <f>REPLACE(INDEX(GroupVertices[Group],MATCH(Edges[[#This Row],[Vertex 1]],GroupVertices[Vertex],0)),1,1,"")</f>
        <v>2</v>
      </c>
      <c r="BE149" s="81" t="str">
        <f>REPLACE(INDEX(GroupVertices[Group],MATCH(Edges[[#This Row],[Vertex 2]],GroupVertices[Vertex],0)),1,1,"")</f>
        <v>2</v>
      </c>
      <c r="BF149" s="49"/>
      <c r="BG149" s="50"/>
      <c r="BH149" s="49"/>
      <c r="BI149" s="50"/>
      <c r="BJ149" s="49"/>
      <c r="BK149" s="50"/>
      <c r="BL149" s="49"/>
      <c r="BM149" s="50"/>
      <c r="BN149" s="49"/>
    </row>
    <row r="150" spans="1:66" ht="15">
      <c r="A150" s="66" t="s">
        <v>287</v>
      </c>
      <c r="B150" s="66" t="s">
        <v>289</v>
      </c>
      <c r="C150" s="67" t="s">
        <v>1011</v>
      </c>
      <c r="D150" s="68">
        <v>3</v>
      </c>
      <c r="E150" s="69" t="s">
        <v>132</v>
      </c>
      <c r="F150" s="70">
        <v>32</v>
      </c>
      <c r="G150" s="67"/>
      <c r="H150" s="71"/>
      <c r="I150" s="72"/>
      <c r="J150" s="72"/>
      <c r="K150" s="35" t="s">
        <v>65</v>
      </c>
      <c r="L150" s="80">
        <v>150</v>
      </c>
      <c r="M150" s="80"/>
      <c r="N150" s="74"/>
      <c r="O150" s="82" t="s">
        <v>303</v>
      </c>
      <c r="P150" s="84">
        <v>44483.45684027778</v>
      </c>
      <c r="Q150" s="82" t="s">
        <v>342</v>
      </c>
      <c r="R150" s="82"/>
      <c r="S150" s="82"/>
      <c r="T150" s="82"/>
      <c r="U150" s="82"/>
      <c r="V150" s="85" t="str">
        <f>HYPERLINK("https://pbs.twimg.com/profile_images/1351227544360673286/KU3JBomo_normal.jpg")</f>
        <v>https://pbs.twimg.com/profile_images/1351227544360673286/KU3JBomo_normal.jpg</v>
      </c>
      <c r="W150" s="84">
        <v>44483.45684027778</v>
      </c>
      <c r="X150" s="89">
        <v>44483</v>
      </c>
      <c r="Y150" s="86" t="s">
        <v>387</v>
      </c>
      <c r="Z150" s="85" t="str">
        <f>HYPERLINK("https://twitter.com/raffertycarol/status/1448603955089584130")</f>
        <v>https://twitter.com/raffertycarol/status/1448603955089584130</v>
      </c>
      <c r="AA150" s="82"/>
      <c r="AB150" s="82"/>
      <c r="AC150" s="86" t="s">
        <v>428</v>
      </c>
      <c r="AD150" s="86" t="s">
        <v>431</v>
      </c>
      <c r="AE150" s="82" t="b">
        <v>0</v>
      </c>
      <c r="AF150" s="82">
        <v>2</v>
      </c>
      <c r="AG150" s="86" t="s">
        <v>432</v>
      </c>
      <c r="AH150" s="82" t="b">
        <v>0</v>
      </c>
      <c r="AI150" s="82" t="s">
        <v>439</v>
      </c>
      <c r="AJ150" s="82"/>
      <c r="AK150" s="86" t="s">
        <v>441</v>
      </c>
      <c r="AL150" s="82" t="b">
        <v>0</v>
      </c>
      <c r="AM150" s="82">
        <v>1</v>
      </c>
      <c r="AN150" s="86" t="s">
        <v>441</v>
      </c>
      <c r="AO150" s="86" t="s">
        <v>445</v>
      </c>
      <c r="AP150" s="82" t="b">
        <v>0</v>
      </c>
      <c r="AQ150" s="86" t="s">
        <v>431</v>
      </c>
      <c r="AR150" s="82"/>
      <c r="AS150" s="82">
        <v>0</v>
      </c>
      <c r="AT150" s="82">
        <v>0</v>
      </c>
      <c r="AU150" s="82"/>
      <c r="AV150" s="82"/>
      <c r="AW150" s="82"/>
      <c r="AX150" s="82"/>
      <c r="AY150" s="82"/>
      <c r="AZ150" s="82"/>
      <c r="BA150" s="82"/>
      <c r="BB150" s="82"/>
      <c r="BC150">
        <v>1</v>
      </c>
      <c r="BD150" s="81" t="str">
        <f>REPLACE(INDEX(GroupVertices[Group],MATCH(Edges[[#This Row],[Vertex 1]],GroupVertices[Vertex],0)),1,1,"")</f>
        <v>2</v>
      </c>
      <c r="BE150" s="81" t="str">
        <f>REPLACE(INDEX(GroupVertices[Group],MATCH(Edges[[#This Row],[Vertex 2]],GroupVertices[Vertex],0)),1,1,"")</f>
        <v>1</v>
      </c>
      <c r="BF150" s="49">
        <v>1</v>
      </c>
      <c r="BG150" s="50">
        <v>9.090909090909092</v>
      </c>
      <c r="BH150" s="49">
        <v>0</v>
      </c>
      <c r="BI150" s="50">
        <v>0</v>
      </c>
      <c r="BJ150" s="49">
        <v>0</v>
      </c>
      <c r="BK150" s="50">
        <v>0</v>
      </c>
      <c r="BL150" s="49">
        <v>10</v>
      </c>
      <c r="BM150" s="50">
        <v>90.9090909090909</v>
      </c>
      <c r="BN150" s="49">
        <v>11</v>
      </c>
    </row>
    <row r="151" spans="1:66" ht="15">
      <c r="A151" s="66" t="s">
        <v>288</v>
      </c>
      <c r="B151" s="66" t="s">
        <v>290</v>
      </c>
      <c r="C151" s="67" t="s">
        <v>1011</v>
      </c>
      <c r="D151" s="68">
        <v>3</v>
      </c>
      <c r="E151" s="69" t="s">
        <v>132</v>
      </c>
      <c r="F151" s="70">
        <v>32</v>
      </c>
      <c r="G151" s="67"/>
      <c r="H151" s="71"/>
      <c r="I151" s="72"/>
      <c r="J151" s="72"/>
      <c r="K151" s="35" t="s">
        <v>65</v>
      </c>
      <c r="L151" s="80">
        <v>151</v>
      </c>
      <c r="M151" s="80"/>
      <c r="N151" s="74"/>
      <c r="O151" s="82" t="s">
        <v>302</v>
      </c>
      <c r="P151" s="84">
        <v>44483.37359953704</v>
      </c>
      <c r="Q151" s="82" t="s">
        <v>343</v>
      </c>
      <c r="R151" s="82"/>
      <c r="S151" s="82"/>
      <c r="T151" s="82"/>
      <c r="U151" s="82"/>
      <c r="V151" s="85" t="str">
        <f>HYPERLINK("https://pbs.twimg.com/profile_images/1447919318407258112/IxTQDoGp_normal.jpg")</f>
        <v>https://pbs.twimg.com/profile_images/1447919318407258112/IxTQDoGp_normal.jpg</v>
      </c>
      <c r="W151" s="84">
        <v>44483.37359953704</v>
      </c>
      <c r="X151" s="89">
        <v>44483</v>
      </c>
      <c r="Y151" s="86" t="s">
        <v>388</v>
      </c>
      <c r="Z151" s="85" t="str">
        <f>HYPERLINK("https://twitter.com/paulbayliss9/status/1448573789709668354")</f>
        <v>https://twitter.com/paulbayliss9/status/1448573789709668354</v>
      </c>
      <c r="AA151" s="82"/>
      <c r="AB151" s="82"/>
      <c r="AC151" s="86" t="s">
        <v>429</v>
      </c>
      <c r="AD151" s="86" t="s">
        <v>431</v>
      </c>
      <c r="AE151" s="82" t="b">
        <v>0</v>
      </c>
      <c r="AF151" s="82">
        <v>7</v>
      </c>
      <c r="AG151" s="86" t="s">
        <v>432</v>
      </c>
      <c r="AH151" s="82" t="b">
        <v>0</v>
      </c>
      <c r="AI151" s="82" t="s">
        <v>439</v>
      </c>
      <c r="AJ151" s="82"/>
      <c r="AK151" s="86" t="s">
        <v>441</v>
      </c>
      <c r="AL151" s="82" t="b">
        <v>0</v>
      </c>
      <c r="AM151" s="82">
        <v>0</v>
      </c>
      <c r="AN151" s="86" t="s">
        <v>441</v>
      </c>
      <c r="AO151" s="86" t="s">
        <v>446</v>
      </c>
      <c r="AP151" s="82" t="b">
        <v>0</v>
      </c>
      <c r="AQ151" s="86" t="s">
        <v>431</v>
      </c>
      <c r="AR151" s="82"/>
      <c r="AS151" s="82">
        <v>0</v>
      </c>
      <c r="AT151" s="82">
        <v>0</v>
      </c>
      <c r="AU151" s="82" t="s">
        <v>449</v>
      </c>
      <c r="AV151" s="82" t="s">
        <v>451</v>
      </c>
      <c r="AW151" s="82" t="s">
        <v>452</v>
      </c>
      <c r="AX151" s="82" t="s">
        <v>454</v>
      </c>
      <c r="AY151" s="82" t="s">
        <v>457</v>
      </c>
      <c r="AZ151" s="82" t="s">
        <v>460</v>
      </c>
      <c r="BA151" s="82" t="s">
        <v>462</v>
      </c>
      <c r="BB151" s="85" t="str">
        <f>HYPERLINK("https://api.twitter.com/1.1/geo/id/3f81e4ab7f76195f.json")</f>
        <v>https://api.twitter.com/1.1/geo/id/3f81e4ab7f76195f.json</v>
      </c>
      <c r="BC151">
        <v>1</v>
      </c>
      <c r="BD151" s="81" t="str">
        <f>REPLACE(INDEX(GroupVertices[Group],MATCH(Edges[[#This Row],[Vertex 1]],GroupVertices[Vertex],0)),1,1,"")</f>
        <v>1</v>
      </c>
      <c r="BE151" s="81" t="str">
        <f>REPLACE(INDEX(GroupVertices[Group],MATCH(Edges[[#This Row],[Vertex 2]],GroupVertices[Vertex],0)),1,1,"")</f>
        <v>1</v>
      </c>
      <c r="BF151" s="49"/>
      <c r="BG151" s="50"/>
      <c r="BH151" s="49"/>
      <c r="BI151" s="50"/>
      <c r="BJ151" s="49"/>
      <c r="BK151" s="50"/>
      <c r="BL151" s="49"/>
      <c r="BM151" s="50"/>
      <c r="BN151" s="49"/>
    </row>
    <row r="152" spans="1:66" ht="15">
      <c r="A152" s="66" t="s">
        <v>288</v>
      </c>
      <c r="B152" s="66" t="s">
        <v>291</v>
      </c>
      <c r="C152" s="67" t="s">
        <v>1011</v>
      </c>
      <c r="D152" s="68">
        <v>3</v>
      </c>
      <c r="E152" s="69" t="s">
        <v>132</v>
      </c>
      <c r="F152" s="70">
        <v>32</v>
      </c>
      <c r="G152" s="67"/>
      <c r="H152" s="71"/>
      <c r="I152" s="72"/>
      <c r="J152" s="72"/>
      <c r="K152" s="35" t="s">
        <v>65</v>
      </c>
      <c r="L152" s="80">
        <v>152</v>
      </c>
      <c r="M152" s="80"/>
      <c r="N152" s="74"/>
      <c r="O152" s="82" t="s">
        <v>302</v>
      </c>
      <c r="P152" s="84">
        <v>44483.37359953704</v>
      </c>
      <c r="Q152" s="82" t="s">
        <v>343</v>
      </c>
      <c r="R152" s="82"/>
      <c r="S152" s="82"/>
      <c r="T152" s="82"/>
      <c r="U152" s="82"/>
      <c r="V152" s="85" t="str">
        <f>HYPERLINK("https://pbs.twimg.com/profile_images/1447919318407258112/IxTQDoGp_normal.jpg")</f>
        <v>https://pbs.twimg.com/profile_images/1447919318407258112/IxTQDoGp_normal.jpg</v>
      </c>
      <c r="W152" s="84">
        <v>44483.37359953704</v>
      </c>
      <c r="X152" s="89">
        <v>44483</v>
      </c>
      <c r="Y152" s="86" t="s">
        <v>388</v>
      </c>
      <c r="Z152" s="85" t="str">
        <f>HYPERLINK("https://twitter.com/paulbayliss9/status/1448573789709668354")</f>
        <v>https://twitter.com/paulbayliss9/status/1448573789709668354</v>
      </c>
      <c r="AA152" s="82"/>
      <c r="AB152" s="82"/>
      <c r="AC152" s="86" t="s">
        <v>429</v>
      </c>
      <c r="AD152" s="86" t="s">
        <v>431</v>
      </c>
      <c r="AE152" s="82" t="b">
        <v>0</v>
      </c>
      <c r="AF152" s="82">
        <v>7</v>
      </c>
      <c r="AG152" s="86" t="s">
        <v>432</v>
      </c>
      <c r="AH152" s="82" t="b">
        <v>0</v>
      </c>
      <c r="AI152" s="82" t="s">
        <v>439</v>
      </c>
      <c r="AJ152" s="82"/>
      <c r="AK152" s="86" t="s">
        <v>441</v>
      </c>
      <c r="AL152" s="82" t="b">
        <v>0</v>
      </c>
      <c r="AM152" s="82">
        <v>0</v>
      </c>
      <c r="AN152" s="86" t="s">
        <v>441</v>
      </c>
      <c r="AO152" s="86" t="s">
        <v>446</v>
      </c>
      <c r="AP152" s="82" t="b">
        <v>0</v>
      </c>
      <c r="AQ152" s="86" t="s">
        <v>431</v>
      </c>
      <c r="AR152" s="82"/>
      <c r="AS152" s="82">
        <v>0</v>
      </c>
      <c r="AT152" s="82">
        <v>0</v>
      </c>
      <c r="AU152" s="82" t="s">
        <v>449</v>
      </c>
      <c r="AV152" s="82" t="s">
        <v>451</v>
      </c>
      <c r="AW152" s="82" t="s">
        <v>452</v>
      </c>
      <c r="AX152" s="82" t="s">
        <v>454</v>
      </c>
      <c r="AY152" s="82" t="s">
        <v>457</v>
      </c>
      <c r="AZ152" s="82" t="s">
        <v>460</v>
      </c>
      <c r="BA152" s="82" t="s">
        <v>462</v>
      </c>
      <c r="BB152" s="85" t="str">
        <f>HYPERLINK("https://api.twitter.com/1.1/geo/id/3f81e4ab7f76195f.json")</f>
        <v>https://api.twitter.com/1.1/geo/id/3f81e4ab7f76195f.json</v>
      </c>
      <c r="BC152">
        <v>1</v>
      </c>
      <c r="BD152" s="81" t="str">
        <f>REPLACE(INDEX(GroupVertices[Group],MATCH(Edges[[#This Row],[Vertex 1]],GroupVertices[Vertex],0)),1,1,"")</f>
        <v>1</v>
      </c>
      <c r="BE152" s="81" t="str">
        <f>REPLACE(INDEX(GroupVertices[Group],MATCH(Edges[[#This Row],[Vertex 2]],GroupVertices[Vertex],0)),1,1,"")</f>
        <v>1</v>
      </c>
      <c r="BF152" s="49"/>
      <c r="BG152" s="50"/>
      <c r="BH152" s="49"/>
      <c r="BI152" s="50"/>
      <c r="BJ152" s="49"/>
      <c r="BK152" s="50"/>
      <c r="BL152" s="49"/>
      <c r="BM152" s="50"/>
      <c r="BN152" s="49"/>
    </row>
    <row r="153" spans="1:66" ht="15">
      <c r="A153" s="66" t="s">
        <v>288</v>
      </c>
      <c r="B153" s="66" t="s">
        <v>292</v>
      </c>
      <c r="C153" s="67" t="s">
        <v>1011</v>
      </c>
      <c r="D153" s="68">
        <v>3</v>
      </c>
      <c r="E153" s="69" t="s">
        <v>132</v>
      </c>
      <c r="F153" s="70">
        <v>32</v>
      </c>
      <c r="G153" s="67"/>
      <c r="H153" s="71"/>
      <c r="I153" s="72"/>
      <c r="J153" s="72"/>
      <c r="K153" s="35" t="s">
        <v>65</v>
      </c>
      <c r="L153" s="80">
        <v>153</v>
      </c>
      <c r="M153" s="80"/>
      <c r="N153" s="74"/>
      <c r="O153" s="82" t="s">
        <v>302</v>
      </c>
      <c r="P153" s="84">
        <v>44483.37359953704</v>
      </c>
      <c r="Q153" s="82" t="s">
        <v>343</v>
      </c>
      <c r="R153" s="82"/>
      <c r="S153" s="82"/>
      <c r="T153" s="82"/>
      <c r="U153" s="82"/>
      <c r="V153" s="85" t="str">
        <f>HYPERLINK("https://pbs.twimg.com/profile_images/1447919318407258112/IxTQDoGp_normal.jpg")</f>
        <v>https://pbs.twimg.com/profile_images/1447919318407258112/IxTQDoGp_normal.jpg</v>
      </c>
      <c r="W153" s="84">
        <v>44483.37359953704</v>
      </c>
      <c r="X153" s="89">
        <v>44483</v>
      </c>
      <c r="Y153" s="86" t="s">
        <v>388</v>
      </c>
      <c r="Z153" s="85" t="str">
        <f>HYPERLINK("https://twitter.com/paulbayliss9/status/1448573789709668354")</f>
        <v>https://twitter.com/paulbayliss9/status/1448573789709668354</v>
      </c>
      <c r="AA153" s="82"/>
      <c r="AB153" s="82"/>
      <c r="AC153" s="86" t="s">
        <v>429</v>
      </c>
      <c r="AD153" s="86" t="s">
        <v>431</v>
      </c>
      <c r="AE153" s="82" t="b">
        <v>0</v>
      </c>
      <c r="AF153" s="82">
        <v>7</v>
      </c>
      <c r="AG153" s="86" t="s">
        <v>432</v>
      </c>
      <c r="AH153" s="82" t="b">
        <v>0</v>
      </c>
      <c r="AI153" s="82" t="s">
        <v>439</v>
      </c>
      <c r="AJ153" s="82"/>
      <c r="AK153" s="86" t="s">
        <v>441</v>
      </c>
      <c r="AL153" s="82" t="b">
        <v>0</v>
      </c>
      <c r="AM153" s="82">
        <v>0</v>
      </c>
      <c r="AN153" s="86" t="s">
        <v>441</v>
      </c>
      <c r="AO153" s="86" t="s">
        <v>446</v>
      </c>
      <c r="AP153" s="82" t="b">
        <v>0</v>
      </c>
      <c r="AQ153" s="86" t="s">
        <v>431</v>
      </c>
      <c r="AR153" s="82"/>
      <c r="AS153" s="82">
        <v>0</v>
      </c>
      <c r="AT153" s="82">
        <v>0</v>
      </c>
      <c r="AU153" s="82" t="s">
        <v>449</v>
      </c>
      <c r="AV153" s="82" t="s">
        <v>451</v>
      </c>
      <c r="AW153" s="82" t="s">
        <v>452</v>
      </c>
      <c r="AX153" s="82" t="s">
        <v>454</v>
      </c>
      <c r="AY153" s="82" t="s">
        <v>457</v>
      </c>
      <c r="AZ153" s="82" t="s">
        <v>460</v>
      </c>
      <c r="BA153" s="82" t="s">
        <v>462</v>
      </c>
      <c r="BB153" s="85" t="str">
        <f>HYPERLINK("https://api.twitter.com/1.1/geo/id/3f81e4ab7f76195f.json")</f>
        <v>https://api.twitter.com/1.1/geo/id/3f81e4ab7f76195f.json</v>
      </c>
      <c r="BC153">
        <v>1</v>
      </c>
      <c r="BD153" s="81" t="str">
        <f>REPLACE(INDEX(GroupVertices[Group],MATCH(Edges[[#This Row],[Vertex 1]],GroupVertices[Vertex],0)),1,1,"")</f>
        <v>1</v>
      </c>
      <c r="BE153" s="81" t="str">
        <f>REPLACE(INDEX(GroupVertices[Group],MATCH(Edges[[#This Row],[Vertex 2]],GroupVertices[Vertex],0)),1,1,"")</f>
        <v>2</v>
      </c>
      <c r="BF153" s="49"/>
      <c r="BG153" s="50"/>
      <c r="BH153" s="49"/>
      <c r="BI153" s="50"/>
      <c r="BJ153" s="49"/>
      <c r="BK153" s="50"/>
      <c r="BL153" s="49"/>
      <c r="BM153" s="50"/>
      <c r="BN153" s="49"/>
    </row>
    <row r="154" spans="1:66" ht="15">
      <c r="A154" s="66" t="s">
        <v>289</v>
      </c>
      <c r="B154" s="66" t="s">
        <v>289</v>
      </c>
      <c r="C154" s="67" t="s">
        <v>1011</v>
      </c>
      <c r="D154" s="68">
        <v>3</v>
      </c>
      <c r="E154" s="69" t="s">
        <v>132</v>
      </c>
      <c r="F154" s="70">
        <v>32</v>
      </c>
      <c r="G154" s="67"/>
      <c r="H154" s="71"/>
      <c r="I154" s="72"/>
      <c r="J154" s="72"/>
      <c r="K154" s="35" t="s">
        <v>65</v>
      </c>
      <c r="L154" s="80">
        <v>154</v>
      </c>
      <c r="M154" s="80"/>
      <c r="N154" s="74"/>
      <c r="O154" s="82" t="s">
        <v>213</v>
      </c>
      <c r="P154" s="84">
        <v>44483.34438657408</v>
      </c>
      <c r="Q154" s="82" t="s">
        <v>344</v>
      </c>
      <c r="R154" s="82"/>
      <c r="S154" s="82"/>
      <c r="T154" s="82"/>
      <c r="U154" s="82"/>
      <c r="V154" s="85" t="str">
        <f>HYPERLINK("https://pbs.twimg.com/profile_images/845241188273836032/tajm0Voa_normal.jpg")</f>
        <v>https://pbs.twimg.com/profile_images/845241188273836032/tajm0Voa_normal.jpg</v>
      </c>
      <c r="W154" s="84">
        <v>44483.34438657408</v>
      </c>
      <c r="X154" s="89">
        <v>44483</v>
      </c>
      <c r="Y154" s="86" t="s">
        <v>389</v>
      </c>
      <c r="Z154" s="85" t="str">
        <f>HYPERLINK("https://twitter.com/euanstrachanorr/status/1448563204653735937")</f>
        <v>https://twitter.com/euanstrachanorr/status/1448563204653735937</v>
      </c>
      <c r="AA154" s="82"/>
      <c r="AB154" s="82"/>
      <c r="AC154" s="86" t="s">
        <v>430</v>
      </c>
      <c r="AD154" s="86" t="s">
        <v>431</v>
      </c>
      <c r="AE154" s="82" t="b">
        <v>0</v>
      </c>
      <c r="AF154" s="82">
        <v>133</v>
      </c>
      <c r="AG154" s="86" t="s">
        <v>432</v>
      </c>
      <c r="AH154" s="82" t="b">
        <v>0</v>
      </c>
      <c r="AI154" s="82" t="s">
        <v>439</v>
      </c>
      <c r="AJ154" s="82"/>
      <c r="AK154" s="86" t="s">
        <v>441</v>
      </c>
      <c r="AL154" s="82" t="b">
        <v>0</v>
      </c>
      <c r="AM154" s="82">
        <v>30</v>
      </c>
      <c r="AN154" s="86" t="s">
        <v>441</v>
      </c>
      <c r="AO154" s="86" t="s">
        <v>445</v>
      </c>
      <c r="AP154" s="82" t="b">
        <v>0</v>
      </c>
      <c r="AQ154" s="86" t="s">
        <v>431</v>
      </c>
      <c r="AR154" s="82"/>
      <c r="AS154" s="82">
        <v>0</v>
      </c>
      <c r="AT154" s="82">
        <v>0</v>
      </c>
      <c r="AU154" s="82" t="s">
        <v>450</v>
      </c>
      <c r="AV154" s="82" t="s">
        <v>451</v>
      </c>
      <c r="AW154" s="82" t="s">
        <v>452</v>
      </c>
      <c r="AX154" s="82" t="s">
        <v>455</v>
      </c>
      <c r="AY154" s="82" t="s">
        <v>458</v>
      </c>
      <c r="AZ154" s="82" t="s">
        <v>461</v>
      </c>
      <c r="BA154" s="82" t="s">
        <v>462</v>
      </c>
      <c r="BB154" s="85" t="str">
        <f>HYPERLINK("https://api.twitter.com/1.1/geo/id/151b9e91272233d1.json")</f>
        <v>https://api.twitter.com/1.1/geo/id/151b9e91272233d1.json</v>
      </c>
      <c r="BC154">
        <v>1</v>
      </c>
      <c r="BD154" s="81" t="str">
        <f>REPLACE(INDEX(GroupVertices[Group],MATCH(Edges[[#This Row],[Vertex 1]],GroupVertices[Vertex],0)),1,1,"")</f>
        <v>1</v>
      </c>
      <c r="BE154" s="81" t="str">
        <f>REPLACE(INDEX(GroupVertices[Group],MATCH(Edges[[#This Row],[Vertex 2]],GroupVertices[Vertex],0)),1,1,"")</f>
        <v>1</v>
      </c>
      <c r="BF154" s="49">
        <v>2</v>
      </c>
      <c r="BG154" s="50">
        <v>3.7735849056603774</v>
      </c>
      <c r="BH154" s="49">
        <v>1</v>
      </c>
      <c r="BI154" s="50">
        <v>1.8867924528301887</v>
      </c>
      <c r="BJ154" s="49">
        <v>0</v>
      </c>
      <c r="BK154" s="50">
        <v>0</v>
      </c>
      <c r="BL154" s="49">
        <v>50</v>
      </c>
      <c r="BM154" s="50">
        <v>94.33962264150944</v>
      </c>
      <c r="BN154" s="49">
        <v>53</v>
      </c>
    </row>
    <row r="155" spans="1:66" ht="15">
      <c r="A155" s="66" t="s">
        <v>288</v>
      </c>
      <c r="B155" s="66" t="s">
        <v>289</v>
      </c>
      <c r="C155" s="67" t="s">
        <v>1011</v>
      </c>
      <c r="D155" s="68">
        <v>3</v>
      </c>
      <c r="E155" s="69" t="s">
        <v>132</v>
      </c>
      <c r="F155" s="70">
        <v>32</v>
      </c>
      <c r="G155" s="67"/>
      <c r="H155" s="71"/>
      <c r="I155" s="72"/>
      <c r="J155" s="72"/>
      <c r="K155" s="35" t="s">
        <v>65</v>
      </c>
      <c r="L155" s="80">
        <v>155</v>
      </c>
      <c r="M155" s="80"/>
      <c r="N155" s="74"/>
      <c r="O155" s="82" t="s">
        <v>303</v>
      </c>
      <c r="P155" s="84">
        <v>44483.37359953704</v>
      </c>
      <c r="Q155" s="82" t="s">
        <v>343</v>
      </c>
      <c r="R155" s="82"/>
      <c r="S155" s="82"/>
      <c r="T155" s="82"/>
      <c r="U155" s="82"/>
      <c r="V155" s="85" t="str">
        <f>HYPERLINK("https://pbs.twimg.com/profile_images/1447919318407258112/IxTQDoGp_normal.jpg")</f>
        <v>https://pbs.twimg.com/profile_images/1447919318407258112/IxTQDoGp_normal.jpg</v>
      </c>
      <c r="W155" s="84">
        <v>44483.37359953704</v>
      </c>
      <c r="X155" s="89">
        <v>44483</v>
      </c>
      <c r="Y155" s="86" t="s">
        <v>388</v>
      </c>
      <c r="Z155" s="85" t="str">
        <f>HYPERLINK("https://twitter.com/paulbayliss9/status/1448573789709668354")</f>
        <v>https://twitter.com/paulbayliss9/status/1448573789709668354</v>
      </c>
      <c r="AA155" s="82"/>
      <c r="AB155" s="82"/>
      <c r="AC155" s="86" t="s">
        <v>429</v>
      </c>
      <c r="AD155" s="86" t="s">
        <v>431</v>
      </c>
      <c r="AE155" s="82" t="b">
        <v>0</v>
      </c>
      <c r="AF155" s="82">
        <v>7</v>
      </c>
      <c r="AG155" s="86" t="s">
        <v>432</v>
      </c>
      <c r="AH155" s="82" t="b">
        <v>0</v>
      </c>
      <c r="AI155" s="82" t="s">
        <v>439</v>
      </c>
      <c r="AJ155" s="82"/>
      <c r="AK155" s="86" t="s">
        <v>441</v>
      </c>
      <c r="AL155" s="82" t="b">
        <v>0</v>
      </c>
      <c r="AM155" s="82">
        <v>0</v>
      </c>
      <c r="AN155" s="86" t="s">
        <v>441</v>
      </c>
      <c r="AO155" s="86" t="s">
        <v>446</v>
      </c>
      <c r="AP155" s="82" t="b">
        <v>0</v>
      </c>
      <c r="AQ155" s="86" t="s">
        <v>431</v>
      </c>
      <c r="AR155" s="82"/>
      <c r="AS155" s="82">
        <v>0</v>
      </c>
      <c r="AT155" s="82">
        <v>0</v>
      </c>
      <c r="AU155" s="82" t="s">
        <v>449</v>
      </c>
      <c r="AV155" s="82" t="s">
        <v>451</v>
      </c>
      <c r="AW155" s="82" t="s">
        <v>452</v>
      </c>
      <c r="AX155" s="82" t="s">
        <v>454</v>
      </c>
      <c r="AY155" s="82" t="s">
        <v>457</v>
      </c>
      <c r="AZ155" s="82" t="s">
        <v>460</v>
      </c>
      <c r="BA155" s="82" t="s">
        <v>462</v>
      </c>
      <c r="BB155" s="85" t="str">
        <f>HYPERLINK("https://api.twitter.com/1.1/geo/id/3f81e4ab7f76195f.json")</f>
        <v>https://api.twitter.com/1.1/geo/id/3f81e4ab7f76195f.json</v>
      </c>
      <c r="BC155">
        <v>1</v>
      </c>
      <c r="BD155" s="81" t="str">
        <f>REPLACE(INDEX(GroupVertices[Group],MATCH(Edges[[#This Row],[Vertex 1]],GroupVertices[Vertex],0)),1,1,"")</f>
        <v>1</v>
      </c>
      <c r="BE155" s="81" t="str">
        <f>REPLACE(INDEX(GroupVertices[Group],MATCH(Edges[[#This Row],[Vertex 2]],GroupVertices[Vertex],0)),1,1,"")</f>
        <v>1</v>
      </c>
      <c r="BF155" s="49">
        <v>0</v>
      </c>
      <c r="BG155" s="50">
        <v>0</v>
      </c>
      <c r="BH155" s="49">
        <v>0</v>
      </c>
      <c r="BI155" s="50">
        <v>0</v>
      </c>
      <c r="BJ155" s="49">
        <v>0</v>
      </c>
      <c r="BK155" s="50">
        <v>0</v>
      </c>
      <c r="BL155" s="49">
        <v>18</v>
      </c>
      <c r="BM155" s="50">
        <v>100</v>
      </c>
      <c r="BN155" s="49">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5"/>
    <dataValidation allowBlank="1" showErrorMessage="1" sqref="N2:N1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5"/>
    <dataValidation allowBlank="1" showInputMessage="1" promptTitle="Edge Color" prompt="To select an optional edge color, right-click and select Select Color on the right-click menu." sqref="C3:C155"/>
    <dataValidation allowBlank="1" showInputMessage="1" promptTitle="Edge Width" prompt="Enter an optional edge width between 1 and 10." errorTitle="Invalid Edge Width" error="The optional edge width must be a whole number between 1 and 10." sqref="D3:D155"/>
    <dataValidation allowBlank="1" showInputMessage="1" promptTitle="Edge Opacity" prompt="Enter an optional edge opacity between 0 (transparent) and 100 (opaque)." errorTitle="Invalid Edge Opacity" error="The optional edge opacity must be a whole number between 0 and 10." sqref="F3:F1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5">
      <formula1>ValidEdgeVisibilities</formula1>
    </dataValidation>
    <dataValidation allowBlank="1" showInputMessage="1" showErrorMessage="1" promptTitle="Vertex 1 Name" prompt="Enter the name of the edge's first vertex." sqref="A3:A155"/>
    <dataValidation allowBlank="1" showInputMessage="1" showErrorMessage="1" promptTitle="Vertex 2 Name" prompt="Enter the name of the edge's second vertex." sqref="B3:B155"/>
    <dataValidation allowBlank="1" showInputMessage="1" showErrorMessage="1" promptTitle="Edge Label" prompt="Enter an optional edge label." errorTitle="Invalid Edge Visibility" error="You have entered an unrecognized edge visibility.  Try selecting from the drop-down list instead." sqref="H3:H1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74BF2-2C1F-4DCE-A821-265D2C1926D8}">
  <dimension ref="A1:L42"/>
  <sheetViews>
    <sheetView workbookViewId="0" topLeftCell="A1"/>
  </sheetViews>
  <sheetFormatPr defaultColWidth="9.140625" defaultRowHeight="15"/>
  <cols>
    <col min="1" max="2" width="8.421875" style="0" bestFit="1" customWidth="1"/>
    <col min="3" max="3" width="7.421875" style="0" bestFit="1" customWidth="1"/>
    <col min="4" max="4" width="8.8515625" style="0" bestFit="1" customWidth="1"/>
    <col min="5" max="5" width="18.00390625" style="0" bestFit="1" customWidth="1"/>
    <col min="6" max="6" width="7.57421875" style="0" bestFit="1" customWidth="1"/>
    <col min="7" max="12" width="28.57421875" style="0" bestFit="1" customWidth="1"/>
  </cols>
  <sheetData>
    <row r="1" spans="1:12" ht="15" customHeight="1">
      <c r="A1" s="13" t="s">
        <v>957</v>
      </c>
      <c r="B1" s="13" t="s">
        <v>958</v>
      </c>
      <c r="C1" s="13" t="s">
        <v>948</v>
      </c>
      <c r="D1" s="13" t="s">
        <v>952</v>
      </c>
      <c r="E1" s="13" t="s">
        <v>959</v>
      </c>
      <c r="F1" s="13" t="s">
        <v>144</v>
      </c>
      <c r="G1" s="13" t="s">
        <v>960</v>
      </c>
      <c r="H1" s="13" t="s">
        <v>961</v>
      </c>
      <c r="I1" s="13" t="s">
        <v>962</v>
      </c>
      <c r="J1" s="13" t="s">
        <v>963</v>
      </c>
      <c r="K1" s="13" t="s">
        <v>964</v>
      </c>
      <c r="L1" s="13" t="s">
        <v>965</v>
      </c>
    </row>
    <row r="2" spans="1:12" ht="15">
      <c r="A2" s="90" t="s">
        <v>291</v>
      </c>
      <c r="B2" s="90" t="s">
        <v>290</v>
      </c>
      <c r="C2" s="90">
        <v>40</v>
      </c>
      <c r="D2" s="114">
        <v>0.0009146153852258479</v>
      </c>
      <c r="E2" s="114">
        <v>1.0186599122934366</v>
      </c>
      <c r="F2" s="90" t="s">
        <v>953</v>
      </c>
      <c r="G2" s="90" t="b">
        <v>0</v>
      </c>
      <c r="H2" s="90" t="b">
        <v>0</v>
      </c>
      <c r="I2" s="90" t="b">
        <v>0</v>
      </c>
      <c r="J2" s="90" t="b">
        <v>0</v>
      </c>
      <c r="K2" s="90" t="b">
        <v>0</v>
      </c>
      <c r="L2" s="90" t="b">
        <v>0</v>
      </c>
    </row>
    <row r="3" spans="1:12" ht="15">
      <c r="A3" s="86" t="s">
        <v>289</v>
      </c>
      <c r="B3" s="90" t="s">
        <v>292</v>
      </c>
      <c r="C3" s="90">
        <v>15</v>
      </c>
      <c r="D3" s="114">
        <v>0.013966714211003869</v>
      </c>
      <c r="E3" s="114">
        <v>1.0293837776852097</v>
      </c>
      <c r="F3" s="90" t="s">
        <v>953</v>
      </c>
      <c r="G3" s="90" t="b">
        <v>0</v>
      </c>
      <c r="H3" s="90" t="b">
        <v>0</v>
      </c>
      <c r="I3" s="90" t="b">
        <v>0</v>
      </c>
      <c r="J3" s="90" t="b">
        <v>0</v>
      </c>
      <c r="K3" s="90" t="b">
        <v>0</v>
      </c>
      <c r="L3" s="90" t="b">
        <v>0</v>
      </c>
    </row>
    <row r="4" spans="1:12" ht="15">
      <c r="A4" s="86" t="s">
        <v>292</v>
      </c>
      <c r="B4" s="90" t="s">
        <v>291</v>
      </c>
      <c r="C4" s="90">
        <v>15</v>
      </c>
      <c r="D4" s="114">
        <v>0.013966714211003869</v>
      </c>
      <c r="E4" s="114">
        <v>1.0186599122934366</v>
      </c>
      <c r="F4" s="90" t="s">
        <v>953</v>
      </c>
      <c r="G4" s="90" t="b">
        <v>0</v>
      </c>
      <c r="H4" s="90" t="b">
        <v>0</v>
      </c>
      <c r="I4" s="90" t="b">
        <v>0</v>
      </c>
      <c r="J4" s="90" t="b">
        <v>0</v>
      </c>
      <c r="K4" s="90" t="b">
        <v>0</v>
      </c>
      <c r="L4" s="90" t="b">
        <v>0</v>
      </c>
    </row>
    <row r="5" spans="1:12" ht="15">
      <c r="A5" s="86" t="s">
        <v>289</v>
      </c>
      <c r="B5" s="90" t="s">
        <v>291</v>
      </c>
      <c r="C5" s="90">
        <v>12</v>
      </c>
      <c r="D5" s="114">
        <v>0.01365294526239942</v>
      </c>
      <c r="E5" s="114">
        <v>0.495781167013099</v>
      </c>
      <c r="F5" s="90" t="s">
        <v>953</v>
      </c>
      <c r="G5" s="90" t="b">
        <v>0</v>
      </c>
      <c r="H5" s="90" t="b">
        <v>0</v>
      </c>
      <c r="I5" s="90" t="b">
        <v>0</v>
      </c>
      <c r="J5" s="90" t="b">
        <v>0</v>
      </c>
      <c r="K5" s="90" t="b">
        <v>0</v>
      </c>
      <c r="L5" s="90" t="b">
        <v>0</v>
      </c>
    </row>
    <row r="6" spans="1:12" ht="15">
      <c r="A6" s="86" t="s">
        <v>743</v>
      </c>
      <c r="B6" s="90" t="s">
        <v>744</v>
      </c>
      <c r="C6" s="90">
        <v>6</v>
      </c>
      <c r="D6" s="114">
        <v>0.010677602639694138</v>
      </c>
      <c r="E6" s="114">
        <v>1.7863457289989153</v>
      </c>
      <c r="F6" s="90" t="s">
        <v>953</v>
      </c>
      <c r="G6" s="90" t="b">
        <v>0</v>
      </c>
      <c r="H6" s="90" t="b">
        <v>0</v>
      </c>
      <c r="I6" s="90" t="b">
        <v>0</v>
      </c>
      <c r="J6" s="90" t="b">
        <v>0</v>
      </c>
      <c r="K6" s="90" t="b">
        <v>0</v>
      </c>
      <c r="L6" s="90" t="b">
        <v>0</v>
      </c>
    </row>
    <row r="7" spans="1:12" ht="15">
      <c r="A7" s="86" t="s">
        <v>912</v>
      </c>
      <c r="B7" s="90" t="s">
        <v>913</v>
      </c>
      <c r="C7" s="90">
        <v>3</v>
      </c>
      <c r="D7" s="114">
        <v>0.007264366324094284</v>
      </c>
      <c r="E7" s="114">
        <v>2.1543225142935096</v>
      </c>
      <c r="F7" s="90" t="s">
        <v>953</v>
      </c>
      <c r="G7" s="90" t="b">
        <v>0</v>
      </c>
      <c r="H7" s="90" t="b">
        <v>0</v>
      </c>
      <c r="I7" s="90" t="b">
        <v>0</v>
      </c>
      <c r="J7" s="90" t="b">
        <v>0</v>
      </c>
      <c r="K7" s="90" t="b">
        <v>0</v>
      </c>
      <c r="L7" s="90" t="b">
        <v>0</v>
      </c>
    </row>
    <row r="8" spans="1:12" ht="15">
      <c r="A8" s="86" t="s">
        <v>290</v>
      </c>
      <c r="B8" s="90" t="s">
        <v>743</v>
      </c>
      <c r="C8" s="90">
        <v>3</v>
      </c>
      <c r="D8" s="114">
        <v>0.007264366324094284</v>
      </c>
      <c r="E8" s="114">
        <v>0.6836833871017676</v>
      </c>
      <c r="F8" s="90" t="s">
        <v>953</v>
      </c>
      <c r="G8" s="90" t="b">
        <v>0</v>
      </c>
      <c r="H8" s="90" t="b">
        <v>0</v>
      </c>
      <c r="I8" s="90" t="b">
        <v>0</v>
      </c>
      <c r="J8" s="90" t="b">
        <v>0</v>
      </c>
      <c r="K8" s="90" t="b">
        <v>0</v>
      </c>
      <c r="L8" s="90" t="b">
        <v>0</v>
      </c>
    </row>
    <row r="9" spans="1:12" ht="15">
      <c r="A9" s="86" t="s">
        <v>745</v>
      </c>
      <c r="B9" s="90" t="s">
        <v>745</v>
      </c>
      <c r="C9" s="90">
        <v>3</v>
      </c>
      <c r="D9" s="114">
        <v>0.008390749644279877</v>
      </c>
      <c r="E9" s="114">
        <v>1.5522625229655473</v>
      </c>
      <c r="F9" s="90" t="s">
        <v>953</v>
      </c>
      <c r="G9" s="90" t="b">
        <v>0</v>
      </c>
      <c r="H9" s="90" t="b">
        <v>0</v>
      </c>
      <c r="I9" s="90" t="b">
        <v>0</v>
      </c>
      <c r="J9" s="90" t="b">
        <v>0</v>
      </c>
      <c r="K9" s="90" t="b">
        <v>0</v>
      </c>
      <c r="L9" s="90" t="b">
        <v>0</v>
      </c>
    </row>
    <row r="10" spans="1:12" ht="15">
      <c r="A10" s="86" t="s">
        <v>289</v>
      </c>
      <c r="B10" s="90" t="s">
        <v>300</v>
      </c>
      <c r="C10" s="90">
        <v>2</v>
      </c>
      <c r="D10" s="114">
        <v>0.005593833096186585</v>
      </c>
      <c r="E10" s="114">
        <v>1.0293837776852097</v>
      </c>
      <c r="F10" s="90" t="s">
        <v>953</v>
      </c>
      <c r="G10" s="90" t="b">
        <v>0</v>
      </c>
      <c r="H10" s="90" t="b">
        <v>0</v>
      </c>
      <c r="I10" s="90" t="b">
        <v>0</v>
      </c>
      <c r="J10" s="90" t="b">
        <v>0</v>
      </c>
      <c r="K10" s="90" t="b">
        <v>0</v>
      </c>
      <c r="L10" s="90" t="b">
        <v>0</v>
      </c>
    </row>
    <row r="11" spans="1:12" ht="15">
      <c r="A11" s="86" t="s">
        <v>300</v>
      </c>
      <c r="B11" s="90" t="s">
        <v>291</v>
      </c>
      <c r="C11" s="90">
        <v>2</v>
      </c>
      <c r="D11" s="114">
        <v>0.005593833096186585</v>
      </c>
      <c r="E11" s="114">
        <v>1.0186599122934366</v>
      </c>
      <c r="F11" s="90" t="s">
        <v>953</v>
      </c>
      <c r="G11" s="90" t="b">
        <v>0</v>
      </c>
      <c r="H11" s="90" t="b">
        <v>0</v>
      </c>
      <c r="I11" s="90" t="b">
        <v>0</v>
      </c>
      <c r="J11" s="90" t="b">
        <v>0</v>
      </c>
      <c r="K11" s="90" t="b">
        <v>0</v>
      </c>
      <c r="L11" s="90" t="b">
        <v>0</v>
      </c>
    </row>
    <row r="12" spans="1:12" ht="15">
      <c r="A12" s="86" t="s">
        <v>290</v>
      </c>
      <c r="B12" s="90" t="s">
        <v>912</v>
      </c>
      <c r="C12" s="90">
        <v>2</v>
      </c>
      <c r="D12" s="114">
        <v>0.005593833096186585</v>
      </c>
      <c r="E12" s="114">
        <v>0.8755689133406805</v>
      </c>
      <c r="F12" s="90" t="s">
        <v>953</v>
      </c>
      <c r="G12" s="90" t="b">
        <v>0</v>
      </c>
      <c r="H12" s="90" t="b">
        <v>0</v>
      </c>
      <c r="I12" s="90" t="b">
        <v>0</v>
      </c>
      <c r="J12" s="90" t="b">
        <v>0</v>
      </c>
      <c r="K12" s="90" t="b">
        <v>0</v>
      </c>
      <c r="L12" s="90" t="b">
        <v>0</v>
      </c>
    </row>
    <row r="13" spans="1:12" ht="15">
      <c r="A13" s="86" t="s">
        <v>290</v>
      </c>
      <c r="B13" s="90" t="s">
        <v>916</v>
      </c>
      <c r="C13" s="90">
        <v>2</v>
      </c>
      <c r="D13" s="114">
        <v>0.005593833096186585</v>
      </c>
      <c r="E13" s="114">
        <v>1.051660172396362</v>
      </c>
      <c r="F13" s="90" t="s">
        <v>953</v>
      </c>
      <c r="G13" s="90" t="b">
        <v>0</v>
      </c>
      <c r="H13" s="90" t="b">
        <v>0</v>
      </c>
      <c r="I13" s="90" t="b">
        <v>0</v>
      </c>
      <c r="J13" s="90" t="b">
        <v>0</v>
      </c>
      <c r="K13" s="90" t="b">
        <v>0</v>
      </c>
      <c r="L13" s="90" t="b">
        <v>0</v>
      </c>
    </row>
    <row r="14" spans="1:12" ht="15">
      <c r="A14" s="86" t="s">
        <v>746</v>
      </c>
      <c r="B14" s="90" t="s">
        <v>919</v>
      </c>
      <c r="C14" s="90">
        <v>2</v>
      </c>
      <c r="D14" s="114">
        <v>0.005593833096186585</v>
      </c>
      <c r="E14" s="114">
        <v>1.9324737646771533</v>
      </c>
      <c r="F14" s="90" t="s">
        <v>953</v>
      </c>
      <c r="G14" s="90" t="b">
        <v>0</v>
      </c>
      <c r="H14" s="90" t="b">
        <v>0</v>
      </c>
      <c r="I14" s="90" t="b">
        <v>0</v>
      </c>
      <c r="J14" s="90" t="b">
        <v>0</v>
      </c>
      <c r="K14" s="90" t="b">
        <v>0</v>
      </c>
      <c r="L14" s="90" t="b">
        <v>0</v>
      </c>
    </row>
    <row r="15" spans="1:12" ht="15">
      <c r="A15" s="86" t="s">
        <v>290</v>
      </c>
      <c r="B15" s="90" t="s">
        <v>920</v>
      </c>
      <c r="C15" s="90">
        <v>2</v>
      </c>
      <c r="D15" s="114">
        <v>0.005593833096186585</v>
      </c>
      <c r="E15" s="114">
        <v>1.051660172396362</v>
      </c>
      <c r="F15" s="90" t="s">
        <v>953</v>
      </c>
      <c r="G15" s="90" t="b">
        <v>0</v>
      </c>
      <c r="H15" s="90" t="b">
        <v>0</v>
      </c>
      <c r="I15" s="90" t="b">
        <v>0</v>
      </c>
      <c r="J15" s="90" t="b">
        <v>0</v>
      </c>
      <c r="K15" s="90" t="b">
        <v>1</v>
      </c>
      <c r="L15" s="90" t="b">
        <v>0</v>
      </c>
    </row>
    <row r="16" spans="1:12" ht="15">
      <c r="A16" s="86" t="s">
        <v>744</v>
      </c>
      <c r="B16" s="90" t="s">
        <v>750</v>
      </c>
      <c r="C16" s="90">
        <v>2</v>
      </c>
      <c r="D16" s="114">
        <v>0.005593833096186585</v>
      </c>
      <c r="E16" s="114">
        <v>1.6772012595738472</v>
      </c>
      <c r="F16" s="90" t="s">
        <v>953</v>
      </c>
      <c r="G16" s="90" t="b">
        <v>0</v>
      </c>
      <c r="H16" s="90" t="b">
        <v>0</v>
      </c>
      <c r="I16" s="90" t="b">
        <v>0</v>
      </c>
      <c r="J16" s="90" t="b">
        <v>0</v>
      </c>
      <c r="K16" s="90" t="b">
        <v>1</v>
      </c>
      <c r="L16" s="90" t="b">
        <v>0</v>
      </c>
    </row>
    <row r="17" spans="1:12" ht="15">
      <c r="A17" s="86" t="s">
        <v>289</v>
      </c>
      <c r="B17" s="90" t="s">
        <v>293</v>
      </c>
      <c r="C17" s="90">
        <v>2</v>
      </c>
      <c r="D17" s="114">
        <v>0.005593833096186585</v>
      </c>
      <c r="E17" s="114">
        <v>1.0293837776852097</v>
      </c>
      <c r="F17" s="90" t="s">
        <v>953</v>
      </c>
      <c r="G17" s="90" t="b">
        <v>0</v>
      </c>
      <c r="H17" s="90" t="b">
        <v>0</v>
      </c>
      <c r="I17" s="90" t="b">
        <v>0</v>
      </c>
      <c r="J17" s="90" t="b">
        <v>0</v>
      </c>
      <c r="K17" s="90" t="b">
        <v>0</v>
      </c>
      <c r="L17" s="90" t="b">
        <v>0</v>
      </c>
    </row>
    <row r="18" spans="1:12" ht="15">
      <c r="A18" s="86" t="s">
        <v>293</v>
      </c>
      <c r="B18" s="90" t="s">
        <v>291</v>
      </c>
      <c r="C18" s="90">
        <v>2</v>
      </c>
      <c r="D18" s="114">
        <v>0.005593833096186585</v>
      </c>
      <c r="E18" s="114">
        <v>1.0186599122934366</v>
      </c>
      <c r="F18" s="90" t="s">
        <v>953</v>
      </c>
      <c r="G18" s="90" t="b">
        <v>0</v>
      </c>
      <c r="H18" s="90" t="b">
        <v>0</v>
      </c>
      <c r="I18" s="90" t="b">
        <v>0</v>
      </c>
      <c r="J18" s="90" t="b">
        <v>0</v>
      </c>
      <c r="K18" s="90" t="b">
        <v>0</v>
      </c>
      <c r="L18" s="90" t="b">
        <v>0</v>
      </c>
    </row>
    <row r="19" spans="1:12" ht="15">
      <c r="A19" s="86" t="s">
        <v>290</v>
      </c>
      <c r="B19" s="90" t="s">
        <v>945</v>
      </c>
      <c r="C19" s="90">
        <v>2</v>
      </c>
      <c r="D19" s="114">
        <v>0.005593833096186585</v>
      </c>
      <c r="E19" s="114">
        <v>1.051660172396362</v>
      </c>
      <c r="F19" s="90" t="s">
        <v>953</v>
      </c>
      <c r="G19" s="90" t="b">
        <v>0</v>
      </c>
      <c r="H19" s="90" t="b">
        <v>0</v>
      </c>
      <c r="I19" s="90" t="b">
        <v>0</v>
      </c>
      <c r="J19" s="90" t="b">
        <v>0</v>
      </c>
      <c r="K19" s="90" t="b">
        <v>0</v>
      </c>
      <c r="L19" s="90" t="b">
        <v>0</v>
      </c>
    </row>
    <row r="20" spans="1:12" ht="15">
      <c r="A20" s="86" t="s">
        <v>945</v>
      </c>
      <c r="B20" s="90" t="s">
        <v>946</v>
      </c>
      <c r="C20" s="90">
        <v>2</v>
      </c>
      <c r="D20" s="114">
        <v>0.005593833096186585</v>
      </c>
      <c r="E20" s="114">
        <v>2.330413773349191</v>
      </c>
      <c r="F20" s="90" t="s">
        <v>953</v>
      </c>
      <c r="G20" s="90" t="b">
        <v>0</v>
      </c>
      <c r="H20" s="90" t="b">
        <v>0</v>
      </c>
      <c r="I20" s="90" t="b">
        <v>0</v>
      </c>
      <c r="J20" s="90" t="b">
        <v>0</v>
      </c>
      <c r="K20" s="90" t="b">
        <v>1</v>
      </c>
      <c r="L20" s="90" t="b">
        <v>0</v>
      </c>
    </row>
    <row r="21" spans="1:12" ht="15">
      <c r="A21" s="86" t="s">
        <v>274</v>
      </c>
      <c r="B21" s="90" t="s">
        <v>289</v>
      </c>
      <c r="C21" s="90">
        <v>2</v>
      </c>
      <c r="D21" s="114">
        <v>0.005593833096186585</v>
      </c>
      <c r="E21" s="114">
        <v>2.0293837776852097</v>
      </c>
      <c r="F21" s="90" t="s">
        <v>953</v>
      </c>
      <c r="G21" s="90" t="b">
        <v>0</v>
      </c>
      <c r="H21" s="90" t="b">
        <v>0</v>
      </c>
      <c r="I21" s="90" t="b">
        <v>0</v>
      </c>
      <c r="J21" s="90" t="b">
        <v>0</v>
      </c>
      <c r="K21" s="90" t="b">
        <v>0</v>
      </c>
      <c r="L21" s="90" t="b">
        <v>0</v>
      </c>
    </row>
    <row r="22" spans="1:12" ht="15">
      <c r="A22" s="86" t="s">
        <v>291</v>
      </c>
      <c r="B22" s="90" t="s">
        <v>290</v>
      </c>
      <c r="C22" s="90">
        <v>26</v>
      </c>
      <c r="D22" s="114">
        <v>0.0014110954334185563</v>
      </c>
      <c r="E22" s="114">
        <v>1.0079689296712753</v>
      </c>
      <c r="F22" s="90" t="s">
        <v>705</v>
      </c>
      <c r="G22" s="90" t="b">
        <v>0</v>
      </c>
      <c r="H22" s="90" t="b">
        <v>0</v>
      </c>
      <c r="I22" s="90" t="b">
        <v>0</v>
      </c>
      <c r="J22" s="90" t="b">
        <v>0</v>
      </c>
      <c r="K22" s="90" t="b">
        <v>0</v>
      </c>
      <c r="L22" s="90" t="b">
        <v>0</v>
      </c>
    </row>
    <row r="23" spans="1:12" ht="15">
      <c r="A23" s="86" t="s">
        <v>289</v>
      </c>
      <c r="B23" s="90" t="s">
        <v>291</v>
      </c>
      <c r="C23" s="90">
        <v>12</v>
      </c>
      <c r="D23" s="114">
        <v>0.013994007342173344</v>
      </c>
      <c r="E23" s="114">
        <v>0.6721768277480823</v>
      </c>
      <c r="F23" s="90" t="s">
        <v>705</v>
      </c>
      <c r="G23" s="90" t="b">
        <v>0</v>
      </c>
      <c r="H23" s="90" t="b">
        <v>0</v>
      </c>
      <c r="I23" s="90" t="b">
        <v>0</v>
      </c>
      <c r="J23" s="90" t="b">
        <v>0</v>
      </c>
      <c r="K23" s="90" t="b">
        <v>0</v>
      </c>
      <c r="L23" s="90" t="b">
        <v>0</v>
      </c>
    </row>
    <row r="24" spans="1:12" ht="15">
      <c r="A24" s="86" t="s">
        <v>743</v>
      </c>
      <c r="B24" s="90" t="s">
        <v>744</v>
      </c>
      <c r="C24" s="90">
        <v>6</v>
      </c>
      <c r="D24" s="114">
        <v>0.012977732061761796</v>
      </c>
      <c r="E24" s="114">
        <v>1.661181443446619</v>
      </c>
      <c r="F24" s="90" t="s">
        <v>705</v>
      </c>
      <c r="G24" s="90" t="b">
        <v>0</v>
      </c>
      <c r="H24" s="90" t="b">
        <v>0</v>
      </c>
      <c r="I24" s="90" t="b">
        <v>0</v>
      </c>
      <c r="J24" s="90" t="b">
        <v>0</v>
      </c>
      <c r="K24" s="90" t="b">
        <v>0</v>
      </c>
      <c r="L24" s="90" t="b">
        <v>0</v>
      </c>
    </row>
    <row r="25" spans="1:12" ht="15">
      <c r="A25" s="86" t="s">
        <v>289</v>
      </c>
      <c r="B25" s="90" t="s">
        <v>292</v>
      </c>
      <c r="C25" s="90">
        <v>4</v>
      </c>
      <c r="D25" s="114">
        <v>0.010984155931536755</v>
      </c>
      <c r="E25" s="114">
        <v>1.0243593458594447</v>
      </c>
      <c r="F25" s="90" t="s">
        <v>705</v>
      </c>
      <c r="G25" s="90" t="b">
        <v>0</v>
      </c>
      <c r="H25" s="90" t="b">
        <v>0</v>
      </c>
      <c r="I25" s="90" t="b">
        <v>0</v>
      </c>
      <c r="J25" s="90" t="b">
        <v>0</v>
      </c>
      <c r="K25" s="90" t="b">
        <v>0</v>
      </c>
      <c r="L25" s="90" t="b">
        <v>0</v>
      </c>
    </row>
    <row r="26" spans="1:12" ht="15">
      <c r="A26" s="86" t="s">
        <v>292</v>
      </c>
      <c r="B26" s="90" t="s">
        <v>291</v>
      </c>
      <c r="C26" s="90">
        <v>4</v>
      </c>
      <c r="D26" s="114">
        <v>0.010984155931536755</v>
      </c>
      <c r="E26" s="114">
        <v>1.0079689296712755</v>
      </c>
      <c r="F26" s="90" t="s">
        <v>705</v>
      </c>
      <c r="G26" s="90" t="b">
        <v>0</v>
      </c>
      <c r="H26" s="90" t="b">
        <v>0</v>
      </c>
      <c r="I26" s="90" t="b">
        <v>0</v>
      </c>
      <c r="J26" s="90" t="b">
        <v>0</v>
      </c>
      <c r="K26" s="90" t="b">
        <v>0</v>
      </c>
      <c r="L26" s="90" t="b">
        <v>0</v>
      </c>
    </row>
    <row r="27" spans="1:12" ht="15">
      <c r="A27" s="86" t="s">
        <v>290</v>
      </c>
      <c r="B27" s="90" t="s">
        <v>743</v>
      </c>
      <c r="C27" s="90">
        <v>3</v>
      </c>
      <c r="D27" s="114">
        <v>0.009479230226218459</v>
      </c>
      <c r="E27" s="114">
        <v>0.7580914564546753</v>
      </c>
      <c r="F27" s="90" t="s">
        <v>705</v>
      </c>
      <c r="G27" s="90" t="b">
        <v>0</v>
      </c>
      <c r="H27" s="90" t="b">
        <v>0</v>
      </c>
      <c r="I27" s="90" t="b">
        <v>0</v>
      </c>
      <c r="J27" s="90" t="b">
        <v>0</v>
      </c>
      <c r="K27" s="90" t="b">
        <v>0</v>
      </c>
      <c r="L27" s="90" t="b">
        <v>0</v>
      </c>
    </row>
    <row r="28" spans="1:12" ht="15">
      <c r="A28" s="86" t="s">
        <v>912</v>
      </c>
      <c r="B28" s="90" t="s">
        <v>913</v>
      </c>
      <c r="C28" s="90">
        <v>2</v>
      </c>
      <c r="D28" s="114">
        <v>0.007485654095993418</v>
      </c>
      <c r="E28" s="114">
        <v>2.1383026981662816</v>
      </c>
      <c r="F28" s="90" t="s">
        <v>705</v>
      </c>
      <c r="G28" s="90" t="b">
        <v>0</v>
      </c>
      <c r="H28" s="90" t="b">
        <v>0</v>
      </c>
      <c r="I28" s="90" t="b">
        <v>0</v>
      </c>
      <c r="J28" s="90" t="b">
        <v>0</v>
      </c>
      <c r="K28" s="90" t="b">
        <v>0</v>
      </c>
      <c r="L28" s="90" t="b">
        <v>0</v>
      </c>
    </row>
    <row r="29" spans="1:12" ht="15">
      <c r="A29" s="86" t="s">
        <v>289</v>
      </c>
      <c r="B29" s="90" t="s">
        <v>300</v>
      </c>
      <c r="C29" s="90">
        <v>2</v>
      </c>
      <c r="D29" s="114">
        <v>0.007485654095993418</v>
      </c>
      <c r="E29" s="114">
        <v>1.0243593458594447</v>
      </c>
      <c r="F29" s="90" t="s">
        <v>705</v>
      </c>
      <c r="G29" s="90" t="b">
        <v>0</v>
      </c>
      <c r="H29" s="90" t="b">
        <v>0</v>
      </c>
      <c r="I29" s="90" t="b">
        <v>0</v>
      </c>
      <c r="J29" s="90" t="b">
        <v>0</v>
      </c>
      <c r="K29" s="90" t="b">
        <v>0</v>
      </c>
      <c r="L29" s="90" t="b">
        <v>0</v>
      </c>
    </row>
    <row r="30" spans="1:12" ht="15">
      <c r="A30" s="86" t="s">
        <v>300</v>
      </c>
      <c r="B30" s="90" t="s">
        <v>291</v>
      </c>
      <c r="C30" s="90">
        <v>2</v>
      </c>
      <c r="D30" s="114">
        <v>0.007485654095993418</v>
      </c>
      <c r="E30" s="114">
        <v>1.0079689296712755</v>
      </c>
      <c r="F30" s="90" t="s">
        <v>705</v>
      </c>
      <c r="G30" s="90" t="b">
        <v>0</v>
      </c>
      <c r="H30" s="90" t="b">
        <v>0</v>
      </c>
      <c r="I30" s="90" t="b">
        <v>0</v>
      </c>
      <c r="J30" s="90" t="b">
        <v>0</v>
      </c>
      <c r="K30" s="90" t="b">
        <v>0</v>
      </c>
      <c r="L30" s="90" t="b">
        <v>0</v>
      </c>
    </row>
    <row r="31" spans="1:12" ht="15">
      <c r="A31" s="86" t="s">
        <v>290</v>
      </c>
      <c r="B31" s="90" t="s">
        <v>916</v>
      </c>
      <c r="C31" s="90">
        <v>2</v>
      </c>
      <c r="D31" s="114">
        <v>0.007485654095993418</v>
      </c>
      <c r="E31" s="114">
        <v>1.0591214521186567</v>
      </c>
      <c r="F31" s="90" t="s">
        <v>705</v>
      </c>
      <c r="G31" s="90" t="b">
        <v>0</v>
      </c>
      <c r="H31" s="90" t="b">
        <v>0</v>
      </c>
      <c r="I31" s="90" t="b">
        <v>0</v>
      </c>
      <c r="J31" s="90" t="b">
        <v>0</v>
      </c>
      <c r="K31" s="90" t="b">
        <v>0</v>
      </c>
      <c r="L31" s="90" t="b">
        <v>0</v>
      </c>
    </row>
    <row r="32" spans="1:12" ht="15">
      <c r="A32" s="86" t="s">
        <v>746</v>
      </c>
      <c r="B32" s="90" t="s">
        <v>919</v>
      </c>
      <c r="C32" s="90">
        <v>2</v>
      </c>
      <c r="D32" s="114">
        <v>0.007485654095993418</v>
      </c>
      <c r="E32" s="114">
        <v>1.8372727025023003</v>
      </c>
      <c r="F32" s="90" t="s">
        <v>705</v>
      </c>
      <c r="G32" s="90" t="b">
        <v>0</v>
      </c>
      <c r="H32" s="90" t="b">
        <v>0</v>
      </c>
      <c r="I32" s="90" t="b">
        <v>0</v>
      </c>
      <c r="J32" s="90" t="b">
        <v>0</v>
      </c>
      <c r="K32" s="90" t="b">
        <v>0</v>
      </c>
      <c r="L32" s="90" t="b">
        <v>0</v>
      </c>
    </row>
    <row r="33" spans="1:12" ht="15">
      <c r="A33" s="86" t="s">
        <v>290</v>
      </c>
      <c r="B33" s="90" t="s">
        <v>920</v>
      </c>
      <c r="C33" s="90">
        <v>2</v>
      </c>
      <c r="D33" s="114">
        <v>0.007485654095993418</v>
      </c>
      <c r="E33" s="114">
        <v>1.0591214521186567</v>
      </c>
      <c r="F33" s="90" t="s">
        <v>705</v>
      </c>
      <c r="G33" s="90" t="b">
        <v>0</v>
      </c>
      <c r="H33" s="90" t="b">
        <v>0</v>
      </c>
      <c r="I33" s="90" t="b">
        <v>0</v>
      </c>
      <c r="J33" s="90" t="b">
        <v>0</v>
      </c>
      <c r="K33" s="90" t="b">
        <v>1</v>
      </c>
      <c r="L33" s="90" t="b">
        <v>0</v>
      </c>
    </row>
    <row r="34" spans="1:12" ht="15">
      <c r="A34" s="86" t="s">
        <v>744</v>
      </c>
      <c r="B34" s="90" t="s">
        <v>750</v>
      </c>
      <c r="C34" s="90">
        <v>2</v>
      </c>
      <c r="D34" s="114">
        <v>0.007485654095993418</v>
      </c>
      <c r="E34" s="114">
        <v>1.4850901843909377</v>
      </c>
      <c r="F34" s="90" t="s">
        <v>705</v>
      </c>
      <c r="G34" s="90" t="b">
        <v>0</v>
      </c>
      <c r="H34" s="90" t="b">
        <v>0</v>
      </c>
      <c r="I34" s="90" t="b">
        <v>0</v>
      </c>
      <c r="J34" s="90" t="b">
        <v>0</v>
      </c>
      <c r="K34" s="90" t="b">
        <v>1</v>
      </c>
      <c r="L34" s="90" t="b">
        <v>0</v>
      </c>
    </row>
    <row r="35" spans="1:12" ht="15">
      <c r="A35" s="86" t="s">
        <v>289</v>
      </c>
      <c r="B35" s="90" t="s">
        <v>292</v>
      </c>
      <c r="C35" s="90">
        <v>11</v>
      </c>
      <c r="D35" s="114">
        <v>0</v>
      </c>
      <c r="E35" s="114">
        <v>1.0589778599593378</v>
      </c>
      <c r="F35" s="90" t="s">
        <v>706</v>
      </c>
      <c r="G35" s="90" t="b">
        <v>0</v>
      </c>
      <c r="H35" s="90" t="b">
        <v>0</v>
      </c>
      <c r="I35" s="90" t="b">
        <v>0</v>
      </c>
      <c r="J35" s="90" t="b">
        <v>0</v>
      </c>
      <c r="K35" s="90" t="b">
        <v>0</v>
      </c>
      <c r="L35" s="90" t="b">
        <v>0</v>
      </c>
    </row>
    <row r="36" spans="1:12" ht="15">
      <c r="A36" s="86" t="s">
        <v>292</v>
      </c>
      <c r="B36" s="90" t="s">
        <v>291</v>
      </c>
      <c r="C36" s="90">
        <v>11</v>
      </c>
      <c r="D36" s="114">
        <v>0</v>
      </c>
      <c r="E36" s="114">
        <v>1.0589778599593378</v>
      </c>
      <c r="F36" s="90" t="s">
        <v>706</v>
      </c>
      <c r="G36" s="90" t="b">
        <v>0</v>
      </c>
      <c r="H36" s="90" t="b">
        <v>0</v>
      </c>
      <c r="I36" s="90" t="b">
        <v>0</v>
      </c>
      <c r="J36" s="90" t="b">
        <v>0</v>
      </c>
      <c r="K36" s="90" t="b">
        <v>0</v>
      </c>
      <c r="L36" s="90" t="b">
        <v>0</v>
      </c>
    </row>
    <row r="37" spans="1:12" ht="15">
      <c r="A37" s="86" t="s">
        <v>291</v>
      </c>
      <c r="B37" s="90" t="s">
        <v>290</v>
      </c>
      <c r="C37" s="90">
        <v>11</v>
      </c>
      <c r="D37" s="114">
        <v>0</v>
      </c>
      <c r="E37" s="114">
        <v>1.0589778599593378</v>
      </c>
      <c r="F37" s="90" t="s">
        <v>706</v>
      </c>
      <c r="G37" s="90" t="b">
        <v>0</v>
      </c>
      <c r="H37" s="90" t="b">
        <v>0</v>
      </c>
      <c r="I37" s="90" t="b">
        <v>0</v>
      </c>
      <c r="J37" s="90" t="b">
        <v>0</v>
      </c>
      <c r="K37" s="90" t="b">
        <v>0</v>
      </c>
      <c r="L37" s="90" t="b">
        <v>0</v>
      </c>
    </row>
    <row r="38" spans="1:12" ht="15">
      <c r="A38" s="86" t="s">
        <v>274</v>
      </c>
      <c r="B38" s="90" t="s">
        <v>289</v>
      </c>
      <c r="C38" s="90">
        <v>2</v>
      </c>
      <c r="D38" s="114">
        <v>0.010808214445171443</v>
      </c>
      <c r="E38" s="114">
        <v>1.4983105537896007</v>
      </c>
      <c r="F38" s="90" t="s">
        <v>706</v>
      </c>
      <c r="G38" s="90" t="b">
        <v>0</v>
      </c>
      <c r="H38" s="90" t="b">
        <v>0</v>
      </c>
      <c r="I38" s="90" t="b">
        <v>0</v>
      </c>
      <c r="J38" s="90" t="b">
        <v>0</v>
      </c>
      <c r="K38" s="90" t="b">
        <v>0</v>
      </c>
      <c r="L38" s="90" t="b">
        <v>0</v>
      </c>
    </row>
    <row r="39" spans="1:12" ht="15">
      <c r="A39" s="86" t="s">
        <v>289</v>
      </c>
      <c r="B39" s="90" t="s">
        <v>293</v>
      </c>
      <c r="C39" s="90">
        <v>2</v>
      </c>
      <c r="D39" s="114">
        <v>0</v>
      </c>
      <c r="E39" s="114">
        <v>1.0413926851582251</v>
      </c>
      <c r="F39" s="90" t="s">
        <v>707</v>
      </c>
      <c r="G39" s="90" t="b">
        <v>0</v>
      </c>
      <c r="H39" s="90" t="b">
        <v>0</v>
      </c>
      <c r="I39" s="90" t="b">
        <v>0</v>
      </c>
      <c r="J39" s="90" t="b">
        <v>0</v>
      </c>
      <c r="K39" s="90" t="b">
        <v>0</v>
      </c>
      <c r="L39" s="90" t="b">
        <v>0</v>
      </c>
    </row>
    <row r="40" spans="1:12" ht="15">
      <c r="A40" s="86" t="s">
        <v>293</v>
      </c>
      <c r="B40" s="90" t="s">
        <v>291</v>
      </c>
      <c r="C40" s="90">
        <v>2</v>
      </c>
      <c r="D40" s="114">
        <v>0</v>
      </c>
      <c r="E40" s="114">
        <v>1.0413926851582251</v>
      </c>
      <c r="F40" s="90" t="s">
        <v>707</v>
      </c>
      <c r="G40" s="90" t="b">
        <v>0</v>
      </c>
      <c r="H40" s="90" t="b">
        <v>0</v>
      </c>
      <c r="I40" s="90" t="b">
        <v>0</v>
      </c>
      <c r="J40" s="90" t="b">
        <v>0</v>
      </c>
      <c r="K40" s="90" t="b">
        <v>0</v>
      </c>
      <c r="L40" s="90" t="b">
        <v>0</v>
      </c>
    </row>
    <row r="41" spans="1:12" ht="15">
      <c r="A41" s="86" t="s">
        <v>291</v>
      </c>
      <c r="B41" s="90" t="s">
        <v>290</v>
      </c>
      <c r="C41" s="90">
        <v>2</v>
      </c>
      <c r="D41" s="114">
        <v>0</v>
      </c>
      <c r="E41" s="114">
        <v>1.0413926851582251</v>
      </c>
      <c r="F41" s="90" t="s">
        <v>707</v>
      </c>
      <c r="G41" s="90" t="b">
        <v>0</v>
      </c>
      <c r="H41" s="90" t="b">
        <v>0</v>
      </c>
      <c r="I41" s="90" t="b">
        <v>0</v>
      </c>
      <c r="J41" s="90" t="b">
        <v>0</v>
      </c>
      <c r="K41" s="90" t="b">
        <v>0</v>
      </c>
      <c r="L41" s="90" t="b">
        <v>0</v>
      </c>
    </row>
    <row r="42" spans="1:12" ht="15">
      <c r="A42" s="86" t="s">
        <v>745</v>
      </c>
      <c r="B42" s="90" t="s">
        <v>745</v>
      </c>
      <c r="C42" s="90">
        <v>2</v>
      </c>
      <c r="D42" s="114">
        <v>0.025085832971998432</v>
      </c>
      <c r="E42" s="114">
        <v>0.43933269383026263</v>
      </c>
      <c r="F42" s="90" t="s">
        <v>707</v>
      </c>
      <c r="G42" s="90" t="b">
        <v>0</v>
      </c>
      <c r="H42" s="90" t="b">
        <v>0</v>
      </c>
      <c r="I42" s="90" t="b">
        <v>0</v>
      </c>
      <c r="J42" s="90" t="b">
        <v>0</v>
      </c>
      <c r="K42" s="90" t="b">
        <v>0</v>
      </c>
      <c r="L42" s="90"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BC2A2A-5393-45B8-B8E5-662D252F0A30}">
  <dimension ref="A1:C10"/>
  <sheetViews>
    <sheetView workbookViewId="0" topLeftCell="A1"/>
  </sheetViews>
  <sheetFormatPr defaultColWidth="9.140625" defaultRowHeight="15"/>
  <cols>
    <col min="3" max="3" width="11.421875" style="0" bestFit="1" customWidth="1"/>
  </cols>
  <sheetData>
    <row r="1" ht="15">
      <c r="C1" s="34" t="s">
        <v>42</v>
      </c>
    </row>
    <row r="2" spans="1:3" ht="15" customHeight="1">
      <c r="A2" s="13" t="s">
        <v>977</v>
      </c>
      <c r="B2" s="117" t="s">
        <v>978</v>
      </c>
      <c r="C2" s="54" t="s">
        <v>979</v>
      </c>
    </row>
    <row r="3" spans="1:3" ht="15">
      <c r="A3" s="116" t="s">
        <v>705</v>
      </c>
      <c r="B3" s="116" t="s">
        <v>705</v>
      </c>
      <c r="C3" s="35">
        <v>88</v>
      </c>
    </row>
    <row r="4" spans="1:3" ht="15">
      <c r="A4" s="116" t="s">
        <v>705</v>
      </c>
      <c r="B4" s="116" t="s">
        <v>706</v>
      </c>
      <c r="C4" s="35">
        <v>4</v>
      </c>
    </row>
    <row r="5" spans="1:3" ht="15">
      <c r="A5" s="116" t="s">
        <v>706</v>
      </c>
      <c r="B5" s="116" t="s">
        <v>705</v>
      </c>
      <c r="C5" s="35">
        <v>33</v>
      </c>
    </row>
    <row r="6" spans="1:3" ht="15">
      <c r="A6" s="116" t="s">
        <v>706</v>
      </c>
      <c r="B6" s="116" t="s">
        <v>706</v>
      </c>
      <c r="C6" s="35">
        <v>16</v>
      </c>
    </row>
    <row r="7" spans="1:3" ht="15">
      <c r="A7" s="116" t="s">
        <v>707</v>
      </c>
      <c r="B7" s="116" t="s">
        <v>705</v>
      </c>
      <c r="C7" s="35">
        <v>6</v>
      </c>
    </row>
    <row r="8" spans="1:3" ht="15">
      <c r="A8" s="116" t="s">
        <v>707</v>
      </c>
      <c r="B8" s="116" t="s">
        <v>707</v>
      </c>
      <c r="C8" s="35">
        <v>2</v>
      </c>
    </row>
    <row r="9" spans="1:3" ht="15">
      <c r="A9" s="116" t="s">
        <v>708</v>
      </c>
      <c r="B9" s="116" t="s">
        <v>705</v>
      </c>
      <c r="C9" s="35">
        <v>3</v>
      </c>
    </row>
    <row r="10" spans="1:3" ht="15">
      <c r="A10" s="116" t="s">
        <v>708</v>
      </c>
      <c r="B10" s="116" t="s">
        <v>708</v>
      </c>
      <c r="C10" s="35">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C781C-4FCA-45BD-A592-6674FF744AD0}">
  <dimension ref="A1:B7"/>
  <sheetViews>
    <sheetView workbookViewId="0" topLeftCell="A1"/>
  </sheetViews>
  <sheetFormatPr defaultColWidth="9.140625" defaultRowHeight="15"/>
  <cols>
    <col min="1" max="1" width="5.57421875" style="0" bestFit="1" customWidth="1"/>
    <col min="2" max="2" width="7.140625" style="0" bestFit="1" customWidth="1"/>
  </cols>
  <sheetData>
    <row r="1" spans="1:2" ht="15" customHeight="1">
      <c r="A1" s="13" t="s">
        <v>998</v>
      </c>
      <c r="B1" s="13" t="s">
        <v>17</v>
      </c>
    </row>
    <row r="2" spans="1:2" ht="15">
      <c r="A2" s="81" t="s">
        <v>999</v>
      </c>
      <c r="B2" s="81" t="s">
        <v>1005</v>
      </c>
    </row>
    <row r="3" spans="1:2" ht="15">
      <c r="A3" s="82" t="s">
        <v>1000</v>
      </c>
      <c r="B3" s="81" t="s">
        <v>1006</v>
      </c>
    </row>
    <row r="4" spans="1:2" ht="15">
      <c r="A4" s="82" t="s">
        <v>1001</v>
      </c>
      <c r="B4" s="81" t="s">
        <v>1007</v>
      </c>
    </row>
    <row r="5" spans="1:2" ht="15">
      <c r="A5" s="82" t="s">
        <v>1002</v>
      </c>
      <c r="B5" s="81" t="s">
        <v>1008</v>
      </c>
    </row>
    <row r="6" spans="1:2" ht="15">
      <c r="A6" s="82" t="s">
        <v>1003</v>
      </c>
      <c r="B6" s="81" t="s">
        <v>1009</v>
      </c>
    </row>
    <row r="7" spans="1:2" ht="15">
      <c r="A7" s="82" t="s">
        <v>1004</v>
      </c>
      <c r="B7" s="81" t="s">
        <v>1006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C0C425-D7B5-4982-AB9F-34953F1CB5E9}">
  <dimension ref="A1:B11"/>
  <sheetViews>
    <sheetView workbookViewId="0" topLeftCell="A1"/>
  </sheetViews>
  <sheetFormatPr defaultColWidth="9.140625" defaultRowHeight="15"/>
  <cols>
    <col min="1" max="1" width="42.140625" style="0" bestFit="1" customWidth="1"/>
    <col min="2" max="2" width="20.7109375" style="0" bestFit="1" customWidth="1"/>
  </cols>
  <sheetData>
    <row r="1" spans="1:2" ht="15" customHeight="1">
      <c r="A1" s="13" t="s">
        <v>1010</v>
      </c>
      <c r="B1" s="13" t="s">
        <v>34</v>
      </c>
    </row>
    <row r="2" spans="1:2" ht="15">
      <c r="A2" s="107" t="s">
        <v>290</v>
      </c>
      <c r="B2" s="81">
        <v>715.333333</v>
      </c>
    </row>
    <row r="3" spans="1:2" ht="15">
      <c r="A3" s="110" t="s">
        <v>291</v>
      </c>
      <c r="B3" s="81">
        <v>715.333333</v>
      </c>
    </row>
    <row r="4" spans="1:2" ht="15">
      <c r="A4" s="110" t="s">
        <v>289</v>
      </c>
      <c r="B4" s="81">
        <v>715.333333</v>
      </c>
    </row>
    <row r="5" spans="1:2" ht="15">
      <c r="A5" s="110" t="s">
        <v>273</v>
      </c>
      <c r="B5" s="81">
        <v>98.157895</v>
      </c>
    </row>
    <row r="6" spans="1:2" ht="15">
      <c r="A6" s="110" t="s">
        <v>279</v>
      </c>
      <c r="B6" s="81">
        <v>98.157895</v>
      </c>
    </row>
    <row r="7" spans="1:2" ht="15">
      <c r="A7" s="110" t="s">
        <v>281</v>
      </c>
      <c r="B7" s="81">
        <v>98.157895</v>
      </c>
    </row>
    <row r="8" spans="1:2" ht="15">
      <c r="A8" s="110" t="s">
        <v>266</v>
      </c>
      <c r="B8" s="81">
        <v>98.157895</v>
      </c>
    </row>
    <row r="9" spans="1:2" ht="15">
      <c r="A9" s="110" t="s">
        <v>264</v>
      </c>
      <c r="B9" s="81">
        <v>98.157895</v>
      </c>
    </row>
    <row r="10" spans="1:2" ht="15">
      <c r="A10" s="110" t="s">
        <v>267</v>
      </c>
      <c r="B10" s="81">
        <v>98.157895</v>
      </c>
    </row>
    <row r="11" spans="1:2" ht="15">
      <c r="A11" s="110" t="s">
        <v>251</v>
      </c>
      <c r="B11" s="81">
        <v>98.157895</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53"/>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7.421875" style="3" customWidth="1"/>
    <col min="32" max="32" width="8.421875" style="3" customWidth="1"/>
    <col min="33" max="33" width="9.7109375" style="3" customWidth="1"/>
    <col min="34" max="34" width="10.140625" style="3" customWidth="1"/>
    <col min="35" max="35" width="8.28125" style="0" customWidth="1"/>
    <col min="36" max="36" width="8.140625" style="0" customWidth="1"/>
    <col min="37" max="37" width="15.57421875" style="0" customWidth="1"/>
    <col min="38" max="38" width="11.421875" style="0" customWidth="1"/>
    <col min="39" max="39" width="9.28125" style="0" customWidth="1"/>
    <col min="40" max="40" width="6.421875" style="0" customWidth="1"/>
    <col min="41" max="41" width="10.57421875" style="0" customWidth="1"/>
    <col min="42" max="42" width="13.421875" style="0" customWidth="1"/>
    <col min="43" max="43" width="10.8515625" style="0" customWidth="1"/>
    <col min="44" max="44" width="8.421875" style="0" customWidth="1"/>
    <col min="45" max="45" width="13.57421875" style="0" customWidth="1"/>
    <col min="46" max="46" width="8.8515625" style="0" customWidth="1"/>
    <col min="47" max="47" width="10.00390625" style="0" customWidth="1"/>
    <col min="48" max="48" width="7.421875" style="0" customWidth="1"/>
    <col min="49" max="49" width="17.28125" style="0" customWidth="1"/>
    <col min="50" max="50" width="8.7109375" style="0" customWidth="1"/>
    <col min="51" max="52" width="13.57421875" style="0" customWidth="1"/>
    <col min="53" max="53" width="14.7109375" style="0" customWidth="1"/>
    <col min="54" max="54" width="8.140625" style="0" customWidth="1"/>
    <col min="55" max="55" width="14.7109375" style="0" customWidth="1"/>
    <col min="56" max="56" width="16.28125" style="0" customWidth="1"/>
    <col min="57" max="57" width="15.00390625" style="0" customWidth="1"/>
    <col min="58" max="58" width="16.28125" style="0" customWidth="1"/>
    <col min="59" max="59" width="15.28125" style="0" customWidth="1"/>
    <col min="60" max="60" width="16.28125" style="0" customWidth="1"/>
    <col min="61" max="61" width="14.7109375" style="0" customWidth="1"/>
    <col min="62" max="62" width="16.28125" style="0" customWidth="1"/>
    <col min="63" max="64" width="16.57421875" style="0" customWidth="1"/>
    <col min="65" max="65" width="16.7109375" style="0" customWidth="1"/>
    <col min="66" max="66" width="20.7109375" style="0" customWidth="1"/>
    <col min="67" max="67" width="16.7109375" style="0" customWidth="1"/>
    <col min="68" max="68" width="20.7109375" style="0" customWidth="1"/>
    <col min="69" max="69" width="16.7109375" style="0" customWidth="1"/>
    <col min="70" max="70" width="20.7109375" style="0" customWidth="1"/>
    <col min="71" max="71" width="15.8515625" style="0" customWidth="1"/>
    <col min="72" max="72" width="19.140625" style="0" customWidth="1"/>
    <col min="73" max="73" width="14.5742187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75" ht="30" customHeight="1">
      <c r="A2" s="11" t="s">
        <v>5</v>
      </c>
      <c r="B2" t="s">
        <v>1017</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463</v>
      </c>
      <c r="AF2" s="13" t="s">
        <v>464</v>
      </c>
      <c r="AG2" s="13" t="s">
        <v>465</v>
      </c>
      <c r="AH2" s="13" t="s">
        <v>466</v>
      </c>
      <c r="AI2" s="13" t="s">
        <v>467</v>
      </c>
      <c r="AJ2" s="13" t="s">
        <v>468</v>
      </c>
      <c r="AK2" s="13" t="s">
        <v>469</v>
      </c>
      <c r="AL2" s="13" t="s">
        <v>470</v>
      </c>
      <c r="AM2" s="13" t="s">
        <v>471</v>
      </c>
      <c r="AN2" s="13" t="s">
        <v>472</v>
      </c>
      <c r="AO2" s="13" t="s">
        <v>473</v>
      </c>
      <c r="AP2" s="13" t="s">
        <v>474</v>
      </c>
      <c r="AQ2" s="13" t="s">
        <v>475</v>
      </c>
      <c r="AR2" s="13" t="s">
        <v>476</v>
      </c>
      <c r="AS2" s="13" t="s">
        <v>477</v>
      </c>
      <c r="AT2" s="13" t="s">
        <v>478</v>
      </c>
      <c r="AU2" s="13" t="s">
        <v>231</v>
      </c>
      <c r="AV2" s="13" t="s">
        <v>479</v>
      </c>
      <c r="AW2" s="13" t="s">
        <v>480</v>
      </c>
      <c r="AX2" s="13" t="s">
        <v>481</v>
      </c>
      <c r="AY2" s="13" t="s">
        <v>482</v>
      </c>
      <c r="AZ2" s="13" t="s">
        <v>483</v>
      </c>
      <c r="BA2" s="13" t="s">
        <v>484</v>
      </c>
      <c r="BB2" s="13" t="s">
        <v>713</v>
      </c>
      <c r="BC2" s="111" t="s">
        <v>813</v>
      </c>
      <c r="BD2" s="111" t="s">
        <v>814</v>
      </c>
      <c r="BE2" s="111" t="s">
        <v>815</v>
      </c>
      <c r="BF2" s="111" t="s">
        <v>816</v>
      </c>
      <c r="BG2" s="111" t="s">
        <v>817</v>
      </c>
      <c r="BH2" s="111" t="s">
        <v>818</v>
      </c>
      <c r="BI2" s="111" t="s">
        <v>819</v>
      </c>
      <c r="BJ2" s="111" t="s">
        <v>858</v>
      </c>
      <c r="BK2" s="111" t="s">
        <v>861</v>
      </c>
      <c r="BL2" s="111" t="s">
        <v>900</v>
      </c>
      <c r="BM2" s="111" t="s">
        <v>966</v>
      </c>
      <c r="BN2" s="111" t="s">
        <v>967</v>
      </c>
      <c r="BO2" s="111" t="s">
        <v>968</v>
      </c>
      <c r="BP2" s="111" t="s">
        <v>969</v>
      </c>
      <c r="BQ2" s="111" t="s">
        <v>970</v>
      </c>
      <c r="BR2" s="111" t="s">
        <v>971</v>
      </c>
      <c r="BS2" s="111" t="s">
        <v>972</v>
      </c>
      <c r="BT2" s="111" t="s">
        <v>973</v>
      </c>
      <c r="BU2" s="111" t="s">
        <v>975</v>
      </c>
      <c r="BV2" s="3"/>
      <c r="BW2" s="3"/>
    </row>
    <row r="3" spans="1:75" ht="41.45" customHeight="1">
      <c r="A3" s="66" t="s">
        <v>251</v>
      </c>
      <c r="C3" s="67"/>
      <c r="D3" s="67" t="s">
        <v>64</v>
      </c>
      <c r="E3" s="68">
        <v>181.5375039043327</v>
      </c>
      <c r="F3" s="70">
        <v>99.8782514815649</v>
      </c>
      <c r="G3" s="105" t="str">
        <f>HYPERLINK("https://pbs.twimg.com/profile_images/1445467732405719049/_0Te1Ayn_normal.jpg")</f>
        <v>https://pbs.twimg.com/profile_images/1445467732405719049/_0Te1Ayn_normal.jpg</v>
      </c>
      <c r="H3" s="67"/>
      <c r="I3" s="71" t="s">
        <v>251</v>
      </c>
      <c r="J3" s="72"/>
      <c r="K3" s="72"/>
      <c r="L3" s="71" t="s">
        <v>703</v>
      </c>
      <c r="M3" s="75">
        <v>41.574722910469205</v>
      </c>
      <c r="N3" s="76">
        <v>7603.0732421875</v>
      </c>
      <c r="O3" s="76">
        <v>1891.2581787109375</v>
      </c>
      <c r="P3" s="77"/>
      <c r="Q3" s="78"/>
      <c r="R3" s="78"/>
      <c r="S3" s="49"/>
      <c r="T3" s="49">
        <v>0</v>
      </c>
      <c r="U3" s="49">
        <v>4</v>
      </c>
      <c r="V3" s="50">
        <v>98.157895</v>
      </c>
      <c r="W3" s="50">
        <v>0.009524</v>
      </c>
      <c r="X3" s="50">
        <v>0.018226</v>
      </c>
      <c r="Y3" s="50">
        <v>0.836867</v>
      </c>
      <c r="Z3" s="50">
        <v>0</v>
      </c>
      <c r="AA3" s="50">
        <v>0</v>
      </c>
      <c r="AB3" s="73">
        <v>3</v>
      </c>
      <c r="AC3" s="73"/>
      <c r="AD3" s="74"/>
      <c r="AE3" s="81" t="s">
        <v>534</v>
      </c>
      <c r="AF3" s="90" t="s">
        <v>578</v>
      </c>
      <c r="AG3" s="81">
        <v>1696</v>
      </c>
      <c r="AH3" s="81">
        <v>1048</v>
      </c>
      <c r="AI3" s="81">
        <v>65768</v>
      </c>
      <c r="AJ3" s="81">
        <v>146573</v>
      </c>
      <c r="AK3" s="81"/>
      <c r="AL3" s="81" t="s">
        <v>623</v>
      </c>
      <c r="AM3" s="81" t="s">
        <v>651</v>
      </c>
      <c r="AN3" s="81"/>
      <c r="AO3" s="81"/>
      <c r="AP3" s="83">
        <v>43066.399201388886</v>
      </c>
      <c r="AQ3" s="87" t="str">
        <f>HYPERLINK("https://pbs.twimg.com/profile_banners/935079461300719616/1511823474")</f>
        <v>https://pbs.twimg.com/profile_banners/935079461300719616/1511823474</v>
      </c>
      <c r="AR3" s="81" t="b">
        <v>1</v>
      </c>
      <c r="AS3" s="81" t="b">
        <v>0</v>
      </c>
      <c r="AT3" s="81" t="b">
        <v>0</v>
      </c>
      <c r="AU3" s="81"/>
      <c r="AV3" s="81">
        <v>15</v>
      </c>
      <c r="AW3" s="81"/>
      <c r="AX3" s="81" t="b">
        <v>0</v>
      </c>
      <c r="AY3" s="81" t="s">
        <v>652</v>
      </c>
      <c r="AZ3" s="87" t="str">
        <f>HYPERLINK("https://twitter.com/captainswoop1")</f>
        <v>https://twitter.com/captainswoop1</v>
      </c>
      <c r="BA3" s="81" t="s">
        <v>66</v>
      </c>
      <c r="BB3" s="81" t="str">
        <f>REPLACE(INDEX(GroupVertices[Group],MATCH(Vertices[[#This Row],[Vertex]],GroupVertices[Vertex],0)),1,1,"")</f>
        <v>4</v>
      </c>
      <c r="BC3" s="49"/>
      <c r="BD3" s="49"/>
      <c r="BE3" s="49"/>
      <c r="BF3" s="49"/>
      <c r="BG3" s="49"/>
      <c r="BH3" s="49"/>
      <c r="BI3" s="112" t="s">
        <v>820</v>
      </c>
      <c r="BJ3" s="112" t="s">
        <v>820</v>
      </c>
      <c r="BK3" s="112" t="s">
        <v>862</v>
      </c>
      <c r="BL3" s="112" t="s">
        <v>862</v>
      </c>
      <c r="BM3" s="112">
        <v>0</v>
      </c>
      <c r="BN3" s="115">
        <v>0</v>
      </c>
      <c r="BO3" s="112">
        <v>0</v>
      </c>
      <c r="BP3" s="115">
        <v>0</v>
      </c>
      <c r="BQ3" s="112">
        <v>0</v>
      </c>
      <c r="BR3" s="115">
        <v>0</v>
      </c>
      <c r="BS3" s="112">
        <v>10</v>
      </c>
      <c r="BT3" s="115">
        <v>100</v>
      </c>
      <c r="BU3" s="112">
        <v>10</v>
      </c>
      <c r="BV3" s="3"/>
      <c r="BW3" s="3"/>
    </row>
    <row r="4" spans="1:78" ht="41.45" customHeight="1">
      <c r="A4" s="66" t="s">
        <v>301</v>
      </c>
      <c r="C4" s="67"/>
      <c r="D4" s="67" t="s">
        <v>64</v>
      </c>
      <c r="E4" s="68">
        <v>273.2983356387488</v>
      </c>
      <c r="F4" s="70">
        <v>99.3064412150774</v>
      </c>
      <c r="G4" s="105" t="str">
        <f>HYPERLINK("https://pbs.twimg.com/profile_images/878292687279017985/nhJt7dq1_normal.jpg")</f>
        <v>https://pbs.twimg.com/profile_images/878292687279017985/nhJt7dq1_normal.jpg</v>
      </c>
      <c r="H4" s="67"/>
      <c r="I4" s="71" t="s">
        <v>301</v>
      </c>
      <c r="J4" s="72"/>
      <c r="K4" s="72"/>
      <c r="L4" s="71" t="s">
        <v>653</v>
      </c>
      <c r="M4" s="75">
        <v>232.14002438853893</v>
      </c>
      <c r="N4" s="76">
        <v>7603.0732421875</v>
      </c>
      <c r="O4" s="76">
        <v>849.6957397460938</v>
      </c>
      <c r="P4" s="77"/>
      <c r="Q4" s="78"/>
      <c r="R4" s="78"/>
      <c r="S4" s="91"/>
      <c r="T4" s="49">
        <v>1</v>
      </c>
      <c r="U4" s="49">
        <v>0</v>
      </c>
      <c r="V4" s="50">
        <v>0</v>
      </c>
      <c r="W4" s="50">
        <v>0.006494</v>
      </c>
      <c r="X4" s="50">
        <v>0.001602</v>
      </c>
      <c r="Y4" s="50">
        <v>0.327834</v>
      </c>
      <c r="Z4" s="50">
        <v>0</v>
      </c>
      <c r="AA4" s="50">
        <v>0</v>
      </c>
      <c r="AB4" s="73">
        <v>4</v>
      </c>
      <c r="AC4" s="73"/>
      <c r="AD4" s="74"/>
      <c r="AE4" s="81" t="s">
        <v>485</v>
      </c>
      <c r="AF4" s="90" t="s">
        <v>535</v>
      </c>
      <c r="AG4" s="81">
        <v>1365</v>
      </c>
      <c r="AH4" s="81">
        <v>5956</v>
      </c>
      <c r="AI4" s="81">
        <v>109701</v>
      </c>
      <c r="AJ4" s="81">
        <v>61542</v>
      </c>
      <c r="AK4" s="81"/>
      <c r="AL4" s="81" t="s">
        <v>579</v>
      </c>
      <c r="AM4" s="81" t="s">
        <v>624</v>
      </c>
      <c r="AN4" s="87" t="str">
        <f>HYPERLINK("https://t.co/8bcMCjJdee")</f>
        <v>https://t.co/8bcMCjJdee</v>
      </c>
      <c r="AO4" s="81"/>
      <c r="AP4" s="83">
        <v>42909.69310185185</v>
      </c>
      <c r="AQ4" s="87" t="str">
        <f>HYPERLINK("https://pbs.twimg.com/profile_banners/878291073226993664/1632084763")</f>
        <v>https://pbs.twimg.com/profile_banners/878291073226993664/1632084763</v>
      </c>
      <c r="AR4" s="81" t="b">
        <v>1</v>
      </c>
      <c r="AS4" s="81" t="b">
        <v>0</v>
      </c>
      <c r="AT4" s="81" t="b">
        <v>0</v>
      </c>
      <c r="AU4" s="81"/>
      <c r="AV4" s="81">
        <v>17</v>
      </c>
      <c r="AW4" s="81"/>
      <c r="AX4" s="81" t="b">
        <v>0</v>
      </c>
      <c r="AY4" s="81" t="s">
        <v>652</v>
      </c>
      <c r="AZ4" s="87" t="str">
        <f>HYPERLINK("https://twitter.com/geoff_mcgivern")</f>
        <v>https://twitter.com/geoff_mcgivern</v>
      </c>
      <c r="BA4" s="81" t="s">
        <v>65</v>
      </c>
      <c r="BB4" s="81" t="str">
        <f>REPLACE(INDEX(GroupVertices[Group],MATCH(Vertices[[#This Row],[Vertex]],GroupVertices[Vertex],0)),1,1,"")</f>
        <v>4</v>
      </c>
      <c r="BC4" s="49"/>
      <c r="BD4" s="49"/>
      <c r="BE4" s="49"/>
      <c r="BF4" s="49"/>
      <c r="BG4" s="49"/>
      <c r="BH4" s="49"/>
      <c r="BI4" s="49"/>
      <c r="BJ4" s="49"/>
      <c r="BK4" s="49"/>
      <c r="BL4" s="49"/>
      <c r="BM4" s="49"/>
      <c r="BN4" s="50"/>
      <c r="BO4" s="49"/>
      <c r="BP4" s="50"/>
      <c r="BQ4" s="49"/>
      <c r="BR4" s="50"/>
      <c r="BS4" s="49"/>
      <c r="BT4" s="50"/>
      <c r="BU4" s="49"/>
      <c r="BV4" s="2"/>
      <c r="BW4" s="3"/>
      <c r="BX4" s="3"/>
      <c r="BY4" s="3"/>
      <c r="BZ4" s="3"/>
    </row>
    <row r="5" spans="1:78" ht="41.45" customHeight="1">
      <c r="A5" s="66" t="s">
        <v>290</v>
      </c>
      <c r="C5" s="67"/>
      <c r="D5" s="67" t="s">
        <v>64</v>
      </c>
      <c r="E5" s="68">
        <v>230.09147293739682</v>
      </c>
      <c r="F5" s="70">
        <v>99.57568602474582</v>
      </c>
      <c r="G5" s="105" t="str">
        <f>HYPERLINK("https://pbs.twimg.com/profile_images/1262343752179474432/vR372g9m_normal.jpg")</f>
        <v>https://pbs.twimg.com/profile_images/1262343752179474432/vR372g9m_normal.jpg</v>
      </c>
      <c r="H5" s="67"/>
      <c r="I5" s="71" t="s">
        <v>290</v>
      </c>
      <c r="J5" s="72"/>
      <c r="K5" s="72"/>
      <c r="L5" s="71" t="s">
        <v>654</v>
      </c>
      <c r="M5" s="75">
        <v>142.40970415304196</v>
      </c>
      <c r="N5" s="76">
        <v>3608.507568359375</v>
      </c>
      <c r="O5" s="76">
        <v>4857.09716796875</v>
      </c>
      <c r="P5" s="77"/>
      <c r="Q5" s="78"/>
      <c r="R5" s="78"/>
      <c r="S5" s="91"/>
      <c r="T5" s="49">
        <v>38</v>
      </c>
      <c r="U5" s="49">
        <v>0</v>
      </c>
      <c r="V5" s="50">
        <v>715.333333</v>
      </c>
      <c r="W5" s="50">
        <v>0.016129</v>
      </c>
      <c r="X5" s="50">
        <v>0.066101</v>
      </c>
      <c r="Y5" s="50">
        <v>6.091096</v>
      </c>
      <c r="Z5" s="50">
        <v>0.004267425320056899</v>
      </c>
      <c r="AA5" s="50">
        <v>0</v>
      </c>
      <c r="AB5" s="73">
        <v>5</v>
      </c>
      <c r="AC5" s="73"/>
      <c r="AD5" s="74"/>
      <c r="AE5" s="81" t="s">
        <v>486</v>
      </c>
      <c r="AF5" s="90" t="s">
        <v>536</v>
      </c>
      <c r="AG5" s="81">
        <v>1845</v>
      </c>
      <c r="AH5" s="81">
        <v>3645</v>
      </c>
      <c r="AI5" s="81">
        <v>2287</v>
      </c>
      <c r="AJ5" s="81">
        <v>254</v>
      </c>
      <c r="AK5" s="81"/>
      <c r="AL5" s="81" t="s">
        <v>580</v>
      </c>
      <c r="AM5" s="81" t="s">
        <v>451</v>
      </c>
      <c r="AN5" s="87" t="str">
        <f>HYPERLINK("https://t.co/mI7ogm7PDD")</f>
        <v>https://t.co/mI7ogm7PDD</v>
      </c>
      <c r="AO5" s="81"/>
      <c r="AP5" s="83">
        <v>42375.49359953704</v>
      </c>
      <c r="AQ5" s="87" t="str">
        <f>HYPERLINK("https://pbs.twimg.com/profile_banners/4724393176/1614951594")</f>
        <v>https://pbs.twimg.com/profile_banners/4724393176/1614951594</v>
      </c>
      <c r="AR5" s="81" t="b">
        <v>1</v>
      </c>
      <c r="AS5" s="81" t="b">
        <v>0</v>
      </c>
      <c r="AT5" s="81" t="b">
        <v>0</v>
      </c>
      <c r="AU5" s="81"/>
      <c r="AV5" s="81">
        <v>26</v>
      </c>
      <c r="AW5" s="81"/>
      <c r="AX5" s="81" t="b">
        <v>0</v>
      </c>
      <c r="AY5" s="81" t="s">
        <v>652</v>
      </c>
      <c r="AZ5" s="87" t="str">
        <f>HYPERLINK("https://twitter.com/rcgpac")</f>
        <v>https://twitter.com/rcgpac</v>
      </c>
      <c r="BA5" s="81" t="s">
        <v>65</v>
      </c>
      <c r="BB5" s="81" t="str">
        <f>REPLACE(INDEX(GroupVertices[Group],MATCH(Vertices[[#This Row],[Vertex]],GroupVertices[Vertex],0)),1,1,"")</f>
        <v>1</v>
      </c>
      <c r="BC5" s="49"/>
      <c r="BD5" s="49"/>
      <c r="BE5" s="49"/>
      <c r="BF5" s="49"/>
      <c r="BG5" s="49"/>
      <c r="BH5" s="49"/>
      <c r="BI5" s="49"/>
      <c r="BJ5" s="49"/>
      <c r="BK5" s="49"/>
      <c r="BL5" s="49"/>
      <c r="BM5" s="49"/>
      <c r="BN5" s="50"/>
      <c r="BO5" s="49"/>
      <c r="BP5" s="50"/>
      <c r="BQ5" s="49"/>
      <c r="BR5" s="50"/>
      <c r="BS5" s="49"/>
      <c r="BT5" s="50"/>
      <c r="BU5" s="49"/>
      <c r="BV5" s="2"/>
      <c r="BW5" s="3"/>
      <c r="BX5" s="3"/>
      <c r="BY5" s="3"/>
      <c r="BZ5" s="3"/>
    </row>
    <row r="6" spans="1:78" ht="41.45" customHeight="1">
      <c r="A6" s="66" t="s">
        <v>291</v>
      </c>
      <c r="C6" s="67"/>
      <c r="D6" s="67" t="s">
        <v>64</v>
      </c>
      <c r="E6" s="68">
        <v>1000</v>
      </c>
      <c r="F6" s="70">
        <v>70</v>
      </c>
      <c r="G6" s="105" t="str">
        <f>HYPERLINK("https://pbs.twimg.com/profile_images/594127224061693952/DJvO75lt_normal.jpg")</f>
        <v>https://pbs.twimg.com/profile_images/594127224061693952/DJvO75lt_normal.jpg</v>
      </c>
      <c r="H6" s="67"/>
      <c r="I6" s="71" t="s">
        <v>291</v>
      </c>
      <c r="J6" s="72"/>
      <c r="K6" s="72"/>
      <c r="L6" s="71" t="s">
        <v>655</v>
      </c>
      <c r="M6" s="75">
        <v>9999</v>
      </c>
      <c r="N6" s="76">
        <v>3465.986328125</v>
      </c>
      <c r="O6" s="76">
        <v>4610.01171875</v>
      </c>
      <c r="P6" s="77"/>
      <c r="Q6" s="78"/>
      <c r="R6" s="78"/>
      <c r="S6" s="91"/>
      <c r="T6" s="49">
        <v>38</v>
      </c>
      <c r="U6" s="49">
        <v>0</v>
      </c>
      <c r="V6" s="50">
        <v>715.333333</v>
      </c>
      <c r="W6" s="50">
        <v>0.016129</v>
      </c>
      <c r="X6" s="50">
        <v>0.066101</v>
      </c>
      <c r="Y6" s="50">
        <v>6.091096</v>
      </c>
      <c r="Z6" s="50">
        <v>0.004267425320056899</v>
      </c>
      <c r="AA6" s="50">
        <v>0</v>
      </c>
      <c r="AB6" s="73">
        <v>6</v>
      </c>
      <c r="AC6" s="73"/>
      <c r="AD6" s="74"/>
      <c r="AE6" s="81" t="s">
        <v>487</v>
      </c>
      <c r="AF6" s="90" t="s">
        <v>537</v>
      </c>
      <c r="AG6" s="81">
        <v>1024</v>
      </c>
      <c r="AH6" s="81">
        <v>257501</v>
      </c>
      <c r="AI6" s="81">
        <v>10197</v>
      </c>
      <c r="AJ6" s="81">
        <v>1484</v>
      </c>
      <c r="AK6" s="81"/>
      <c r="AL6" s="81" t="s">
        <v>581</v>
      </c>
      <c r="AM6" s="81" t="s">
        <v>625</v>
      </c>
      <c r="AN6" s="87" t="str">
        <f>HYPERLINK("https://t.co/H3vlkKwUI8")</f>
        <v>https://t.co/H3vlkKwUI8</v>
      </c>
      <c r="AO6" s="81"/>
      <c r="AP6" s="83">
        <v>39848.566354166665</v>
      </c>
      <c r="AQ6" s="87" t="str">
        <f>HYPERLINK("https://pbs.twimg.com/profile_banners/20052899/1625579929")</f>
        <v>https://pbs.twimg.com/profile_banners/20052899/1625579929</v>
      </c>
      <c r="AR6" s="81" t="b">
        <v>1</v>
      </c>
      <c r="AS6" s="81" t="b">
        <v>0</v>
      </c>
      <c r="AT6" s="81" t="b">
        <v>1</v>
      </c>
      <c r="AU6" s="81"/>
      <c r="AV6" s="81">
        <v>1811</v>
      </c>
      <c r="AW6" s="87" t="str">
        <f>HYPERLINK("https://abs.twimg.com/images/themes/theme1/bg.png")</f>
        <v>https://abs.twimg.com/images/themes/theme1/bg.png</v>
      </c>
      <c r="AX6" s="81" t="b">
        <v>1</v>
      </c>
      <c r="AY6" s="81" t="s">
        <v>652</v>
      </c>
      <c r="AZ6" s="87" t="str">
        <f>HYPERLINK("https://twitter.com/sajidjavid")</f>
        <v>https://twitter.com/sajidjavid</v>
      </c>
      <c r="BA6" s="81" t="s">
        <v>65</v>
      </c>
      <c r="BB6" s="81" t="str">
        <f>REPLACE(INDEX(GroupVertices[Group],MATCH(Vertices[[#This Row],[Vertex]],GroupVertices[Vertex],0)),1,1,"")</f>
        <v>1</v>
      </c>
      <c r="BC6" s="49"/>
      <c r="BD6" s="49"/>
      <c r="BE6" s="49"/>
      <c r="BF6" s="49"/>
      <c r="BG6" s="49"/>
      <c r="BH6" s="49"/>
      <c r="BI6" s="49"/>
      <c r="BJ6" s="49"/>
      <c r="BK6" s="49"/>
      <c r="BL6" s="49"/>
      <c r="BM6" s="49"/>
      <c r="BN6" s="50"/>
      <c r="BO6" s="49"/>
      <c r="BP6" s="50"/>
      <c r="BQ6" s="49"/>
      <c r="BR6" s="50"/>
      <c r="BS6" s="49"/>
      <c r="BT6" s="50"/>
      <c r="BU6" s="49"/>
      <c r="BV6" s="2"/>
      <c r="BW6" s="3"/>
      <c r="BX6" s="3"/>
      <c r="BY6" s="3"/>
      <c r="BZ6" s="3"/>
    </row>
    <row r="7" spans="1:78" ht="41.45" customHeight="1">
      <c r="A7" s="66" t="s">
        <v>289</v>
      </c>
      <c r="C7" s="67"/>
      <c r="D7" s="67" t="s">
        <v>64</v>
      </c>
      <c r="E7" s="68">
        <v>167.047967515952</v>
      </c>
      <c r="F7" s="70">
        <v>99.96854344499764</v>
      </c>
      <c r="G7" s="105" t="str">
        <f>HYPERLINK("https://pbs.twimg.com/profile_images/845241188273836032/tajm0Voa_normal.jpg")</f>
        <v>https://pbs.twimg.com/profile_images/845241188273836032/tajm0Voa_normal.jpg</v>
      </c>
      <c r="H7" s="67"/>
      <c r="I7" s="71" t="s">
        <v>289</v>
      </c>
      <c r="J7" s="72"/>
      <c r="K7" s="72"/>
      <c r="L7" s="71" t="s">
        <v>656</v>
      </c>
      <c r="M7" s="75">
        <v>11.483421230456159</v>
      </c>
      <c r="N7" s="76">
        <v>3387.56591796875</v>
      </c>
      <c r="O7" s="76">
        <v>4915.11328125</v>
      </c>
      <c r="P7" s="77"/>
      <c r="Q7" s="78"/>
      <c r="R7" s="78"/>
      <c r="S7" s="91"/>
      <c r="T7" s="49">
        <v>39</v>
      </c>
      <c r="U7" s="49">
        <v>1</v>
      </c>
      <c r="V7" s="50">
        <v>715.333333</v>
      </c>
      <c r="W7" s="50">
        <v>0.016129</v>
      </c>
      <c r="X7" s="50">
        <v>0.072505</v>
      </c>
      <c r="Y7" s="50">
        <v>6.226808</v>
      </c>
      <c r="Z7" s="50">
        <v>0.004267425320056899</v>
      </c>
      <c r="AA7" s="50">
        <v>0</v>
      </c>
      <c r="AB7" s="73">
        <v>7</v>
      </c>
      <c r="AC7" s="73"/>
      <c r="AD7" s="74"/>
      <c r="AE7" s="81" t="s">
        <v>488</v>
      </c>
      <c r="AF7" s="90" t="s">
        <v>432</v>
      </c>
      <c r="AG7" s="81">
        <v>456</v>
      </c>
      <c r="AH7" s="81">
        <v>273</v>
      </c>
      <c r="AI7" s="81">
        <v>518</v>
      </c>
      <c r="AJ7" s="81">
        <v>762</v>
      </c>
      <c r="AK7" s="81"/>
      <c r="AL7" s="81" t="s">
        <v>582</v>
      </c>
      <c r="AM7" s="81" t="s">
        <v>455</v>
      </c>
      <c r="AN7" s="81"/>
      <c r="AO7" s="81"/>
      <c r="AP7" s="83">
        <v>41650.799409722225</v>
      </c>
      <c r="AQ7" s="87" t="str">
        <f>HYPERLINK("https://pbs.twimg.com/profile_banners/2287071415/1634232245")</f>
        <v>https://pbs.twimg.com/profile_banners/2287071415/1634232245</v>
      </c>
      <c r="AR7" s="81" t="b">
        <v>0</v>
      </c>
      <c r="AS7" s="81" t="b">
        <v>0</v>
      </c>
      <c r="AT7" s="81" t="b">
        <v>1</v>
      </c>
      <c r="AU7" s="81"/>
      <c r="AV7" s="81">
        <v>5</v>
      </c>
      <c r="AW7" s="87" t="str">
        <f>HYPERLINK("https://abs.twimg.com/images/themes/theme1/bg.png")</f>
        <v>https://abs.twimg.com/images/themes/theme1/bg.png</v>
      </c>
      <c r="AX7" s="81" t="b">
        <v>0</v>
      </c>
      <c r="AY7" s="81" t="s">
        <v>652</v>
      </c>
      <c r="AZ7" s="87" t="str">
        <f>HYPERLINK("https://twitter.com/euanstrachanorr")</f>
        <v>https://twitter.com/euanstrachanorr</v>
      </c>
      <c r="BA7" s="81" t="s">
        <v>66</v>
      </c>
      <c r="BB7" s="81" t="str">
        <f>REPLACE(INDEX(GroupVertices[Group],MATCH(Vertices[[#This Row],[Vertex]],GroupVertices[Vertex],0)),1,1,"")</f>
        <v>1</v>
      </c>
      <c r="BC7" s="49"/>
      <c r="BD7" s="49"/>
      <c r="BE7" s="49"/>
      <c r="BF7" s="49"/>
      <c r="BG7" s="49"/>
      <c r="BH7" s="49"/>
      <c r="BI7" s="112" t="s">
        <v>821</v>
      </c>
      <c r="BJ7" s="112" t="s">
        <v>821</v>
      </c>
      <c r="BK7" s="112" t="s">
        <v>863</v>
      </c>
      <c r="BL7" s="112" t="s">
        <v>863</v>
      </c>
      <c r="BM7" s="112">
        <v>2</v>
      </c>
      <c r="BN7" s="115">
        <v>3.7735849056603774</v>
      </c>
      <c r="BO7" s="112">
        <v>1</v>
      </c>
      <c r="BP7" s="115">
        <v>1.8867924528301887</v>
      </c>
      <c r="BQ7" s="112">
        <v>0</v>
      </c>
      <c r="BR7" s="115">
        <v>0</v>
      </c>
      <c r="BS7" s="112">
        <v>50</v>
      </c>
      <c r="BT7" s="115">
        <v>94.33962264150944</v>
      </c>
      <c r="BU7" s="112">
        <v>53</v>
      </c>
      <c r="BV7" s="2"/>
      <c r="BW7" s="3"/>
      <c r="BX7" s="3"/>
      <c r="BY7" s="3"/>
      <c r="BZ7" s="3"/>
    </row>
    <row r="8" spans="1:78" ht="41.45" customHeight="1">
      <c r="A8" s="66" t="s">
        <v>252</v>
      </c>
      <c r="C8" s="67"/>
      <c r="D8" s="67" t="s">
        <v>64</v>
      </c>
      <c r="E8" s="68">
        <v>167.3658025076971</v>
      </c>
      <c r="F8" s="70">
        <v>99.96656284709007</v>
      </c>
      <c r="G8" s="105" t="str">
        <f>HYPERLINK("https://pbs.twimg.com/profile_images/1147189389883314176/IVBeucq3_normal.jpg")</f>
        <v>https://pbs.twimg.com/profile_images/1147189389883314176/IVBeucq3_normal.jpg</v>
      </c>
      <c r="H8" s="67"/>
      <c r="I8" s="71" t="s">
        <v>252</v>
      </c>
      <c r="J8" s="72"/>
      <c r="K8" s="72"/>
      <c r="L8" s="71" t="s">
        <v>657</v>
      </c>
      <c r="M8" s="75">
        <v>12.143488493114509</v>
      </c>
      <c r="N8" s="76">
        <v>8775.658203125</v>
      </c>
      <c r="O8" s="76">
        <v>4167.052734375</v>
      </c>
      <c r="P8" s="77"/>
      <c r="Q8" s="78"/>
      <c r="R8" s="78"/>
      <c r="S8" s="91"/>
      <c r="T8" s="49">
        <v>0</v>
      </c>
      <c r="U8" s="49">
        <v>6</v>
      </c>
      <c r="V8" s="50">
        <v>4.824561</v>
      </c>
      <c r="W8" s="50">
        <v>0.009709</v>
      </c>
      <c r="X8" s="50">
        <v>0.025068</v>
      </c>
      <c r="Y8" s="50">
        <v>0.960077</v>
      </c>
      <c r="Z8" s="50">
        <v>0.3</v>
      </c>
      <c r="AA8" s="50">
        <v>0</v>
      </c>
      <c r="AB8" s="73">
        <v>8</v>
      </c>
      <c r="AC8" s="73"/>
      <c r="AD8" s="74"/>
      <c r="AE8" s="81" t="s">
        <v>489</v>
      </c>
      <c r="AF8" s="90" t="s">
        <v>538</v>
      </c>
      <c r="AG8" s="81">
        <v>1166</v>
      </c>
      <c r="AH8" s="81">
        <v>290</v>
      </c>
      <c r="AI8" s="81">
        <v>3388</v>
      </c>
      <c r="AJ8" s="81">
        <v>33800</v>
      </c>
      <c r="AK8" s="81"/>
      <c r="AL8" s="81" t="s">
        <v>583</v>
      </c>
      <c r="AM8" s="81"/>
      <c r="AN8" s="87" t="str">
        <f>HYPERLINK("https://t.co/d9bThYFekL")</f>
        <v>https://t.co/d9bThYFekL</v>
      </c>
      <c r="AO8" s="81"/>
      <c r="AP8" s="83">
        <v>43651.693564814814</v>
      </c>
      <c r="AQ8" s="87" t="str">
        <f>HYPERLINK("https://pbs.twimg.com/profile_banners/1147183038641651712/1578141057")</f>
        <v>https://pbs.twimg.com/profile_banners/1147183038641651712/1578141057</v>
      </c>
      <c r="AR8" s="81" t="b">
        <v>1</v>
      </c>
      <c r="AS8" s="81" t="b">
        <v>0</v>
      </c>
      <c r="AT8" s="81" t="b">
        <v>0</v>
      </c>
      <c r="AU8" s="81"/>
      <c r="AV8" s="81">
        <v>0</v>
      </c>
      <c r="AW8" s="81"/>
      <c r="AX8" s="81" t="b">
        <v>0</v>
      </c>
      <c r="AY8" s="81" t="s">
        <v>652</v>
      </c>
      <c r="AZ8" s="87" t="str">
        <f>HYPERLINK("https://twitter.com/robstewauthor")</f>
        <v>https://twitter.com/robstewauthor</v>
      </c>
      <c r="BA8" s="81" t="s">
        <v>66</v>
      </c>
      <c r="BB8" s="81" t="str">
        <f>REPLACE(INDEX(GroupVertices[Group],MATCH(Vertices[[#This Row],[Vertex]],GroupVertices[Vertex],0)),1,1,"")</f>
        <v>2</v>
      </c>
      <c r="BC8" s="49"/>
      <c r="BD8" s="49"/>
      <c r="BE8" s="49"/>
      <c r="BF8" s="49"/>
      <c r="BG8" s="49"/>
      <c r="BH8" s="49"/>
      <c r="BI8" s="112" t="s">
        <v>822</v>
      </c>
      <c r="BJ8" s="112" t="s">
        <v>822</v>
      </c>
      <c r="BK8" s="112" t="s">
        <v>864</v>
      </c>
      <c r="BL8" s="112" t="s">
        <v>864</v>
      </c>
      <c r="BM8" s="112">
        <v>1</v>
      </c>
      <c r="BN8" s="115">
        <v>12.5</v>
      </c>
      <c r="BO8" s="112">
        <v>0</v>
      </c>
      <c r="BP8" s="115">
        <v>0</v>
      </c>
      <c r="BQ8" s="112">
        <v>0</v>
      </c>
      <c r="BR8" s="115">
        <v>0</v>
      </c>
      <c r="BS8" s="112">
        <v>7</v>
      </c>
      <c r="BT8" s="115">
        <v>87.5</v>
      </c>
      <c r="BU8" s="112">
        <v>8</v>
      </c>
      <c r="BV8" s="2"/>
      <c r="BW8" s="3"/>
      <c r="BX8" s="3"/>
      <c r="BY8" s="3"/>
      <c r="BZ8" s="3"/>
    </row>
    <row r="9" spans="1:78" ht="41.45" customHeight="1">
      <c r="A9" s="66" t="s">
        <v>292</v>
      </c>
      <c r="C9" s="67"/>
      <c r="D9" s="67" t="s">
        <v>64</v>
      </c>
      <c r="E9" s="68">
        <v>1000</v>
      </c>
      <c r="F9" s="70">
        <v>74.36395622490272</v>
      </c>
      <c r="G9" s="105" t="str">
        <f>HYPERLINK("https://pbs.twimg.com/profile_images/882703409832497152/4Vf4OKQs_normal.jpg")</f>
        <v>https://pbs.twimg.com/profile_images/882703409832497152/4Vf4OKQs_normal.jpg</v>
      </c>
      <c r="H9" s="67"/>
      <c r="I9" s="71" t="s">
        <v>292</v>
      </c>
      <c r="J9" s="72"/>
      <c r="K9" s="72"/>
      <c r="L9" s="71" t="s">
        <v>658</v>
      </c>
      <c r="M9" s="75">
        <v>8544.638855447422</v>
      </c>
      <c r="N9" s="76">
        <v>8319.720703125</v>
      </c>
      <c r="O9" s="76">
        <v>6351.4072265625</v>
      </c>
      <c r="P9" s="77"/>
      <c r="Q9" s="78"/>
      <c r="R9" s="78"/>
      <c r="S9" s="91"/>
      <c r="T9" s="49">
        <v>15</v>
      </c>
      <c r="U9" s="49">
        <v>0</v>
      </c>
      <c r="V9" s="50">
        <v>50</v>
      </c>
      <c r="W9" s="50">
        <v>0.007937</v>
      </c>
      <c r="X9" s="50">
        <v>0.029113</v>
      </c>
      <c r="Y9" s="50">
        <v>2.291432</v>
      </c>
      <c r="Z9" s="50">
        <v>0.023809523809523808</v>
      </c>
      <c r="AA9" s="50">
        <v>0</v>
      </c>
      <c r="AB9" s="73">
        <v>9</v>
      </c>
      <c r="AC9" s="73"/>
      <c r="AD9" s="74"/>
      <c r="AE9" s="81" t="s">
        <v>490</v>
      </c>
      <c r="AF9" s="90" t="s">
        <v>539</v>
      </c>
      <c r="AG9" s="81">
        <v>2461</v>
      </c>
      <c r="AH9" s="81">
        <v>220044</v>
      </c>
      <c r="AI9" s="81">
        <v>31430</v>
      </c>
      <c r="AJ9" s="81">
        <v>68513</v>
      </c>
      <c r="AK9" s="81"/>
      <c r="AL9" s="81" t="s">
        <v>584</v>
      </c>
      <c r="AM9" s="81" t="s">
        <v>626</v>
      </c>
      <c r="AN9" s="87" t="str">
        <f>HYPERLINK("https://t.co/pIzwNrdZEE")</f>
        <v>https://t.co/pIzwNrdZEE</v>
      </c>
      <c r="AO9" s="81"/>
      <c r="AP9" s="83">
        <v>42204.62037037037</v>
      </c>
      <c r="AQ9" s="87" t="str">
        <f>HYPERLINK("https://pbs.twimg.com/profile_banners/3383159573/1629230245")</f>
        <v>https://pbs.twimg.com/profile_banners/3383159573/1629230245</v>
      </c>
      <c r="AR9" s="81" t="b">
        <v>0</v>
      </c>
      <c r="AS9" s="81" t="b">
        <v>0</v>
      </c>
      <c r="AT9" s="81" t="b">
        <v>1</v>
      </c>
      <c r="AU9" s="81"/>
      <c r="AV9" s="81">
        <v>1010</v>
      </c>
      <c r="AW9" s="87" t="str">
        <f>HYPERLINK("https://abs.twimg.com/images/themes/theme1/bg.png")</f>
        <v>https://abs.twimg.com/images/themes/theme1/bg.png</v>
      </c>
      <c r="AX9" s="81" t="b">
        <v>1</v>
      </c>
      <c r="AY9" s="81" t="s">
        <v>652</v>
      </c>
      <c r="AZ9" s="87" t="str">
        <f>HYPERLINK("https://twitter.com/doctor_oxford")</f>
        <v>https://twitter.com/doctor_oxford</v>
      </c>
      <c r="BA9" s="81" t="s">
        <v>65</v>
      </c>
      <c r="BB9" s="81" t="str">
        <f>REPLACE(INDEX(GroupVertices[Group],MATCH(Vertices[[#This Row],[Vertex]],GroupVertices[Vertex],0)),1,1,"")</f>
        <v>2</v>
      </c>
      <c r="BC9" s="49"/>
      <c r="BD9" s="49"/>
      <c r="BE9" s="49"/>
      <c r="BF9" s="49"/>
      <c r="BG9" s="49"/>
      <c r="BH9" s="49"/>
      <c r="BI9" s="49"/>
      <c r="BJ9" s="49"/>
      <c r="BK9" s="49"/>
      <c r="BL9" s="49"/>
      <c r="BM9" s="49"/>
      <c r="BN9" s="50"/>
      <c r="BO9" s="49"/>
      <c r="BP9" s="50"/>
      <c r="BQ9" s="49"/>
      <c r="BR9" s="50"/>
      <c r="BS9" s="49"/>
      <c r="BT9" s="50"/>
      <c r="BU9" s="49"/>
      <c r="BV9" s="2"/>
      <c r="BW9" s="3"/>
      <c r="BX9" s="3"/>
      <c r="BY9" s="3"/>
      <c r="BZ9" s="3"/>
    </row>
    <row r="10" spans="1:78" ht="41.45" customHeight="1">
      <c r="A10" s="66" t="s">
        <v>274</v>
      </c>
      <c r="C10" s="67"/>
      <c r="D10" s="67" t="s">
        <v>64</v>
      </c>
      <c r="E10" s="68">
        <v>165.70184284503145</v>
      </c>
      <c r="F10" s="70">
        <v>99.97693185966493</v>
      </c>
      <c r="G10" s="105" t="str">
        <f>HYPERLINK("https://pbs.twimg.com/profile_images/1243265064204992513/cIp1xDVR_normal.jpg")</f>
        <v>https://pbs.twimg.com/profile_images/1243265064204992513/cIp1xDVR_normal.jpg</v>
      </c>
      <c r="H10" s="67"/>
      <c r="I10" s="71" t="s">
        <v>274</v>
      </c>
      <c r="J10" s="72"/>
      <c r="K10" s="72"/>
      <c r="L10" s="71" t="s">
        <v>659</v>
      </c>
      <c r="M10" s="75">
        <v>8.68784223566785</v>
      </c>
      <c r="N10" s="76">
        <v>8559.2744140625</v>
      </c>
      <c r="O10" s="76">
        <v>2740.953857421875</v>
      </c>
      <c r="P10" s="77"/>
      <c r="Q10" s="78"/>
      <c r="R10" s="78"/>
      <c r="S10" s="91"/>
      <c r="T10" s="49">
        <v>2</v>
      </c>
      <c r="U10" s="49">
        <v>4</v>
      </c>
      <c r="V10" s="50">
        <v>4.824561</v>
      </c>
      <c r="W10" s="50">
        <v>0.009709</v>
      </c>
      <c r="X10" s="50">
        <v>0.025068</v>
      </c>
      <c r="Y10" s="50">
        <v>0.960077</v>
      </c>
      <c r="Z10" s="50">
        <v>0.3</v>
      </c>
      <c r="AA10" s="50">
        <v>0</v>
      </c>
      <c r="AB10" s="73">
        <v>10</v>
      </c>
      <c r="AC10" s="73"/>
      <c r="AD10" s="74"/>
      <c r="AE10" s="81" t="s">
        <v>491</v>
      </c>
      <c r="AF10" s="90" t="s">
        <v>437</v>
      </c>
      <c r="AG10" s="81">
        <v>783</v>
      </c>
      <c r="AH10" s="81">
        <v>201</v>
      </c>
      <c r="AI10" s="81">
        <v>22722</v>
      </c>
      <c r="AJ10" s="81">
        <v>26057</v>
      </c>
      <c r="AK10" s="81"/>
      <c r="AL10" s="81" t="s">
        <v>585</v>
      </c>
      <c r="AM10" s="81" t="s">
        <v>627</v>
      </c>
      <c r="AN10" s="81"/>
      <c r="AO10" s="81"/>
      <c r="AP10" s="83">
        <v>40970.57297453703</v>
      </c>
      <c r="AQ10" s="87" t="str">
        <f>HYPERLINK("https://pbs.twimg.com/profile_banners/511953478/1519573604")</f>
        <v>https://pbs.twimg.com/profile_banners/511953478/1519573604</v>
      </c>
      <c r="AR10" s="81" t="b">
        <v>1</v>
      </c>
      <c r="AS10" s="81" t="b">
        <v>0</v>
      </c>
      <c r="AT10" s="81" t="b">
        <v>0</v>
      </c>
      <c r="AU10" s="81"/>
      <c r="AV10" s="81">
        <v>7</v>
      </c>
      <c r="AW10" s="87" t="str">
        <f>HYPERLINK("https://abs.twimg.com/images/themes/theme1/bg.png")</f>
        <v>https://abs.twimg.com/images/themes/theme1/bg.png</v>
      </c>
      <c r="AX10" s="81" t="b">
        <v>0</v>
      </c>
      <c r="AY10" s="81" t="s">
        <v>652</v>
      </c>
      <c r="AZ10" s="87" t="str">
        <f>HYPERLINK("https://twitter.com/arniesma")</f>
        <v>https://twitter.com/arniesma</v>
      </c>
      <c r="BA10" s="81" t="s">
        <v>66</v>
      </c>
      <c r="BB10" s="81" t="str">
        <f>REPLACE(INDEX(GroupVertices[Group],MATCH(Vertices[[#This Row],[Vertex]],GroupVertices[Vertex],0)),1,1,"")</f>
        <v>2</v>
      </c>
      <c r="BC10" s="49"/>
      <c r="BD10" s="49"/>
      <c r="BE10" s="49"/>
      <c r="BF10" s="49"/>
      <c r="BG10" s="49"/>
      <c r="BH10" s="49"/>
      <c r="BI10" s="112" t="s">
        <v>823</v>
      </c>
      <c r="BJ10" s="112" t="s">
        <v>823</v>
      </c>
      <c r="BK10" s="112" t="s">
        <v>865</v>
      </c>
      <c r="BL10" s="112" t="s">
        <v>865</v>
      </c>
      <c r="BM10" s="112">
        <v>0</v>
      </c>
      <c r="BN10" s="115">
        <v>0</v>
      </c>
      <c r="BO10" s="112">
        <v>1</v>
      </c>
      <c r="BP10" s="115">
        <v>16.666666666666668</v>
      </c>
      <c r="BQ10" s="112">
        <v>0</v>
      </c>
      <c r="BR10" s="115">
        <v>0</v>
      </c>
      <c r="BS10" s="112">
        <v>5</v>
      </c>
      <c r="BT10" s="115">
        <v>83.33333333333333</v>
      </c>
      <c r="BU10" s="112">
        <v>6</v>
      </c>
      <c r="BV10" s="2"/>
      <c r="BW10" s="3"/>
      <c r="BX10" s="3"/>
      <c r="BY10" s="3"/>
      <c r="BZ10" s="3"/>
    </row>
    <row r="11" spans="1:78" ht="41.45" customHeight="1">
      <c r="A11" s="66" t="s">
        <v>275</v>
      </c>
      <c r="C11" s="67"/>
      <c r="D11" s="67" t="s">
        <v>64</v>
      </c>
      <c r="E11" s="68">
        <v>168.0762571951274</v>
      </c>
      <c r="F11" s="70">
        <v>99.96213562823789</v>
      </c>
      <c r="G11" s="105" t="str">
        <f>HYPERLINK("https://pbs.twimg.com/profile_images/644792965760741376/CTgET9u3_normal.jpg")</f>
        <v>https://pbs.twimg.com/profile_images/644792965760741376/CTgET9u3_normal.jpg</v>
      </c>
      <c r="H11" s="67"/>
      <c r="I11" s="71" t="s">
        <v>275</v>
      </c>
      <c r="J11" s="72"/>
      <c r="K11" s="72"/>
      <c r="L11" s="71" t="s">
        <v>660</v>
      </c>
      <c r="M11" s="75">
        <v>13.618932962586117</v>
      </c>
      <c r="N11" s="76">
        <v>9326.779296875</v>
      </c>
      <c r="O11" s="76">
        <v>3633.36181640625</v>
      </c>
      <c r="P11" s="77"/>
      <c r="Q11" s="78"/>
      <c r="R11" s="78"/>
      <c r="S11" s="91"/>
      <c r="T11" s="49">
        <v>1</v>
      </c>
      <c r="U11" s="49">
        <v>5</v>
      </c>
      <c r="V11" s="50">
        <v>4.824561</v>
      </c>
      <c r="W11" s="50">
        <v>0.009709</v>
      </c>
      <c r="X11" s="50">
        <v>0.025068</v>
      </c>
      <c r="Y11" s="50">
        <v>0.960077</v>
      </c>
      <c r="Z11" s="50">
        <v>0.3</v>
      </c>
      <c r="AA11" s="50">
        <v>0</v>
      </c>
      <c r="AB11" s="73">
        <v>11</v>
      </c>
      <c r="AC11" s="73"/>
      <c r="AD11" s="74"/>
      <c r="AE11" s="81" t="s">
        <v>492</v>
      </c>
      <c r="AF11" s="90" t="s">
        <v>433</v>
      </c>
      <c r="AG11" s="81">
        <v>464</v>
      </c>
      <c r="AH11" s="81">
        <v>328</v>
      </c>
      <c r="AI11" s="81">
        <v>19141</v>
      </c>
      <c r="AJ11" s="81">
        <v>41666</v>
      </c>
      <c r="AK11" s="81"/>
      <c r="AL11" s="81" t="s">
        <v>586</v>
      </c>
      <c r="AM11" s="81" t="s">
        <v>628</v>
      </c>
      <c r="AN11" s="81"/>
      <c r="AO11" s="81"/>
      <c r="AP11" s="83">
        <v>40950.81894675926</v>
      </c>
      <c r="AQ11" s="87" t="str">
        <f>HYPERLINK("https://pbs.twimg.com/profile_banners/489682036/1570970832")</f>
        <v>https://pbs.twimg.com/profile_banners/489682036/1570970832</v>
      </c>
      <c r="AR11" s="81" t="b">
        <v>1</v>
      </c>
      <c r="AS11" s="81" t="b">
        <v>0</v>
      </c>
      <c r="AT11" s="81" t="b">
        <v>0</v>
      </c>
      <c r="AU11" s="81"/>
      <c r="AV11" s="81">
        <v>5</v>
      </c>
      <c r="AW11" s="87" t="str">
        <f>HYPERLINK("https://abs.twimg.com/images/themes/theme1/bg.png")</f>
        <v>https://abs.twimg.com/images/themes/theme1/bg.png</v>
      </c>
      <c r="AX11" s="81" t="b">
        <v>0</v>
      </c>
      <c r="AY11" s="81" t="s">
        <v>652</v>
      </c>
      <c r="AZ11" s="87" t="str">
        <f>HYPERLINK("https://twitter.com/weesnowie")</f>
        <v>https://twitter.com/weesnowie</v>
      </c>
      <c r="BA11" s="81" t="s">
        <v>66</v>
      </c>
      <c r="BB11" s="81" t="str">
        <f>REPLACE(INDEX(GroupVertices[Group],MATCH(Vertices[[#This Row],[Vertex]],GroupVertices[Vertex],0)),1,1,"")</f>
        <v>2</v>
      </c>
      <c r="BC11" s="49"/>
      <c r="BD11" s="49"/>
      <c r="BE11" s="49"/>
      <c r="BF11" s="49"/>
      <c r="BG11" s="49"/>
      <c r="BH11" s="49"/>
      <c r="BI11" s="112" t="s">
        <v>824</v>
      </c>
      <c r="BJ11" s="112" t="s">
        <v>824</v>
      </c>
      <c r="BK11" s="112" t="s">
        <v>866</v>
      </c>
      <c r="BL11" s="112" t="s">
        <v>866</v>
      </c>
      <c r="BM11" s="112">
        <v>0</v>
      </c>
      <c r="BN11" s="115">
        <v>0</v>
      </c>
      <c r="BO11" s="112">
        <v>1</v>
      </c>
      <c r="BP11" s="115">
        <v>2.7027027027027026</v>
      </c>
      <c r="BQ11" s="112">
        <v>0</v>
      </c>
      <c r="BR11" s="115">
        <v>0</v>
      </c>
      <c r="BS11" s="112">
        <v>36</v>
      </c>
      <c r="BT11" s="115">
        <v>97.29729729729729</v>
      </c>
      <c r="BU11" s="112">
        <v>37</v>
      </c>
      <c r="BV11" s="2"/>
      <c r="BW11" s="3"/>
      <c r="BX11" s="3"/>
      <c r="BY11" s="3"/>
      <c r="BZ11" s="3"/>
    </row>
    <row r="12" spans="1:78" ht="41.45" customHeight="1">
      <c r="A12" s="66" t="s">
        <v>253</v>
      </c>
      <c r="C12" s="67"/>
      <c r="D12" s="67" t="s">
        <v>64</v>
      </c>
      <c r="E12" s="68">
        <v>167.8519030833073</v>
      </c>
      <c r="F12" s="70">
        <v>99.9635336973491</v>
      </c>
      <c r="G12" s="105" t="str">
        <f>HYPERLINK("https://pbs.twimg.com/profile_images/1444609130598109185/3aVUaMt4_normal.jpg")</f>
        <v>https://pbs.twimg.com/profile_images/1444609130598109185/3aVUaMt4_normal.jpg</v>
      </c>
      <c r="H12" s="67"/>
      <c r="I12" s="71" t="s">
        <v>253</v>
      </c>
      <c r="J12" s="72"/>
      <c r="K12" s="72"/>
      <c r="L12" s="71" t="s">
        <v>661</v>
      </c>
      <c r="M12" s="75">
        <v>13.1530031301214</v>
      </c>
      <c r="N12" s="76">
        <v>4945.90673828125</v>
      </c>
      <c r="O12" s="76">
        <v>4821.8759765625</v>
      </c>
      <c r="P12" s="77"/>
      <c r="Q12" s="78"/>
      <c r="R12" s="78"/>
      <c r="S12" s="91"/>
      <c r="T12" s="49">
        <v>0</v>
      </c>
      <c r="U12" s="49">
        <v>3</v>
      </c>
      <c r="V12" s="50">
        <v>0.157895</v>
      </c>
      <c r="W12" s="50">
        <v>0.009346</v>
      </c>
      <c r="X12" s="50">
        <v>0.018085</v>
      </c>
      <c r="Y12" s="50">
        <v>0.558208</v>
      </c>
      <c r="Z12" s="50">
        <v>0</v>
      </c>
      <c r="AA12" s="50">
        <v>0</v>
      </c>
      <c r="AB12" s="73">
        <v>12</v>
      </c>
      <c r="AC12" s="73"/>
      <c r="AD12" s="74"/>
      <c r="AE12" s="81" t="s">
        <v>493</v>
      </c>
      <c r="AF12" s="90" t="s">
        <v>540</v>
      </c>
      <c r="AG12" s="81">
        <v>887</v>
      </c>
      <c r="AH12" s="81">
        <v>316</v>
      </c>
      <c r="AI12" s="81">
        <v>4141</v>
      </c>
      <c r="AJ12" s="81">
        <v>4076</v>
      </c>
      <c r="AK12" s="81"/>
      <c r="AL12" s="81" t="s">
        <v>587</v>
      </c>
      <c r="AM12" s="81" t="s">
        <v>629</v>
      </c>
      <c r="AN12" s="81"/>
      <c r="AO12" s="81"/>
      <c r="AP12" s="83">
        <v>44313.607627314814</v>
      </c>
      <c r="AQ12" s="87" t="str">
        <f>HYPERLINK("https://pbs.twimg.com/profile_banners/1387052624285880329/1632642485")</f>
        <v>https://pbs.twimg.com/profile_banners/1387052624285880329/1632642485</v>
      </c>
      <c r="AR12" s="81" t="b">
        <v>1</v>
      </c>
      <c r="AS12" s="81" t="b">
        <v>0</v>
      </c>
      <c r="AT12" s="81" t="b">
        <v>0</v>
      </c>
      <c r="AU12" s="81"/>
      <c r="AV12" s="81">
        <v>2</v>
      </c>
      <c r="AW12" s="81"/>
      <c r="AX12" s="81" t="b">
        <v>0</v>
      </c>
      <c r="AY12" s="81" t="s">
        <v>652</v>
      </c>
      <c r="AZ12" s="87" t="str">
        <f>HYPERLINK("https://twitter.com/pearnsr")</f>
        <v>https://twitter.com/pearnsr</v>
      </c>
      <c r="BA12" s="81" t="s">
        <v>66</v>
      </c>
      <c r="BB12" s="81" t="str">
        <f>REPLACE(INDEX(GroupVertices[Group],MATCH(Vertices[[#This Row],[Vertex]],GroupVertices[Vertex],0)),1,1,"")</f>
        <v>1</v>
      </c>
      <c r="BC12" s="49" t="s">
        <v>718</v>
      </c>
      <c r="BD12" s="49" t="s">
        <v>718</v>
      </c>
      <c r="BE12" s="49" t="s">
        <v>345</v>
      </c>
      <c r="BF12" s="49" t="s">
        <v>345</v>
      </c>
      <c r="BG12" s="49"/>
      <c r="BH12" s="49"/>
      <c r="BI12" s="112" t="s">
        <v>825</v>
      </c>
      <c r="BJ12" s="112" t="s">
        <v>825</v>
      </c>
      <c r="BK12" s="112" t="s">
        <v>867</v>
      </c>
      <c r="BL12" s="112" t="s">
        <v>867</v>
      </c>
      <c r="BM12" s="112">
        <v>0</v>
      </c>
      <c r="BN12" s="115">
        <v>0</v>
      </c>
      <c r="BO12" s="112">
        <v>0</v>
      </c>
      <c r="BP12" s="115">
        <v>0</v>
      </c>
      <c r="BQ12" s="112">
        <v>0</v>
      </c>
      <c r="BR12" s="115">
        <v>0</v>
      </c>
      <c r="BS12" s="112">
        <v>3</v>
      </c>
      <c r="BT12" s="115">
        <v>100</v>
      </c>
      <c r="BU12" s="112">
        <v>3</v>
      </c>
      <c r="BV12" s="2"/>
      <c r="BW12" s="3"/>
      <c r="BX12" s="3"/>
      <c r="BY12" s="3"/>
      <c r="BZ12" s="3"/>
    </row>
    <row r="13" spans="1:78" ht="41.45" customHeight="1">
      <c r="A13" s="66" t="s">
        <v>254</v>
      </c>
      <c r="C13" s="67"/>
      <c r="D13" s="67" t="s">
        <v>64</v>
      </c>
      <c r="E13" s="68">
        <v>165.25313462139127</v>
      </c>
      <c r="F13" s="70">
        <v>99.97972799788737</v>
      </c>
      <c r="G13" s="105" t="str">
        <f>HYPERLINK("https://abs.twimg.com/sticky/default_profile_images/default_profile_normal.png")</f>
        <v>https://abs.twimg.com/sticky/default_profile_images/default_profile_normal.png</v>
      </c>
      <c r="H13" s="67"/>
      <c r="I13" s="71" t="s">
        <v>254</v>
      </c>
      <c r="J13" s="72"/>
      <c r="K13" s="72"/>
      <c r="L13" s="71" t="s">
        <v>662</v>
      </c>
      <c r="M13" s="75">
        <v>7.755982570738413</v>
      </c>
      <c r="N13" s="76">
        <v>3613.608154296875</v>
      </c>
      <c r="O13" s="76">
        <v>2533.701416015625</v>
      </c>
      <c r="P13" s="77"/>
      <c r="Q13" s="78"/>
      <c r="R13" s="78"/>
      <c r="S13" s="91"/>
      <c r="T13" s="49">
        <v>0</v>
      </c>
      <c r="U13" s="49">
        <v>3</v>
      </c>
      <c r="V13" s="50">
        <v>0.157895</v>
      </c>
      <c r="W13" s="50">
        <v>0.009346</v>
      </c>
      <c r="X13" s="50">
        <v>0.018085</v>
      </c>
      <c r="Y13" s="50">
        <v>0.558208</v>
      </c>
      <c r="Z13" s="50">
        <v>0</v>
      </c>
      <c r="AA13" s="50">
        <v>0</v>
      </c>
      <c r="AB13" s="73">
        <v>13</v>
      </c>
      <c r="AC13" s="73"/>
      <c r="AD13" s="74"/>
      <c r="AE13" s="81" t="s">
        <v>494</v>
      </c>
      <c r="AF13" s="90" t="s">
        <v>541</v>
      </c>
      <c r="AG13" s="81">
        <v>770</v>
      </c>
      <c r="AH13" s="81">
        <v>177</v>
      </c>
      <c r="AI13" s="81">
        <v>6118</v>
      </c>
      <c r="AJ13" s="81">
        <v>5414</v>
      </c>
      <c r="AK13" s="81"/>
      <c r="AL13" s="81" t="s">
        <v>588</v>
      </c>
      <c r="AM13" s="81" t="s">
        <v>630</v>
      </c>
      <c r="AN13" s="81"/>
      <c r="AO13" s="81"/>
      <c r="AP13" s="83">
        <v>39614.23741898148</v>
      </c>
      <c r="AQ13" s="81"/>
      <c r="AR13" s="81" t="b">
        <v>1</v>
      </c>
      <c r="AS13" s="81" t="b">
        <v>1</v>
      </c>
      <c r="AT13" s="81" t="b">
        <v>0</v>
      </c>
      <c r="AU13" s="81"/>
      <c r="AV13" s="81">
        <v>2</v>
      </c>
      <c r="AW13" s="87" t="str">
        <f>HYPERLINK("https://abs.twimg.com/images/themes/theme1/bg.png")</f>
        <v>https://abs.twimg.com/images/themes/theme1/bg.png</v>
      </c>
      <c r="AX13" s="81" t="b">
        <v>0</v>
      </c>
      <c r="AY13" s="81" t="s">
        <v>652</v>
      </c>
      <c r="AZ13" s="87" t="str">
        <f>HYPERLINK("https://twitter.com/alisterrussell")</f>
        <v>https://twitter.com/alisterrussell</v>
      </c>
      <c r="BA13" s="81" t="s">
        <v>66</v>
      </c>
      <c r="BB13" s="81" t="str">
        <f>REPLACE(INDEX(GroupVertices[Group],MATCH(Vertices[[#This Row],[Vertex]],GroupVertices[Vertex],0)),1,1,"")</f>
        <v>1</v>
      </c>
      <c r="BC13" s="49"/>
      <c r="BD13" s="49"/>
      <c r="BE13" s="49"/>
      <c r="BF13" s="49"/>
      <c r="BG13" s="49"/>
      <c r="BH13" s="49"/>
      <c r="BI13" s="112" t="s">
        <v>826</v>
      </c>
      <c r="BJ13" s="112" t="s">
        <v>826</v>
      </c>
      <c r="BK13" s="112" t="s">
        <v>868</v>
      </c>
      <c r="BL13" s="112" t="s">
        <v>868</v>
      </c>
      <c r="BM13" s="112">
        <v>0</v>
      </c>
      <c r="BN13" s="115">
        <v>0</v>
      </c>
      <c r="BO13" s="112">
        <v>1</v>
      </c>
      <c r="BP13" s="115">
        <v>14.285714285714286</v>
      </c>
      <c r="BQ13" s="112">
        <v>0</v>
      </c>
      <c r="BR13" s="115">
        <v>0</v>
      </c>
      <c r="BS13" s="112">
        <v>6</v>
      </c>
      <c r="BT13" s="115">
        <v>85.71428571428571</v>
      </c>
      <c r="BU13" s="112">
        <v>7</v>
      </c>
      <c r="BV13" s="2"/>
      <c r="BW13" s="3"/>
      <c r="BX13" s="3"/>
      <c r="BY13" s="3"/>
      <c r="BZ13" s="3"/>
    </row>
    <row r="14" spans="1:78" ht="41.45" customHeight="1">
      <c r="A14" s="66" t="s">
        <v>255</v>
      </c>
      <c r="C14" s="67"/>
      <c r="D14" s="67" t="s">
        <v>64</v>
      </c>
      <c r="E14" s="68">
        <v>163.92570612645576</v>
      </c>
      <c r="F14" s="70">
        <v>99.9879999067954</v>
      </c>
      <c r="G14" s="105" t="str">
        <f>HYPERLINK("https://pbs.twimg.com/profile_images/1242576120043769857/wLDZBFHc_normal.jpg")</f>
        <v>https://pbs.twimg.com/profile_images/1242576120043769857/wLDZBFHc_normal.jpg</v>
      </c>
      <c r="H14" s="67"/>
      <c r="I14" s="71" t="s">
        <v>255</v>
      </c>
      <c r="J14" s="72"/>
      <c r="K14" s="72"/>
      <c r="L14" s="71" t="s">
        <v>663</v>
      </c>
      <c r="M14" s="75">
        <v>4.999231061988831</v>
      </c>
      <c r="N14" s="76">
        <v>4674.4990234375</v>
      </c>
      <c r="O14" s="76">
        <v>3354.439697265625</v>
      </c>
      <c r="P14" s="77"/>
      <c r="Q14" s="78"/>
      <c r="R14" s="78"/>
      <c r="S14" s="91"/>
      <c r="T14" s="49">
        <v>0</v>
      </c>
      <c r="U14" s="49">
        <v>3</v>
      </c>
      <c r="V14" s="50">
        <v>0.157895</v>
      </c>
      <c r="W14" s="50">
        <v>0.009346</v>
      </c>
      <c r="X14" s="50">
        <v>0.018085</v>
      </c>
      <c r="Y14" s="50">
        <v>0.558208</v>
      </c>
      <c r="Z14" s="50">
        <v>0</v>
      </c>
      <c r="AA14" s="50">
        <v>0</v>
      </c>
      <c r="AB14" s="73">
        <v>14</v>
      </c>
      <c r="AC14" s="73"/>
      <c r="AD14" s="74"/>
      <c r="AE14" s="81" t="s">
        <v>495</v>
      </c>
      <c r="AF14" s="90" t="s">
        <v>542</v>
      </c>
      <c r="AG14" s="81">
        <v>315</v>
      </c>
      <c r="AH14" s="81">
        <v>106</v>
      </c>
      <c r="AI14" s="81">
        <v>6256</v>
      </c>
      <c r="AJ14" s="81">
        <v>17176</v>
      </c>
      <c r="AK14" s="81"/>
      <c r="AL14" s="81" t="s">
        <v>589</v>
      </c>
      <c r="AM14" s="81" t="s">
        <v>631</v>
      </c>
      <c r="AN14" s="81"/>
      <c r="AO14" s="81"/>
      <c r="AP14" s="83">
        <v>41889.5415162037</v>
      </c>
      <c r="AQ14" s="87" t="str">
        <f>HYPERLINK("https://pbs.twimg.com/profile_banners/2763933533/1585088208")</f>
        <v>https://pbs.twimg.com/profile_banners/2763933533/1585088208</v>
      </c>
      <c r="AR14" s="81" t="b">
        <v>1</v>
      </c>
      <c r="AS14" s="81" t="b">
        <v>0</v>
      </c>
      <c r="AT14" s="81" t="b">
        <v>0</v>
      </c>
      <c r="AU14" s="81"/>
      <c r="AV14" s="81">
        <v>0</v>
      </c>
      <c r="AW14" s="87" t="str">
        <f>HYPERLINK("https://abs.twimg.com/images/themes/theme1/bg.png")</f>
        <v>https://abs.twimg.com/images/themes/theme1/bg.png</v>
      </c>
      <c r="AX14" s="81" t="b">
        <v>0</v>
      </c>
      <c r="AY14" s="81" t="s">
        <v>652</v>
      </c>
      <c r="AZ14" s="87" t="str">
        <f>HYPERLINK("https://twitter.com/louisapassfield")</f>
        <v>https://twitter.com/louisapassfield</v>
      </c>
      <c r="BA14" s="81" t="s">
        <v>66</v>
      </c>
      <c r="BB14" s="81" t="str">
        <f>REPLACE(INDEX(GroupVertices[Group],MATCH(Vertices[[#This Row],[Vertex]],GroupVertices[Vertex],0)),1,1,"")</f>
        <v>1</v>
      </c>
      <c r="BC14" s="49"/>
      <c r="BD14" s="49"/>
      <c r="BE14" s="49"/>
      <c r="BF14" s="49"/>
      <c r="BG14" s="49"/>
      <c r="BH14" s="49"/>
      <c r="BI14" s="112" t="s">
        <v>827</v>
      </c>
      <c r="BJ14" s="112" t="s">
        <v>827</v>
      </c>
      <c r="BK14" s="112" t="s">
        <v>869</v>
      </c>
      <c r="BL14" s="112" t="s">
        <v>869</v>
      </c>
      <c r="BM14" s="112">
        <v>0</v>
      </c>
      <c r="BN14" s="115">
        <v>0</v>
      </c>
      <c r="BO14" s="112">
        <v>1</v>
      </c>
      <c r="BP14" s="115">
        <v>7.142857142857143</v>
      </c>
      <c r="BQ14" s="112">
        <v>0</v>
      </c>
      <c r="BR14" s="115">
        <v>0</v>
      </c>
      <c r="BS14" s="112">
        <v>13</v>
      </c>
      <c r="BT14" s="115">
        <v>92.85714285714286</v>
      </c>
      <c r="BU14" s="112">
        <v>14</v>
      </c>
      <c r="BV14" s="2"/>
      <c r="BW14" s="3"/>
      <c r="BX14" s="3"/>
      <c r="BY14" s="3"/>
      <c r="BZ14" s="3"/>
    </row>
    <row r="15" spans="1:78" ht="41.45" customHeight="1">
      <c r="A15" s="66" t="s">
        <v>256</v>
      </c>
      <c r="C15" s="67"/>
      <c r="D15" s="67" t="s">
        <v>64</v>
      </c>
      <c r="E15" s="68">
        <v>162</v>
      </c>
      <c r="F15" s="70">
        <v>100</v>
      </c>
      <c r="G15" s="105" t="str">
        <f>HYPERLINK("https://abs.twimg.com/sticky/default_profile_images/default_profile_normal.png")</f>
        <v>https://abs.twimg.com/sticky/default_profile_images/default_profile_normal.png</v>
      </c>
      <c r="H15" s="67"/>
      <c r="I15" s="71" t="s">
        <v>256</v>
      </c>
      <c r="J15" s="72"/>
      <c r="K15" s="72"/>
      <c r="L15" s="71" t="s">
        <v>664</v>
      </c>
      <c r="M15" s="75">
        <v>1</v>
      </c>
      <c r="N15" s="76">
        <v>6910.9169921875</v>
      </c>
      <c r="O15" s="76">
        <v>7090.09912109375</v>
      </c>
      <c r="P15" s="77"/>
      <c r="Q15" s="78"/>
      <c r="R15" s="78"/>
      <c r="S15" s="91"/>
      <c r="T15" s="49">
        <v>0</v>
      </c>
      <c r="U15" s="49">
        <v>4</v>
      </c>
      <c r="V15" s="50">
        <v>4.824561</v>
      </c>
      <c r="W15" s="50">
        <v>0.009524</v>
      </c>
      <c r="X15" s="50">
        <v>0.020657</v>
      </c>
      <c r="Y15" s="50">
        <v>0.688056</v>
      </c>
      <c r="Z15" s="50">
        <v>0</v>
      </c>
      <c r="AA15" s="50">
        <v>0</v>
      </c>
      <c r="AB15" s="73">
        <v>15</v>
      </c>
      <c r="AC15" s="73"/>
      <c r="AD15" s="74"/>
      <c r="AE15" s="81" t="s">
        <v>496</v>
      </c>
      <c r="AF15" s="90" t="s">
        <v>543</v>
      </c>
      <c r="AG15" s="81">
        <v>18</v>
      </c>
      <c r="AH15" s="81">
        <v>3</v>
      </c>
      <c r="AI15" s="81">
        <v>389</v>
      </c>
      <c r="AJ15" s="81">
        <v>699</v>
      </c>
      <c r="AK15" s="81"/>
      <c r="AL15" s="81"/>
      <c r="AM15" s="81"/>
      <c r="AN15" s="81"/>
      <c r="AO15" s="81"/>
      <c r="AP15" s="83">
        <v>43440.99836805555</v>
      </c>
      <c r="AQ15" s="81"/>
      <c r="AR15" s="81" t="b">
        <v>1</v>
      </c>
      <c r="AS15" s="81" t="b">
        <v>1</v>
      </c>
      <c r="AT15" s="81" t="b">
        <v>0</v>
      </c>
      <c r="AU15" s="81"/>
      <c r="AV15" s="81">
        <v>0</v>
      </c>
      <c r="AW15" s="81"/>
      <c r="AX15" s="81" t="b">
        <v>0</v>
      </c>
      <c r="AY15" s="81" t="s">
        <v>652</v>
      </c>
      <c r="AZ15" s="87" t="str">
        <f>HYPERLINK("https://twitter.com/cwef13")</f>
        <v>https://twitter.com/cwef13</v>
      </c>
      <c r="BA15" s="81" t="s">
        <v>66</v>
      </c>
      <c r="BB15" s="81" t="str">
        <f>REPLACE(INDEX(GroupVertices[Group],MATCH(Vertices[[#This Row],[Vertex]],GroupVertices[Vertex],0)),1,1,"")</f>
        <v>2</v>
      </c>
      <c r="BC15" s="49"/>
      <c r="BD15" s="49"/>
      <c r="BE15" s="49"/>
      <c r="BF15" s="49"/>
      <c r="BG15" s="49"/>
      <c r="BH15" s="49"/>
      <c r="BI15" s="112" t="s">
        <v>828</v>
      </c>
      <c r="BJ15" s="112" t="s">
        <v>828</v>
      </c>
      <c r="BK15" s="112" t="s">
        <v>870</v>
      </c>
      <c r="BL15" s="112" t="s">
        <v>870</v>
      </c>
      <c r="BM15" s="112">
        <v>0</v>
      </c>
      <c r="BN15" s="115">
        <v>0</v>
      </c>
      <c r="BO15" s="112">
        <v>0</v>
      </c>
      <c r="BP15" s="115">
        <v>0</v>
      </c>
      <c r="BQ15" s="112">
        <v>0</v>
      </c>
      <c r="BR15" s="115">
        <v>0</v>
      </c>
      <c r="BS15" s="112">
        <v>12</v>
      </c>
      <c r="BT15" s="115">
        <v>100</v>
      </c>
      <c r="BU15" s="112">
        <v>12</v>
      </c>
      <c r="BV15" s="2"/>
      <c r="BW15" s="3"/>
      <c r="BX15" s="3"/>
      <c r="BY15" s="3"/>
      <c r="BZ15" s="3"/>
    </row>
    <row r="16" spans="1:78" ht="41.45" customHeight="1">
      <c r="A16" s="66" t="s">
        <v>257</v>
      </c>
      <c r="C16" s="67"/>
      <c r="D16" s="67" t="s">
        <v>64</v>
      </c>
      <c r="E16" s="68">
        <v>193.7274106465575</v>
      </c>
      <c r="F16" s="70">
        <v>99.80228972652215</v>
      </c>
      <c r="G16" s="105" t="str">
        <f>HYPERLINK("https://pbs.twimg.com/profile_images/755042691268743168/MXMH9eiM_normal.jpg")</f>
        <v>https://pbs.twimg.com/profile_images/755042691268743168/MXMH9eiM_normal.jpg</v>
      </c>
      <c r="H16" s="67"/>
      <c r="I16" s="71" t="s">
        <v>257</v>
      </c>
      <c r="J16" s="72"/>
      <c r="K16" s="72"/>
      <c r="L16" s="71" t="s">
        <v>665</v>
      </c>
      <c r="M16" s="75">
        <v>66.89024380771889</v>
      </c>
      <c r="N16" s="76">
        <v>3010.900390625</v>
      </c>
      <c r="O16" s="76">
        <v>7002.1875</v>
      </c>
      <c r="P16" s="77"/>
      <c r="Q16" s="78"/>
      <c r="R16" s="78"/>
      <c r="S16" s="91"/>
      <c r="T16" s="49">
        <v>0</v>
      </c>
      <c r="U16" s="49">
        <v>3</v>
      </c>
      <c r="V16" s="50">
        <v>0.157895</v>
      </c>
      <c r="W16" s="50">
        <v>0.009346</v>
      </c>
      <c r="X16" s="50">
        <v>0.018085</v>
      </c>
      <c r="Y16" s="50">
        <v>0.558208</v>
      </c>
      <c r="Z16" s="50">
        <v>0</v>
      </c>
      <c r="AA16" s="50">
        <v>0</v>
      </c>
      <c r="AB16" s="73">
        <v>16</v>
      </c>
      <c r="AC16" s="73"/>
      <c r="AD16" s="74"/>
      <c r="AE16" s="81" t="s">
        <v>497</v>
      </c>
      <c r="AF16" s="90" t="s">
        <v>544</v>
      </c>
      <c r="AG16" s="81">
        <v>3688</v>
      </c>
      <c r="AH16" s="81">
        <v>1700</v>
      </c>
      <c r="AI16" s="81">
        <v>12783</v>
      </c>
      <c r="AJ16" s="81">
        <v>95933</v>
      </c>
      <c r="AK16" s="81"/>
      <c r="AL16" s="81" t="s">
        <v>590</v>
      </c>
      <c r="AM16" s="81" t="s">
        <v>632</v>
      </c>
      <c r="AN16" s="81"/>
      <c r="AO16" s="81"/>
      <c r="AP16" s="83">
        <v>39939.740011574075</v>
      </c>
      <c r="AQ16" s="81"/>
      <c r="AR16" s="81" t="b">
        <v>0</v>
      </c>
      <c r="AS16" s="81" t="b">
        <v>0</v>
      </c>
      <c r="AT16" s="81" t="b">
        <v>1</v>
      </c>
      <c r="AU16" s="81"/>
      <c r="AV16" s="81">
        <v>37</v>
      </c>
      <c r="AW16" s="87" t="str">
        <f>HYPERLINK("https://abs.twimg.com/images/themes/theme17/bg.gif")</f>
        <v>https://abs.twimg.com/images/themes/theme17/bg.gif</v>
      </c>
      <c r="AX16" s="81" t="b">
        <v>0</v>
      </c>
      <c r="AY16" s="81" t="s">
        <v>652</v>
      </c>
      <c r="AZ16" s="87" t="str">
        <f>HYPERLINK("https://twitter.com/dodlink")</f>
        <v>https://twitter.com/dodlink</v>
      </c>
      <c r="BA16" s="81" t="s">
        <v>66</v>
      </c>
      <c r="BB16" s="81" t="str">
        <f>REPLACE(INDEX(GroupVertices[Group],MATCH(Vertices[[#This Row],[Vertex]],GroupVertices[Vertex],0)),1,1,"")</f>
        <v>1</v>
      </c>
      <c r="BC16" s="49"/>
      <c r="BD16" s="49"/>
      <c r="BE16" s="49"/>
      <c r="BF16" s="49"/>
      <c r="BG16" s="49" t="s">
        <v>346</v>
      </c>
      <c r="BH16" s="49" t="s">
        <v>346</v>
      </c>
      <c r="BI16" s="112" t="s">
        <v>829</v>
      </c>
      <c r="BJ16" s="112" t="s">
        <v>829</v>
      </c>
      <c r="BK16" s="112" t="s">
        <v>871</v>
      </c>
      <c r="BL16" s="112" t="s">
        <v>871</v>
      </c>
      <c r="BM16" s="112">
        <v>1</v>
      </c>
      <c r="BN16" s="115">
        <v>2.9411764705882355</v>
      </c>
      <c r="BO16" s="112">
        <v>1</v>
      </c>
      <c r="BP16" s="115">
        <v>2.9411764705882355</v>
      </c>
      <c r="BQ16" s="112">
        <v>0</v>
      </c>
      <c r="BR16" s="115">
        <v>0</v>
      </c>
      <c r="BS16" s="112">
        <v>32</v>
      </c>
      <c r="BT16" s="115">
        <v>94.11764705882354</v>
      </c>
      <c r="BU16" s="112">
        <v>34</v>
      </c>
      <c r="BV16" s="2"/>
      <c r="BW16" s="3"/>
      <c r="BX16" s="3"/>
      <c r="BY16" s="3"/>
      <c r="BZ16" s="3"/>
    </row>
    <row r="17" spans="1:78" ht="41.45" customHeight="1">
      <c r="A17" s="66" t="s">
        <v>258</v>
      </c>
      <c r="C17" s="67"/>
      <c r="D17" s="67" t="s">
        <v>64</v>
      </c>
      <c r="E17" s="68">
        <v>168.50626924278257</v>
      </c>
      <c r="F17" s="70">
        <v>99.95945599577472</v>
      </c>
      <c r="G17" s="105" t="str">
        <f>HYPERLINK("https://pbs.twimg.com/profile_images/929727748741980160/7Sf9uCSa_normal.jpg")</f>
        <v>https://pbs.twimg.com/profile_images/929727748741980160/7Sf9uCSa_normal.jpg</v>
      </c>
      <c r="H17" s="67"/>
      <c r="I17" s="71" t="s">
        <v>258</v>
      </c>
      <c r="J17" s="72"/>
      <c r="K17" s="72"/>
      <c r="L17" s="71" t="s">
        <v>666</v>
      </c>
      <c r="M17" s="75">
        <v>14.511965141476827</v>
      </c>
      <c r="N17" s="76">
        <v>8802.8759765625</v>
      </c>
      <c r="O17" s="76">
        <v>9494.462890625</v>
      </c>
      <c r="P17" s="77"/>
      <c r="Q17" s="78"/>
      <c r="R17" s="78"/>
      <c r="S17" s="91"/>
      <c r="T17" s="49">
        <v>0</v>
      </c>
      <c r="U17" s="49">
        <v>5</v>
      </c>
      <c r="V17" s="50">
        <v>4.824561</v>
      </c>
      <c r="W17" s="50">
        <v>0.009615</v>
      </c>
      <c r="X17" s="50">
        <v>0.022649</v>
      </c>
      <c r="Y17" s="50">
        <v>0.828982</v>
      </c>
      <c r="Z17" s="50">
        <v>0.2</v>
      </c>
      <c r="AA17" s="50">
        <v>0</v>
      </c>
      <c r="AB17" s="73">
        <v>17</v>
      </c>
      <c r="AC17" s="73"/>
      <c r="AD17" s="74"/>
      <c r="AE17" s="81" t="s">
        <v>498</v>
      </c>
      <c r="AF17" s="90" t="s">
        <v>545</v>
      </c>
      <c r="AG17" s="81">
        <v>488</v>
      </c>
      <c r="AH17" s="81">
        <v>351</v>
      </c>
      <c r="AI17" s="81">
        <v>11816</v>
      </c>
      <c r="AJ17" s="81">
        <v>53985</v>
      </c>
      <c r="AK17" s="81"/>
      <c r="AL17" s="81"/>
      <c r="AM17" s="81"/>
      <c r="AN17" s="81"/>
      <c r="AO17" s="81"/>
      <c r="AP17" s="83">
        <v>40978.73935185185</v>
      </c>
      <c r="AQ17" s="87" t="str">
        <f>HYPERLINK("https://pbs.twimg.com/profile_banners/520590699/1587054011")</f>
        <v>https://pbs.twimg.com/profile_banners/520590699/1587054011</v>
      </c>
      <c r="AR17" s="81" t="b">
        <v>0</v>
      </c>
      <c r="AS17" s="81" t="b">
        <v>0</v>
      </c>
      <c r="AT17" s="81" t="b">
        <v>1</v>
      </c>
      <c r="AU17" s="81"/>
      <c r="AV17" s="81">
        <v>17</v>
      </c>
      <c r="AW17" s="87" t="str">
        <f>HYPERLINK("https://abs.twimg.com/images/themes/theme1/bg.png")</f>
        <v>https://abs.twimg.com/images/themes/theme1/bg.png</v>
      </c>
      <c r="AX17" s="81" t="b">
        <v>0</v>
      </c>
      <c r="AY17" s="81" t="s">
        <v>652</v>
      </c>
      <c r="AZ17" s="87" t="str">
        <f>HYPERLINK("https://twitter.com/avriljw")</f>
        <v>https://twitter.com/avriljw</v>
      </c>
      <c r="BA17" s="81" t="s">
        <v>66</v>
      </c>
      <c r="BB17" s="81" t="str">
        <f>REPLACE(INDEX(GroupVertices[Group],MATCH(Vertices[[#This Row],[Vertex]],GroupVertices[Vertex],0)),1,1,"")</f>
        <v>2</v>
      </c>
      <c r="BC17" s="49"/>
      <c r="BD17" s="49"/>
      <c r="BE17" s="49"/>
      <c r="BF17" s="49"/>
      <c r="BG17" s="49" t="s">
        <v>347</v>
      </c>
      <c r="BH17" s="49" t="s">
        <v>347</v>
      </c>
      <c r="BI17" s="112" t="s">
        <v>830</v>
      </c>
      <c r="BJ17" s="112" t="s">
        <v>830</v>
      </c>
      <c r="BK17" s="112" t="s">
        <v>872</v>
      </c>
      <c r="BL17" s="112" t="s">
        <v>872</v>
      </c>
      <c r="BM17" s="112">
        <v>2</v>
      </c>
      <c r="BN17" s="115">
        <v>4.081632653061225</v>
      </c>
      <c r="BO17" s="112">
        <v>2</v>
      </c>
      <c r="BP17" s="115">
        <v>4.081632653061225</v>
      </c>
      <c r="BQ17" s="112">
        <v>0</v>
      </c>
      <c r="BR17" s="115">
        <v>0</v>
      </c>
      <c r="BS17" s="112">
        <v>45</v>
      </c>
      <c r="BT17" s="115">
        <v>91.83673469387755</v>
      </c>
      <c r="BU17" s="112">
        <v>49</v>
      </c>
      <c r="BV17" s="2"/>
      <c r="BW17" s="3"/>
      <c r="BX17" s="3"/>
      <c r="BY17" s="3"/>
      <c r="BZ17" s="3"/>
    </row>
    <row r="18" spans="1:78" ht="41.45" customHeight="1">
      <c r="A18" s="66" t="s">
        <v>269</v>
      </c>
      <c r="C18" s="67"/>
      <c r="D18" s="67" t="s">
        <v>64</v>
      </c>
      <c r="E18" s="68">
        <v>164.0191870063808</v>
      </c>
      <c r="F18" s="70">
        <v>99.98741737799905</v>
      </c>
      <c r="G18" s="105" t="str">
        <f>HYPERLINK("https://pbs.twimg.com/profile_images/1087809551213170688/cOEI5i_z_normal.jpg")</f>
        <v>https://pbs.twimg.com/profile_images/1087809551213170688/cOEI5i_z_normal.jpg</v>
      </c>
      <c r="H18" s="67"/>
      <c r="I18" s="71" t="s">
        <v>269</v>
      </c>
      <c r="J18" s="72"/>
      <c r="K18" s="72"/>
      <c r="L18" s="71" t="s">
        <v>667</v>
      </c>
      <c r="M18" s="75">
        <v>5.193368492182463</v>
      </c>
      <c r="N18" s="76">
        <v>8204.708984375</v>
      </c>
      <c r="O18" s="76">
        <v>9670.0859375</v>
      </c>
      <c r="P18" s="77"/>
      <c r="Q18" s="78"/>
      <c r="R18" s="78"/>
      <c r="S18" s="91"/>
      <c r="T18" s="49">
        <v>1</v>
      </c>
      <c r="U18" s="49">
        <v>4</v>
      </c>
      <c r="V18" s="50">
        <v>4.824561</v>
      </c>
      <c r="W18" s="50">
        <v>0.009615</v>
      </c>
      <c r="X18" s="50">
        <v>0.022649</v>
      </c>
      <c r="Y18" s="50">
        <v>0.828982</v>
      </c>
      <c r="Z18" s="50">
        <v>0.2</v>
      </c>
      <c r="AA18" s="50">
        <v>0</v>
      </c>
      <c r="AB18" s="73">
        <v>18</v>
      </c>
      <c r="AC18" s="73"/>
      <c r="AD18" s="74"/>
      <c r="AE18" s="81" t="s">
        <v>499</v>
      </c>
      <c r="AF18" s="90" t="s">
        <v>434</v>
      </c>
      <c r="AG18" s="81">
        <v>196</v>
      </c>
      <c r="AH18" s="81">
        <v>111</v>
      </c>
      <c r="AI18" s="81">
        <v>8044</v>
      </c>
      <c r="AJ18" s="81">
        <v>6986</v>
      </c>
      <c r="AK18" s="81"/>
      <c r="AL18" s="81" t="s">
        <v>591</v>
      </c>
      <c r="AM18" s="81"/>
      <c r="AN18" s="81"/>
      <c r="AO18" s="81"/>
      <c r="AP18" s="83">
        <v>43026.6815625</v>
      </c>
      <c r="AQ18" s="87" t="str">
        <f>HYPERLINK("https://pbs.twimg.com/profile_banners/920686272464785408/1548189242")</f>
        <v>https://pbs.twimg.com/profile_banners/920686272464785408/1548189242</v>
      </c>
      <c r="AR18" s="81" t="b">
        <v>0</v>
      </c>
      <c r="AS18" s="81" t="b">
        <v>0</v>
      </c>
      <c r="AT18" s="81" t="b">
        <v>0</v>
      </c>
      <c r="AU18" s="81"/>
      <c r="AV18" s="81">
        <v>1</v>
      </c>
      <c r="AW18" s="87" t="str">
        <f>HYPERLINK("https://abs.twimg.com/images/themes/theme1/bg.png")</f>
        <v>https://abs.twimg.com/images/themes/theme1/bg.png</v>
      </c>
      <c r="AX18" s="81" t="b">
        <v>0</v>
      </c>
      <c r="AY18" s="81" t="s">
        <v>652</v>
      </c>
      <c r="AZ18" s="87" t="str">
        <f>HYPERLINK("https://twitter.com/daphneh236")</f>
        <v>https://twitter.com/daphneh236</v>
      </c>
      <c r="BA18" s="81" t="s">
        <v>66</v>
      </c>
      <c r="BB18" s="81" t="str">
        <f>REPLACE(INDEX(GroupVertices[Group],MATCH(Vertices[[#This Row],[Vertex]],GroupVertices[Vertex],0)),1,1,"")</f>
        <v>2</v>
      </c>
      <c r="BC18" s="49"/>
      <c r="BD18" s="49"/>
      <c r="BE18" s="49"/>
      <c r="BF18" s="49"/>
      <c r="BG18" s="49"/>
      <c r="BH18" s="49"/>
      <c r="BI18" s="112" t="s">
        <v>831</v>
      </c>
      <c r="BJ18" s="112" t="s">
        <v>831</v>
      </c>
      <c r="BK18" s="112" t="s">
        <v>873</v>
      </c>
      <c r="BL18" s="112" t="s">
        <v>873</v>
      </c>
      <c r="BM18" s="112">
        <v>0</v>
      </c>
      <c r="BN18" s="115">
        <v>0</v>
      </c>
      <c r="BO18" s="112">
        <v>2</v>
      </c>
      <c r="BP18" s="115">
        <v>3.7735849056603774</v>
      </c>
      <c r="BQ18" s="112">
        <v>0</v>
      </c>
      <c r="BR18" s="115">
        <v>0</v>
      </c>
      <c r="BS18" s="112">
        <v>51</v>
      </c>
      <c r="BT18" s="115">
        <v>96.22641509433963</v>
      </c>
      <c r="BU18" s="112">
        <v>53</v>
      </c>
      <c r="BV18" s="2"/>
      <c r="BW18" s="3"/>
      <c r="BX18" s="3"/>
      <c r="BY18" s="3"/>
      <c r="BZ18" s="3"/>
    </row>
    <row r="19" spans="1:78" ht="41.45" customHeight="1">
      <c r="A19" s="66" t="s">
        <v>259</v>
      </c>
      <c r="C19" s="67"/>
      <c r="D19" s="67" t="s">
        <v>64</v>
      </c>
      <c r="E19" s="68">
        <v>272.9431082950337</v>
      </c>
      <c r="F19" s="70">
        <v>99.30865482450349</v>
      </c>
      <c r="G19" s="105" t="str">
        <f>HYPERLINK("https://pbs.twimg.com/profile_images/877644585698197504/aV8XLf2P_normal.jpg")</f>
        <v>https://pbs.twimg.com/profile_images/877644585698197504/aV8XLf2P_normal.jpg</v>
      </c>
      <c r="H19" s="67"/>
      <c r="I19" s="71" t="s">
        <v>259</v>
      </c>
      <c r="J19" s="72"/>
      <c r="K19" s="72"/>
      <c r="L19" s="71" t="s">
        <v>668</v>
      </c>
      <c r="M19" s="75">
        <v>231.40230215380313</v>
      </c>
      <c r="N19" s="76">
        <v>2268.601806640625</v>
      </c>
      <c r="O19" s="76">
        <v>4884.13427734375</v>
      </c>
      <c r="P19" s="77"/>
      <c r="Q19" s="78"/>
      <c r="R19" s="78"/>
      <c r="S19" s="91"/>
      <c r="T19" s="49">
        <v>0</v>
      </c>
      <c r="U19" s="49">
        <v>3</v>
      </c>
      <c r="V19" s="50">
        <v>0.157895</v>
      </c>
      <c r="W19" s="50">
        <v>0.009346</v>
      </c>
      <c r="X19" s="50">
        <v>0.018085</v>
      </c>
      <c r="Y19" s="50">
        <v>0.558208</v>
      </c>
      <c r="Z19" s="50">
        <v>0</v>
      </c>
      <c r="AA19" s="50">
        <v>0</v>
      </c>
      <c r="AB19" s="73">
        <v>19</v>
      </c>
      <c r="AC19" s="73"/>
      <c r="AD19" s="74"/>
      <c r="AE19" s="81" t="s">
        <v>500</v>
      </c>
      <c r="AF19" s="90" t="s">
        <v>546</v>
      </c>
      <c r="AG19" s="81">
        <v>706</v>
      </c>
      <c r="AH19" s="81">
        <v>5937</v>
      </c>
      <c r="AI19" s="81">
        <v>46071</v>
      </c>
      <c r="AJ19" s="81">
        <v>23609</v>
      </c>
      <c r="AK19" s="81"/>
      <c r="AL19" s="81" t="s">
        <v>592</v>
      </c>
      <c r="AM19" s="81"/>
      <c r="AN19" s="81"/>
      <c r="AO19" s="81"/>
      <c r="AP19" s="83">
        <v>41444.52908564815</v>
      </c>
      <c r="AQ19" s="87" t="str">
        <f>HYPERLINK("https://pbs.twimg.com/profile_banners/1530767479/1503231877")</f>
        <v>https://pbs.twimg.com/profile_banners/1530767479/1503231877</v>
      </c>
      <c r="AR19" s="81" t="b">
        <v>1</v>
      </c>
      <c r="AS19" s="81" t="b">
        <v>0</v>
      </c>
      <c r="AT19" s="81" t="b">
        <v>1</v>
      </c>
      <c r="AU19" s="81"/>
      <c r="AV19" s="81">
        <v>108</v>
      </c>
      <c r="AW19" s="87" t="str">
        <f>HYPERLINK("https://abs.twimg.com/images/themes/theme1/bg.png")</f>
        <v>https://abs.twimg.com/images/themes/theme1/bg.png</v>
      </c>
      <c r="AX19" s="81" t="b">
        <v>0</v>
      </c>
      <c r="AY19" s="81" t="s">
        <v>652</v>
      </c>
      <c r="AZ19" s="87" t="str">
        <f>HYPERLINK("https://twitter.com/19averil")</f>
        <v>https://twitter.com/19averil</v>
      </c>
      <c r="BA19" s="81" t="s">
        <v>66</v>
      </c>
      <c r="BB19" s="81" t="str">
        <f>REPLACE(INDEX(GroupVertices[Group],MATCH(Vertices[[#This Row],[Vertex]],GroupVertices[Vertex],0)),1,1,"")</f>
        <v>1</v>
      </c>
      <c r="BC19" s="49"/>
      <c r="BD19" s="49"/>
      <c r="BE19" s="49"/>
      <c r="BF19" s="49"/>
      <c r="BG19" s="49"/>
      <c r="BH19" s="49"/>
      <c r="BI19" s="112" t="s">
        <v>832</v>
      </c>
      <c r="BJ19" s="112" t="s">
        <v>832</v>
      </c>
      <c r="BK19" s="112" t="s">
        <v>874</v>
      </c>
      <c r="BL19" s="112" t="s">
        <v>874</v>
      </c>
      <c r="BM19" s="112">
        <v>1</v>
      </c>
      <c r="BN19" s="115">
        <v>6.666666666666667</v>
      </c>
      <c r="BO19" s="112">
        <v>2</v>
      </c>
      <c r="BP19" s="115">
        <v>13.333333333333334</v>
      </c>
      <c r="BQ19" s="112">
        <v>0</v>
      </c>
      <c r="BR19" s="115">
        <v>0</v>
      </c>
      <c r="BS19" s="112">
        <v>12</v>
      </c>
      <c r="BT19" s="115">
        <v>80</v>
      </c>
      <c r="BU19" s="112">
        <v>15</v>
      </c>
      <c r="BV19" s="2"/>
      <c r="BW19" s="3"/>
      <c r="BX19" s="3"/>
      <c r="BY19" s="3"/>
      <c r="BZ19" s="3"/>
    </row>
    <row r="20" spans="1:78" ht="41.45" customHeight="1">
      <c r="A20" s="66" t="s">
        <v>260</v>
      </c>
      <c r="C20" s="67"/>
      <c r="D20" s="67" t="s">
        <v>64</v>
      </c>
      <c r="E20" s="68">
        <v>166.76752487617688</v>
      </c>
      <c r="F20" s="70">
        <v>99.97029103138665</v>
      </c>
      <c r="G20" s="105" t="str">
        <f>HYPERLINK("https://pbs.twimg.com/profile_images/1431711560121077764/-qIbpvxx_normal.jpg")</f>
        <v>https://pbs.twimg.com/profile_images/1431711560121077764/-qIbpvxx_normal.jpg</v>
      </c>
      <c r="H20" s="67"/>
      <c r="I20" s="71" t="s">
        <v>260</v>
      </c>
      <c r="J20" s="72"/>
      <c r="K20" s="72"/>
      <c r="L20" s="71" t="s">
        <v>669</v>
      </c>
      <c r="M20" s="75">
        <v>10.901008939875261</v>
      </c>
      <c r="N20" s="76">
        <v>3255.4140625</v>
      </c>
      <c r="O20" s="76">
        <v>3161.605224609375</v>
      </c>
      <c r="P20" s="77"/>
      <c r="Q20" s="78"/>
      <c r="R20" s="78"/>
      <c r="S20" s="91"/>
      <c r="T20" s="49">
        <v>0</v>
      </c>
      <c r="U20" s="49">
        <v>4</v>
      </c>
      <c r="V20" s="50">
        <v>4.824561</v>
      </c>
      <c r="W20" s="50">
        <v>0.009524</v>
      </c>
      <c r="X20" s="50">
        <v>0.020657</v>
      </c>
      <c r="Y20" s="50">
        <v>0.688056</v>
      </c>
      <c r="Z20" s="50">
        <v>0</v>
      </c>
      <c r="AA20" s="50">
        <v>0</v>
      </c>
      <c r="AB20" s="73">
        <v>20</v>
      </c>
      <c r="AC20" s="73"/>
      <c r="AD20" s="74"/>
      <c r="AE20" s="81" t="s">
        <v>501</v>
      </c>
      <c r="AF20" s="90" t="s">
        <v>547</v>
      </c>
      <c r="AG20" s="81">
        <v>383</v>
      </c>
      <c r="AH20" s="81">
        <v>258</v>
      </c>
      <c r="AI20" s="81">
        <v>25695</v>
      </c>
      <c r="AJ20" s="81">
        <v>19234</v>
      </c>
      <c r="AK20" s="81"/>
      <c r="AL20" s="81"/>
      <c r="AM20" s="81"/>
      <c r="AN20" s="81"/>
      <c r="AO20" s="81"/>
      <c r="AP20" s="83">
        <v>40961.72206018519</v>
      </c>
      <c r="AQ20" s="87" t="str">
        <f>HYPERLINK("https://pbs.twimg.com/profile_banners/499960875/1405543162")</f>
        <v>https://pbs.twimg.com/profile_banners/499960875/1405543162</v>
      </c>
      <c r="AR20" s="81" t="b">
        <v>0</v>
      </c>
      <c r="AS20" s="81" t="b">
        <v>0</v>
      </c>
      <c r="AT20" s="81" t="b">
        <v>1</v>
      </c>
      <c r="AU20" s="81"/>
      <c r="AV20" s="81">
        <v>12</v>
      </c>
      <c r="AW20" s="87" t="str">
        <f>HYPERLINK("https://abs.twimg.com/images/themes/theme1/bg.png")</f>
        <v>https://abs.twimg.com/images/themes/theme1/bg.png</v>
      </c>
      <c r="AX20" s="81" t="b">
        <v>0</v>
      </c>
      <c r="AY20" s="81" t="s">
        <v>652</v>
      </c>
      <c r="AZ20" s="87" t="str">
        <f>HYPERLINK("https://twitter.com/ancienthiker")</f>
        <v>https://twitter.com/ancienthiker</v>
      </c>
      <c r="BA20" s="81" t="s">
        <v>66</v>
      </c>
      <c r="BB20" s="81" t="str">
        <f>REPLACE(INDEX(GroupVertices[Group],MATCH(Vertices[[#This Row],[Vertex]],GroupVertices[Vertex],0)),1,1,"")</f>
        <v>1</v>
      </c>
      <c r="BC20" s="49"/>
      <c r="BD20" s="49"/>
      <c r="BE20" s="49"/>
      <c r="BF20" s="49"/>
      <c r="BG20" s="49"/>
      <c r="BH20" s="49"/>
      <c r="BI20" s="112" t="s">
        <v>833</v>
      </c>
      <c r="BJ20" s="112" t="s">
        <v>833</v>
      </c>
      <c r="BK20" s="112" t="s">
        <v>875</v>
      </c>
      <c r="BL20" s="112" t="s">
        <v>875</v>
      </c>
      <c r="BM20" s="112">
        <v>0</v>
      </c>
      <c r="BN20" s="115">
        <v>0</v>
      </c>
      <c r="BO20" s="112">
        <v>0</v>
      </c>
      <c r="BP20" s="115">
        <v>0</v>
      </c>
      <c r="BQ20" s="112">
        <v>0</v>
      </c>
      <c r="BR20" s="115">
        <v>0</v>
      </c>
      <c r="BS20" s="112">
        <v>11</v>
      </c>
      <c r="BT20" s="115">
        <v>100</v>
      </c>
      <c r="BU20" s="112">
        <v>11</v>
      </c>
      <c r="BV20" s="2"/>
      <c r="BW20" s="3"/>
      <c r="BX20" s="3"/>
      <c r="BY20" s="3"/>
      <c r="BZ20" s="3"/>
    </row>
    <row r="21" spans="1:78" ht="41.45" customHeight="1">
      <c r="A21" s="66" t="s">
        <v>261</v>
      </c>
      <c r="C21" s="67"/>
      <c r="D21" s="67" t="s">
        <v>64</v>
      </c>
      <c r="E21" s="68">
        <v>201.69198161617064</v>
      </c>
      <c r="F21" s="70">
        <v>99.75265827307396</v>
      </c>
      <c r="G21" s="105" t="str">
        <f>HYPERLINK("https://pbs.twimg.com/profile_images/499310701567938561/QWhJ7F2P_normal.jpeg")</f>
        <v>https://pbs.twimg.com/profile_images/499310701567938561/QWhJ7F2P_normal.jpeg</v>
      </c>
      <c r="H21" s="67"/>
      <c r="I21" s="71" t="s">
        <v>261</v>
      </c>
      <c r="J21" s="72"/>
      <c r="K21" s="72"/>
      <c r="L21" s="71" t="s">
        <v>670</v>
      </c>
      <c r="M21" s="75">
        <v>83.43075286021639</v>
      </c>
      <c r="N21" s="76">
        <v>2126.299072265625</v>
      </c>
      <c r="O21" s="76">
        <v>3617.462158203125</v>
      </c>
      <c r="P21" s="77"/>
      <c r="Q21" s="78"/>
      <c r="R21" s="78"/>
      <c r="S21" s="91"/>
      <c r="T21" s="49">
        <v>0</v>
      </c>
      <c r="U21" s="49">
        <v>4</v>
      </c>
      <c r="V21" s="50">
        <v>0.157895</v>
      </c>
      <c r="W21" s="50">
        <v>0.009434</v>
      </c>
      <c r="X21" s="50">
        <v>0.019829</v>
      </c>
      <c r="Y21" s="50">
        <v>0.708835</v>
      </c>
      <c r="Z21" s="50">
        <v>0.25</v>
      </c>
      <c r="AA21" s="50">
        <v>0</v>
      </c>
      <c r="AB21" s="73">
        <v>21</v>
      </c>
      <c r="AC21" s="73"/>
      <c r="AD21" s="74"/>
      <c r="AE21" s="81" t="s">
        <v>502</v>
      </c>
      <c r="AF21" s="90" t="s">
        <v>548</v>
      </c>
      <c r="AG21" s="81">
        <v>3907</v>
      </c>
      <c r="AH21" s="81">
        <v>2126</v>
      </c>
      <c r="AI21" s="81">
        <v>54450</v>
      </c>
      <c r="AJ21" s="81">
        <v>115358</v>
      </c>
      <c r="AK21" s="81"/>
      <c r="AL21" s="81" t="s">
        <v>593</v>
      </c>
      <c r="AM21" s="81" t="s">
        <v>633</v>
      </c>
      <c r="AN21" s="81"/>
      <c r="AO21" s="81"/>
      <c r="AP21" s="83">
        <v>41863.89125</v>
      </c>
      <c r="AQ21" s="87" t="str">
        <f>HYPERLINK("https://pbs.twimg.com/profile_banners/2727387410/1634797481")</f>
        <v>https://pbs.twimg.com/profile_banners/2727387410/1634797481</v>
      </c>
      <c r="AR21" s="81" t="b">
        <v>1</v>
      </c>
      <c r="AS21" s="81" t="b">
        <v>0</v>
      </c>
      <c r="AT21" s="81" t="b">
        <v>1</v>
      </c>
      <c r="AU21" s="81"/>
      <c r="AV21" s="81">
        <v>21</v>
      </c>
      <c r="AW21" s="87" t="str">
        <f>HYPERLINK("https://abs.twimg.com/images/themes/theme1/bg.png")</f>
        <v>https://abs.twimg.com/images/themes/theme1/bg.png</v>
      </c>
      <c r="AX21" s="81" t="b">
        <v>0</v>
      </c>
      <c r="AY21" s="81" t="s">
        <v>652</v>
      </c>
      <c r="AZ21" s="87" t="str">
        <f>HYPERLINK("https://twitter.com/indysilverfox")</f>
        <v>https://twitter.com/indysilverfox</v>
      </c>
      <c r="BA21" s="81" t="s">
        <v>66</v>
      </c>
      <c r="BB21" s="81" t="str">
        <f>REPLACE(INDEX(GroupVertices[Group],MATCH(Vertices[[#This Row],[Vertex]],GroupVertices[Vertex],0)),1,1,"")</f>
        <v>1</v>
      </c>
      <c r="BC21" s="49"/>
      <c r="BD21" s="49"/>
      <c r="BE21" s="49"/>
      <c r="BF21" s="49"/>
      <c r="BG21" s="49"/>
      <c r="BH21" s="49"/>
      <c r="BI21" s="112" t="s">
        <v>834</v>
      </c>
      <c r="BJ21" s="112" t="s">
        <v>834</v>
      </c>
      <c r="BK21" s="112" t="s">
        <v>876</v>
      </c>
      <c r="BL21" s="112" t="s">
        <v>876</v>
      </c>
      <c r="BM21" s="112">
        <v>0</v>
      </c>
      <c r="BN21" s="115">
        <v>0</v>
      </c>
      <c r="BO21" s="112">
        <v>2</v>
      </c>
      <c r="BP21" s="115">
        <v>8.695652173913043</v>
      </c>
      <c r="BQ21" s="112">
        <v>0</v>
      </c>
      <c r="BR21" s="115">
        <v>0</v>
      </c>
      <c r="BS21" s="112">
        <v>21</v>
      </c>
      <c r="BT21" s="115">
        <v>91.30434782608695</v>
      </c>
      <c r="BU21" s="112">
        <v>23</v>
      </c>
      <c r="BV21" s="2"/>
      <c r="BW21" s="3"/>
      <c r="BX21" s="3"/>
      <c r="BY21" s="3"/>
      <c r="BZ21" s="3"/>
    </row>
    <row r="22" spans="1:78" ht="41.45" customHeight="1">
      <c r="A22" s="66" t="s">
        <v>278</v>
      </c>
      <c r="C22" s="67"/>
      <c r="D22" s="67" t="s">
        <v>64</v>
      </c>
      <c r="E22" s="68">
        <v>195.5222435411182</v>
      </c>
      <c r="F22" s="70">
        <v>99.79110517363242</v>
      </c>
      <c r="G22" s="105" t="str">
        <f>HYPERLINK("https://pbs.twimg.com/profile_images/1356378821558202377/2aWD1TmO_normal.jpg")</f>
        <v>https://pbs.twimg.com/profile_images/1356378821558202377/2aWD1TmO_normal.jpg</v>
      </c>
      <c r="H22" s="67"/>
      <c r="I22" s="71" t="s">
        <v>278</v>
      </c>
      <c r="J22" s="72"/>
      <c r="K22" s="72"/>
      <c r="L22" s="71" t="s">
        <v>671</v>
      </c>
      <c r="M22" s="75">
        <v>70.61768246743664</v>
      </c>
      <c r="N22" s="76">
        <v>2508.89404296875</v>
      </c>
      <c r="O22" s="76">
        <v>3947.317626953125</v>
      </c>
      <c r="P22" s="77"/>
      <c r="Q22" s="78"/>
      <c r="R22" s="78"/>
      <c r="S22" s="91"/>
      <c r="T22" s="49">
        <v>1</v>
      </c>
      <c r="U22" s="49">
        <v>3</v>
      </c>
      <c r="V22" s="50">
        <v>0.157895</v>
      </c>
      <c r="W22" s="50">
        <v>0.009434</v>
      </c>
      <c r="X22" s="50">
        <v>0.019829</v>
      </c>
      <c r="Y22" s="50">
        <v>0.708835</v>
      </c>
      <c r="Z22" s="50">
        <v>0.25</v>
      </c>
      <c r="AA22" s="50">
        <v>0</v>
      </c>
      <c r="AB22" s="73">
        <v>22</v>
      </c>
      <c r="AC22" s="73"/>
      <c r="AD22" s="74"/>
      <c r="AE22" s="81" t="s">
        <v>503</v>
      </c>
      <c r="AF22" s="90" t="s">
        <v>549</v>
      </c>
      <c r="AG22" s="81">
        <v>2285</v>
      </c>
      <c r="AH22" s="81">
        <v>1796</v>
      </c>
      <c r="AI22" s="81">
        <v>25564</v>
      </c>
      <c r="AJ22" s="81">
        <v>79734</v>
      </c>
      <c r="AK22" s="81"/>
      <c r="AL22" s="81" t="s">
        <v>594</v>
      </c>
      <c r="AM22" s="81" t="s">
        <v>634</v>
      </c>
      <c r="AN22" s="81"/>
      <c r="AO22" s="81"/>
      <c r="AP22" s="83">
        <v>44228.59575231482</v>
      </c>
      <c r="AQ22" s="81"/>
      <c r="AR22" s="81" t="b">
        <v>1</v>
      </c>
      <c r="AS22" s="81" t="b">
        <v>0</v>
      </c>
      <c r="AT22" s="81" t="b">
        <v>0</v>
      </c>
      <c r="AU22" s="81"/>
      <c r="AV22" s="81">
        <v>0</v>
      </c>
      <c r="AW22" s="81"/>
      <c r="AX22" s="81" t="b">
        <v>0</v>
      </c>
      <c r="AY22" s="81" t="s">
        <v>652</v>
      </c>
      <c r="AZ22" s="87" t="str">
        <f>HYPERLINK("https://twitter.com/bridgetcraig17")</f>
        <v>https://twitter.com/bridgetcraig17</v>
      </c>
      <c r="BA22" s="81" t="s">
        <v>66</v>
      </c>
      <c r="BB22" s="81" t="str">
        <f>REPLACE(INDEX(GroupVertices[Group],MATCH(Vertices[[#This Row],[Vertex]],GroupVertices[Vertex],0)),1,1,"")</f>
        <v>1</v>
      </c>
      <c r="BC22" s="49"/>
      <c r="BD22" s="49"/>
      <c r="BE22" s="49"/>
      <c r="BF22" s="49"/>
      <c r="BG22" s="49"/>
      <c r="BH22" s="49"/>
      <c r="BI22" s="112" t="s">
        <v>835</v>
      </c>
      <c r="BJ22" s="112" t="s">
        <v>835</v>
      </c>
      <c r="BK22" s="112" t="s">
        <v>877</v>
      </c>
      <c r="BL22" s="112" t="s">
        <v>877</v>
      </c>
      <c r="BM22" s="112">
        <v>0</v>
      </c>
      <c r="BN22" s="115">
        <v>0</v>
      </c>
      <c r="BO22" s="112">
        <v>0</v>
      </c>
      <c r="BP22" s="115">
        <v>0</v>
      </c>
      <c r="BQ22" s="112">
        <v>0</v>
      </c>
      <c r="BR22" s="115">
        <v>0</v>
      </c>
      <c r="BS22" s="112">
        <v>10</v>
      </c>
      <c r="BT22" s="115">
        <v>100</v>
      </c>
      <c r="BU22" s="112">
        <v>10</v>
      </c>
      <c r="BV22" s="2"/>
      <c r="BW22" s="3"/>
      <c r="BX22" s="3"/>
      <c r="BY22" s="3"/>
      <c r="BZ22" s="3"/>
    </row>
    <row r="23" spans="1:78" ht="41.45" customHeight="1">
      <c r="A23" s="66" t="s">
        <v>262</v>
      </c>
      <c r="C23" s="67"/>
      <c r="D23" s="67" t="s">
        <v>64</v>
      </c>
      <c r="E23" s="68">
        <v>165.94489313283654</v>
      </c>
      <c r="F23" s="70">
        <v>99.97541728479445</v>
      </c>
      <c r="G23" s="105" t="str">
        <f>HYPERLINK("https://pbs.twimg.com/profile_images/999239916998410240/isrkn2oH_normal.jpg")</f>
        <v>https://pbs.twimg.com/profile_images/999239916998410240/isrkn2oH_normal.jpg</v>
      </c>
      <c r="H23" s="67"/>
      <c r="I23" s="71" t="s">
        <v>262</v>
      </c>
      <c r="J23" s="72"/>
      <c r="K23" s="72"/>
      <c r="L23" s="71" t="s">
        <v>672</v>
      </c>
      <c r="M23" s="75">
        <v>9.192599554171295</v>
      </c>
      <c r="N23" s="76">
        <v>7339.646484375</v>
      </c>
      <c r="O23" s="76">
        <v>8892.4853515625</v>
      </c>
      <c r="P23" s="77"/>
      <c r="Q23" s="78"/>
      <c r="R23" s="78"/>
      <c r="S23" s="91"/>
      <c r="T23" s="49">
        <v>0</v>
      </c>
      <c r="U23" s="49">
        <v>4</v>
      </c>
      <c r="V23" s="50">
        <v>4.824561</v>
      </c>
      <c r="W23" s="50">
        <v>0.009524</v>
      </c>
      <c r="X23" s="50">
        <v>0.020657</v>
      </c>
      <c r="Y23" s="50">
        <v>0.688056</v>
      </c>
      <c r="Z23" s="50">
        <v>0</v>
      </c>
      <c r="AA23" s="50">
        <v>0</v>
      </c>
      <c r="AB23" s="73">
        <v>23</v>
      </c>
      <c r="AC23" s="73"/>
      <c r="AD23" s="74"/>
      <c r="AE23" s="81" t="s">
        <v>504</v>
      </c>
      <c r="AF23" s="90" t="s">
        <v>550</v>
      </c>
      <c r="AG23" s="81">
        <v>175</v>
      </c>
      <c r="AH23" s="81">
        <v>214</v>
      </c>
      <c r="AI23" s="81">
        <v>35285</v>
      </c>
      <c r="AJ23" s="81">
        <v>22073</v>
      </c>
      <c r="AK23" s="81"/>
      <c r="AL23" s="81" t="s">
        <v>595</v>
      </c>
      <c r="AM23" s="81" t="s">
        <v>635</v>
      </c>
      <c r="AN23" s="81"/>
      <c r="AO23" s="81"/>
      <c r="AP23" s="83">
        <v>40789.25412037037</v>
      </c>
      <c r="AQ23" s="87" t="str">
        <f>HYPERLINK("https://pbs.twimg.com/profile_banners/367000939/1405100967")</f>
        <v>https://pbs.twimg.com/profile_banners/367000939/1405100967</v>
      </c>
      <c r="AR23" s="81" t="b">
        <v>1</v>
      </c>
      <c r="AS23" s="81" t="b">
        <v>0</v>
      </c>
      <c r="AT23" s="81" t="b">
        <v>1</v>
      </c>
      <c r="AU23" s="81"/>
      <c r="AV23" s="81">
        <v>14</v>
      </c>
      <c r="AW23" s="87" t="str">
        <f>HYPERLINK("https://abs.twimg.com/images/themes/theme1/bg.png")</f>
        <v>https://abs.twimg.com/images/themes/theme1/bg.png</v>
      </c>
      <c r="AX23" s="81" t="b">
        <v>0</v>
      </c>
      <c r="AY23" s="81" t="s">
        <v>652</v>
      </c>
      <c r="AZ23" s="87" t="str">
        <f>HYPERLINK("https://twitter.com/gary4463150386")</f>
        <v>https://twitter.com/gary4463150386</v>
      </c>
      <c r="BA23" s="81" t="s">
        <v>66</v>
      </c>
      <c r="BB23" s="81" t="str">
        <f>REPLACE(INDEX(GroupVertices[Group],MATCH(Vertices[[#This Row],[Vertex]],GroupVertices[Vertex],0)),1,1,"")</f>
        <v>2</v>
      </c>
      <c r="BC23" s="49"/>
      <c r="BD23" s="49"/>
      <c r="BE23" s="49"/>
      <c r="BF23" s="49"/>
      <c r="BG23" s="49" t="s">
        <v>348</v>
      </c>
      <c r="BH23" s="49" t="s">
        <v>348</v>
      </c>
      <c r="BI23" s="112" t="s">
        <v>836</v>
      </c>
      <c r="BJ23" s="112" t="s">
        <v>836</v>
      </c>
      <c r="BK23" s="112" t="s">
        <v>878</v>
      </c>
      <c r="BL23" s="112" t="s">
        <v>878</v>
      </c>
      <c r="BM23" s="112">
        <v>0</v>
      </c>
      <c r="BN23" s="115">
        <v>0</v>
      </c>
      <c r="BO23" s="112">
        <v>0</v>
      </c>
      <c r="BP23" s="115">
        <v>0</v>
      </c>
      <c r="BQ23" s="112">
        <v>0</v>
      </c>
      <c r="BR23" s="115">
        <v>0</v>
      </c>
      <c r="BS23" s="112">
        <v>5</v>
      </c>
      <c r="BT23" s="115">
        <v>100</v>
      </c>
      <c r="BU23" s="112">
        <v>5</v>
      </c>
      <c r="BV23" s="2"/>
      <c r="BW23" s="3"/>
      <c r="BX23" s="3"/>
      <c r="BY23" s="3"/>
      <c r="BZ23" s="3"/>
    </row>
    <row r="24" spans="1:78" ht="41.45" customHeight="1">
      <c r="A24" s="66" t="s">
        <v>263</v>
      </c>
      <c r="C24" s="67"/>
      <c r="D24" s="67" t="s">
        <v>64</v>
      </c>
      <c r="E24" s="68">
        <v>182.8088438713132</v>
      </c>
      <c r="F24" s="70">
        <v>99.87032908993469</v>
      </c>
      <c r="G24" s="105" t="str">
        <f>HYPERLINK("https://pbs.twimg.com/profile_images/675105126449856517/Rq25BWyI_normal.jpg")</f>
        <v>https://pbs.twimg.com/profile_images/675105126449856517/Rq25BWyI_normal.jpg</v>
      </c>
      <c r="H24" s="67"/>
      <c r="I24" s="71" t="s">
        <v>263</v>
      </c>
      <c r="J24" s="72"/>
      <c r="K24" s="72"/>
      <c r="L24" s="71" t="s">
        <v>673</v>
      </c>
      <c r="M24" s="75">
        <v>44.21499196110261</v>
      </c>
      <c r="N24" s="76">
        <v>7377.1298828125</v>
      </c>
      <c r="O24" s="76">
        <v>3545.45263671875</v>
      </c>
      <c r="P24" s="77"/>
      <c r="Q24" s="78"/>
      <c r="R24" s="78"/>
      <c r="S24" s="91"/>
      <c r="T24" s="49">
        <v>0</v>
      </c>
      <c r="U24" s="49">
        <v>5</v>
      </c>
      <c r="V24" s="50">
        <v>4.824561</v>
      </c>
      <c r="W24" s="50">
        <v>0.009615</v>
      </c>
      <c r="X24" s="50">
        <v>0.022649</v>
      </c>
      <c r="Y24" s="50">
        <v>0.828982</v>
      </c>
      <c r="Z24" s="50">
        <v>0.2</v>
      </c>
      <c r="AA24" s="50">
        <v>0</v>
      </c>
      <c r="AB24" s="73">
        <v>24</v>
      </c>
      <c r="AC24" s="73"/>
      <c r="AD24" s="74"/>
      <c r="AE24" s="81" t="s">
        <v>505</v>
      </c>
      <c r="AF24" s="90" t="s">
        <v>551</v>
      </c>
      <c r="AG24" s="81">
        <v>1194</v>
      </c>
      <c r="AH24" s="81">
        <v>1116</v>
      </c>
      <c r="AI24" s="81">
        <v>48264</v>
      </c>
      <c r="AJ24" s="81">
        <v>107076</v>
      </c>
      <c r="AK24" s="81"/>
      <c r="AL24" s="81" t="s">
        <v>596</v>
      </c>
      <c r="AM24" s="81" t="s">
        <v>636</v>
      </c>
      <c r="AN24" s="81"/>
      <c r="AO24" s="81"/>
      <c r="AP24" s="83">
        <v>39946.869409722225</v>
      </c>
      <c r="AQ24" s="87" t="str">
        <f>HYPERLINK("https://pbs.twimg.com/profile_banners/39831495/1369089119")</f>
        <v>https://pbs.twimg.com/profile_banners/39831495/1369089119</v>
      </c>
      <c r="AR24" s="81" t="b">
        <v>1</v>
      </c>
      <c r="AS24" s="81" t="b">
        <v>0</v>
      </c>
      <c r="AT24" s="81" t="b">
        <v>1</v>
      </c>
      <c r="AU24" s="81"/>
      <c r="AV24" s="81">
        <v>27</v>
      </c>
      <c r="AW24" s="87" t="str">
        <f>HYPERLINK("https://abs.twimg.com/images/themes/theme1/bg.png")</f>
        <v>https://abs.twimg.com/images/themes/theme1/bg.png</v>
      </c>
      <c r="AX24" s="81" t="b">
        <v>0</v>
      </c>
      <c r="AY24" s="81" t="s">
        <v>652</v>
      </c>
      <c r="AZ24" s="87" t="str">
        <f>HYPERLINK("https://twitter.com/tess1959")</f>
        <v>https://twitter.com/tess1959</v>
      </c>
      <c r="BA24" s="81" t="s">
        <v>66</v>
      </c>
      <c r="BB24" s="81" t="str">
        <f>REPLACE(INDEX(GroupVertices[Group],MATCH(Vertices[[#This Row],[Vertex]],GroupVertices[Vertex],0)),1,1,"")</f>
        <v>2</v>
      </c>
      <c r="BC24" s="49"/>
      <c r="BD24" s="49"/>
      <c r="BE24" s="49"/>
      <c r="BF24" s="49"/>
      <c r="BG24" s="49"/>
      <c r="BH24" s="49"/>
      <c r="BI24" s="112" t="s">
        <v>837</v>
      </c>
      <c r="BJ24" s="112" t="s">
        <v>837</v>
      </c>
      <c r="BK24" s="112" t="s">
        <v>879</v>
      </c>
      <c r="BL24" s="112" t="s">
        <v>879</v>
      </c>
      <c r="BM24" s="112">
        <v>0</v>
      </c>
      <c r="BN24" s="115">
        <v>0</v>
      </c>
      <c r="BO24" s="112">
        <v>1</v>
      </c>
      <c r="BP24" s="115">
        <v>8.333333333333334</v>
      </c>
      <c r="BQ24" s="112">
        <v>0</v>
      </c>
      <c r="BR24" s="115">
        <v>0</v>
      </c>
      <c r="BS24" s="112">
        <v>11</v>
      </c>
      <c r="BT24" s="115">
        <v>91.66666666666667</v>
      </c>
      <c r="BU24" s="112">
        <v>12</v>
      </c>
      <c r="BV24" s="2"/>
      <c r="BW24" s="3"/>
      <c r="BX24" s="3"/>
      <c r="BY24" s="3"/>
      <c r="BZ24" s="3"/>
    </row>
    <row r="25" spans="1:78" ht="41.45" customHeight="1">
      <c r="A25" s="66" t="s">
        <v>272</v>
      </c>
      <c r="C25" s="67"/>
      <c r="D25" s="67" t="s">
        <v>64</v>
      </c>
      <c r="E25" s="68">
        <v>265.3150684931507</v>
      </c>
      <c r="F25" s="70">
        <v>99.35618917428485</v>
      </c>
      <c r="G25" s="105" t="str">
        <f>HYPERLINK("https://pbs.twimg.com/profile_images/1363792616270233600/f5XPsMI7_normal.jpg")</f>
        <v>https://pbs.twimg.com/profile_images/1363792616270233600/f5XPsMI7_normal.jpg</v>
      </c>
      <c r="H25" s="67"/>
      <c r="I25" s="71" t="s">
        <v>272</v>
      </c>
      <c r="J25" s="72"/>
      <c r="K25" s="72"/>
      <c r="L25" s="71" t="s">
        <v>674</v>
      </c>
      <c r="M25" s="75">
        <v>215.56068785000272</v>
      </c>
      <c r="N25" s="76">
        <v>7054.76123046875</v>
      </c>
      <c r="O25" s="76">
        <v>4845.1767578125</v>
      </c>
      <c r="P25" s="77"/>
      <c r="Q25" s="78"/>
      <c r="R25" s="78"/>
      <c r="S25" s="91"/>
      <c r="T25" s="49">
        <v>1</v>
      </c>
      <c r="U25" s="49">
        <v>4</v>
      </c>
      <c r="V25" s="50">
        <v>4.824561</v>
      </c>
      <c r="W25" s="50">
        <v>0.009615</v>
      </c>
      <c r="X25" s="50">
        <v>0.022649</v>
      </c>
      <c r="Y25" s="50">
        <v>0.828982</v>
      </c>
      <c r="Z25" s="50">
        <v>0.2</v>
      </c>
      <c r="AA25" s="50">
        <v>0</v>
      </c>
      <c r="AB25" s="73">
        <v>25</v>
      </c>
      <c r="AC25" s="73"/>
      <c r="AD25" s="74"/>
      <c r="AE25" s="81" t="s">
        <v>506</v>
      </c>
      <c r="AF25" s="90" t="s">
        <v>435</v>
      </c>
      <c r="AG25" s="81">
        <v>4037</v>
      </c>
      <c r="AH25" s="81">
        <v>5529</v>
      </c>
      <c r="AI25" s="81">
        <v>45111</v>
      </c>
      <c r="AJ25" s="81">
        <v>132625</v>
      </c>
      <c r="AK25" s="81"/>
      <c r="AL25" s="81" t="s">
        <v>597</v>
      </c>
      <c r="AM25" s="81" t="s">
        <v>637</v>
      </c>
      <c r="AN25" s="81"/>
      <c r="AO25" s="81"/>
      <c r="AP25" s="83">
        <v>42182.44861111111</v>
      </c>
      <c r="AQ25" s="87" t="str">
        <f>HYPERLINK("https://pbs.twimg.com/profile_banners/3347476660/1613988388")</f>
        <v>https://pbs.twimg.com/profile_banners/3347476660/1613988388</v>
      </c>
      <c r="AR25" s="81" t="b">
        <v>1</v>
      </c>
      <c r="AS25" s="81" t="b">
        <v>0</v>
      </c>
      <c r="AT25" s="81" t="b">
        <v>0</v>
      </c>
      <c r="AU25" s="81"/>
      <c r="AV25" s="81">
        <v>2</v>
      </c>
      <c r="AW25" s="87" t="str">
        <f>HYPERLINK("https://abs.twimg.com/images/themes/theme1/bg.png")</f>
        <v>https://abs.twimg.com/images/themes/theme1/bg.png</v>
      </c>
      <c r="AX25" s="81" t="b">
        <v>0</v>
      </c>
      <c r="AY25" s="81" t="s">
        <v>652</v>
      </c>
      <c r="AZ25" s="87" t="str">
        <f>HYPERLINK("https://twitter.com/sarahpegg9")</f>
        <v>https://twitter.com/sarahpegg9</v>
      </c>
      <c r="BA25" s="81" t="s">
        <v>66</v>
      </c>
      <c r="BB25" s="81" t="str">
        <f>REPLACE(INDEX(GroupVertices[Group],MATCH(Vertices[[#This Row],[Vertex]],GroupVertices[Vertex],0)),1,1,"")</f>
        <v>2</v>
      </c>
      <c r="BC25" s="49"/>
      <c r="BD25" s="49"/>
      <c r="BE25" s="49"/>
      <c r="BF25" s="49"/>
      <c r="BG25" s="49"/>
      <c r="BH25" s="49"/>
      <c r="BI25" s="112" t="s">
        <v>838</v>
      </c>
      <c r="BJ25" s="112" t="s">
        <v>838</v>
      </c>
      <c r="BK25" s="112" t="s">
        <v>880</v>
      </c>
      <c r="BL25" s="112" t="s">
        <v>880</v>
      </c>
      <c r="BM25" s="112">
        <v>0</v>
      </c>
      <c r="BN25" s="115">
        <v>0</v>
      </c>
      <c r="BO25" s="112">
        <v>0</v>
      </c>
      <c r="BP25" s="115">
        <v>0</v>
      </c>
      <c r="BQ25" s="112">
        <v>0</v>
      </c>
      <c r="BR25" s="115">
        <v>0</v>
      </c>
      <c r="BS25" s="112">
        <v>16</v>
      </c>
      <c r="BT25" s="115">
        <v>100</v>
      </c>
      <c r="BU25" s="112">
        <v>16</v>
      </c>
      <c r="BV25" s="2"/>
      <c r="BW25" s="3"/>
      <c r="BX25" s="3"/>
      <c r="BY25" s="3"/>
      <c r="BZ25" s="3"/>
    </row>
    <row r="26" spans="1:78" ht="41.45" customHeight="1">
      <c r="A26" s="66" t="s">
        <v>264</v>
      </c>
      <c r="C26" s="67"/>
      <c r="D26" s="67" t="s">
        <v>64</v>
      </c>
      <c r="E26" s="68">
        <v>193.39087947882737</v>
      </c>
      <c r="F26" s="70">
        <v>99.80438683018897</v>
      </c>
      <c r="G26" s="105" t="str">
        <f>HYPERLINK("https://pbs.twimg.com/profile_images/938357653516050433/GXzFMhtJ_normal.jpg")</f>
        <v>https://pbs.twimg.com/profile_images/938357653516050433/GXzFMhtJ_normal.jpg</v>
      </c>
      <c r="H26" s="67"/>
      <c r="I26" s="71" t="s">
        <v>264</v>
      </c>
      <c r="J26" s="72"/>
      <c r="K26" s="72"/>
      <c r="L26" s="71" t="s">
        <v>675</v>
      </c>
      <c r="M26" s="75">
        <v>66.19134905902182</v>
      </c>
      <c r="N26" s="76">
        <v>9147.115234375</v>
      </c>
      <c r="O26" s="76">
        <v>849.6957397460938</v>
      </c>
      <c r="P26" s="77"/>
      <c r="Q26" s="78"/>
      <c r="R26" s="78"/>
      <c r="S26" s="91"/>
      <c r="T26" s="49">
        <v>0</v>
      </c>
      <c r="U26" s="49">
        <v>4</v>
      </c>
      <c r="V26" s="50">
        <v>98.157895</v>
      </c>
      <c r="W26" s="50">
        <v>0.009524</v>
      </c>
      <c r="X26" s="50">
        <v>0.018226</v>
      </c>
      <c r="Y26" s="50">
        <v>0.836867</v>
      </c>
      <c r="Z26" s="50">
        <v>0</v>
      </c>
      <c r="AA26" s="50">
        <v>0</v>
      </c>
      <c r="AB26" s="73">
        <v>26</v>
      </c>
      <c r="AC26" s="73"/>
      <c r="AD26" s="74"/>
      <c r="AE26" s="81" t="s">
        <v>507</v>
      </c>
      <c r="AF26" s="90" t="s">
        <v>436</v>
      </c>
      <c r="AG26" s="81">
        <v>1762</v>
      </c>
      <c r="AH26" s="81">
        <v>1682</v>
      </c>
      <c r="AI26" s="81">
        <v>31241</v>
      </c>
      <c r="AJ26" s="81">
        <v>41168</v>
      </c>
      <c r="AK26" s="81"/>
      <c r="AL26" s="81" t="s">
        <v>598</v>
      </c>
      <c r="AM26" s="81" t="s">
        <v>638</v>
      </c>
      <c r="AN26" s="81"/>
      <c r="AO26" s="81"/>
      <c r="AP26" s="83">
        <v>39838.4221875</v>
      </c>
      <c r="AQ26" s="87" t="str">
        <f>HYPERLINK("https://pbs.twimg.com/profile_banners/19483392/1512557062")</f>
        <v>https://pbs.twimg.com/profile_banners/19483392/1512557062</v>
      </c>
      <c r="AR26" s="81" t="b">
        <v>0</v>
      </c>
      <c r="AS26" s="81" t="b">
        <v>0</v>
      </c>
      <c r="AT26" s="81" t="b">
        <v>1</v>
      </c>
      <c r="AU26" s="81"/>
      <c r="AV26" s="81">
        <v>14</v>
      </c>
      <c r="AW26" s="87" t="str">
        <f>HYPERLINK("https://abs.twimg.com/images/themes/theme1/bg.png")</f>
        <v>https://abs.twimg.com/images/themes/theme1/bg.png</v>
      </c>
      <c r="AX26" s="81" t="b">
        <v>0</v>
      </c>
      <c r="AY26" s="81" t="s">
        <v>652</v>
      </c>
      <c r="AZ26" s="87" t="str">
        <f>HYPERLINK("https://twitter.com/russellengland")</f>
        <v>https://twitter.com/russellengland</v>
      </c>
      <c r="BA26" s="81" t="s">
        <v>66</v>
      </c>
      <c r="BB26" s="81" t="str">
        <f>REPLACE(INDEX(GroupVertices[Group],MATCH(Vertices[[#This Row],[Vertex]],GroupVertices[Vertex],0)),1,1,"")</f>
        <v>3</v>
      </c>
      <c r="BC26" s="49" t="s">
        <v>717</v>
      </c>
      <c r="BD26" s="49" t="s">
        <v>717</v>
      </c>
      <c r="BE26" s="49" t="s">
        <v>345</v>
      </c>
      <c r="BF26" s="49" t="s">
        <v>345</v>
      </c>
      <c r="BG26" s="49"/>
      <c r="BH26" s="49"/>
      <c r="BI26" s="112" t="s">
        <v>839</v>
      </c>
      <c r="BJ26" s="112" t="s">
        <v>859</v>
      </c>
      <c r="BK26" s="112" t="s">
        <v>881</v>
      </c>
      <c r="BL26" s="112" t="s">
        <v>901</v>
      </c>
      <c r="BM26" s="112">
        <v>0</v>
      </c>
      <c r="BN26" s="115">
        <v>0</v>
      </c>
      <c r="BO26" s="112">
        <v>2</v>
      </c>
      <c r="BP26" s="115">
        <v>5.405405405405405</v>
      </c>
      <c r="BQ26" s="112">
        <v>0</v>
      </c>
      <c r="BR26" s="115">
        <v>0</v>
      </c>
      <c r="BS26" s="112">
        <v>35</v>
      </c>
      <c r="BT26" s="115">
        <v>94.5945945945946</v>
      </c>
      <c r="BU26" s="112">
        <v>37</v>
      </c>
      <c r="BV26" s="2"/>
      <c r="BW26" s="3"/>
      <c r="BX26" s="3"/>
      <c r="BY26" s="3"/>
      <c r="BZ26" s="3"/>
    </row>
    <row r="27" spans="1:78" ht="41.45" customHeight="1">
      <c r="A27" s="66" t="s">
        <v>293</v>
      </c>
      <c r="C27" s="67"/>
      <c r="D27" s="67" t="s">
        <v>64</v>
      </c>
      <c r="E27" s="68">
        <v>170.9180759448485</v>
      </c>
      <c r="F27" s="70">
        <v>99.94442675282914</v>
      </c>
      <c r="G27" s="105" t="str">
        <f>HYPERLINK("https://pbs.twimg.com/profile_images/433209066501206017/eVJc-SDx_normal.jpeg")</f>
        <v>https://pbs.twimg.com/profile_images/433209066501206017/eVJc-SDx_normal.jpeg</v>
      </c>
      <c r="H27" s="67"/>
      <c r="I27" s="71" t="s">
        <v>293</v>
      </c>
      <c r="J27" s="72"/>
      <c r="K27" s="72"/>
      <c r="L27" s="71" t="s">
        <v>676</v>
      </c>
      <c r="M27" s="75">
        <v>19.520710840472546</v>
      </c>
      <c r="N27" s="76">
        <v>9147.115234375</v>
      </c>
      <c r="O27" s="76">
        <v>1891.2581787109375</v>
      </c>
      <c r="P27" s="77"/>
      <c r="Q27" s="78"/>
      <c r="R27" s="78"/>
      <c r="S27" s="91"/>
      <c r="T27" s="49">
        <v>1</v>
      </c>
      <c r="U27" s="49">
        <v>0</v>
      </c>
      <c r="V27" s="50">
        <v>0</v>
      </c>
      <c r="W27" s="50">
        <v>0.006494</v>
      </c>
      <c r="X27" s="50">
        <v>0.001602</v>
      </c>
      <c r="Y27" s="50">
        <v>0.327834</v>
      </c>
      <c r="Z27" s="50">
        <v>0</v>
      </c>
      <c r="AA27" s="50">
        <v>0</v>
      </c>
      <c r="AB27" s="73">
        <v>27</v>
      </c>
      <c r="AC27" s="73"/>
      <c r="AD27" s="74"/>
      <c r="AE27" s="81" t="s">
        <v>508</v>
      </c>
      <c r="AF27" s="90" t="s">
        <v>552</v>
      </c>
      <c r="AG27" s="81">
        <v>189</v>
      </c>
      <c r="AH27" s="81">
        <v>480</v>
      </c>
      <c r="AI27" s="81">
        <v>72348</v>
      </c>
      <c r="AJ27" s="81">
        <v>63889</v>
      </c>
      <c r="AK27" s="81"/>
      <c r="AL27" s="81" t="s">
        <v>599</v>
      </c>
      <c r="AM27" s="81" t="s">
        <v>639</v>
      </c>
      <c r="AN27" s="81"/>
      <c r="AO27" s="81"/>
      <c r="AP27" s="83">
        <v>41585.39328703703</v>
      </c>
      <c r="AQ27" s="81"/>
      <c r="AR27" s="81" t="b">
        <v>0</v>
      </c>
      <c r="AS27" s="81" t="b">
        <v>0</v>
      </c>
      <c r="AT27" s="81" t="b">
        <v>1</v>
      </c>
      <c r="AU27" s="81"/>
      <c r="AV27" s="81">
        <v>3</v>
      </c>
      <c r="AW27" s="87" t="str">
        <f>HYPERLINK("https://abs.twimg.com/images/themes/theme1/bg.png")</f>
        <v>https://abs.twimg.com/images/themes/theme1/bg.png</v>
      </c>
      <c r="AX27" s="81" t="b">
        <v>0</v>
      </c>
      <c r="AY27" s="81" t="s">
        <v>652</v>
      </c>
      <c r="AZ27" s="87" t="str">
        <f>HYPERLINK("https://twitter.com/clickoncopy")</f>
        <v>https://twitter.com/clickoncopy</v>
      </c>
      <c r="BA27" s="81" t="s">
        <v>65</v>
      </c>
      <c r="BB27" s="81" t="str">
        <f>REPLACE(INDEX(GroupVertices[Group],MATCH(Vertices[[#This Row],[Vertex]],GroupVertices[Vertex],0)),1,1,"")</f>
        <v>3</v>
      </c>
      <c r="BC27" s="49"/>
      <c r="BD27" s="49"/>
      <c r="BE27" s="49"/>
      <c r="BF27" s="49"/>
      <c r="BG27" s="49"/>
      <c r="BH27" s="49"/>
      <c r="BI27" s="49"/>
      <c r="BJ27" s="49"/>
      <c r="BK27" s="49"/>
      <c r="BL27" s="49"/>
      <c r="BM27" s="49"/>
      <c r="BN27" s="50"/>
      <c r="BO27" s="49"/>
      <c r="BP27" s="50"/>
      <c r="BQ27" s="49"/>
      <c r="BR27" s="50"/>
      <c r="BS27" s="49"/>
      <c r="BT27" s="50"/>
      <c r="BU27" s="49"/>
      <c r="BV27" s="2"/>
      <c r="BW27" s="3"/>
      <c r="BX27" s="3"/>
      <c r="BY27" s="3"/>
      <c r="BZ27" s="3"/>
    </row>
    <row r="28" spans="1:78" ht="41.45" customHeight="1">
      <c r="A28" s="66" t="s">
        <v>265</v>
      </c>
      <c r="C28" s="67"/>
      <c r="D28" s="67" t="s">
        <v>64</v>
      </c>
      <c r="E28" s="68">
        <v>167.3097139797421</v>
      </c>
      <c r="F28" s="70">
        <v>99.96691236436787</v>
      </c>
      <c r="G28" s="105" t="str">
        <f>HYPERLINK("https://pbs.twimg.com/profile_images/1408089878332592131/hUF1a4yW_normal.jpg")</f>
        <v>https://pbs.twimg.com/profile_images/1408089878332592131/hUF1a4yW_normal.jpg</v>
      </c>
      <c r="H28" s="67"/>
      <c r="I28" s="71" t="s">
        <v>265</v>
      </c>
      <c r="J28" s="72"/>
      <c r="K28" s="72"/>
      <c r="L28" s="71" t="s">
        <v>677</v>
      </c>
      <c r="M28" s="75">
        <v>12.02700603499833</v>
      </c>
      <c r="N28" s="76">
        <v>2433.742919921875</v>
      </c>
      <c r="O28" s="76">
        <v>5887.10302734375</v>
      </c>
      <c r="P28" s="77"/>
      <c r="Q28" s="78"/>
      <c r="R28" s="78"/>
      <c r="S28" s="91"/>
      <c r="T28" s="49">
        <v>0</v>
      </c>
      <c r="U28" s="49">
        <v>3</v>
      </c>
      <c r="V28" s="50">
        <v>0.157895</v>
      </c>
      <c r="W28" s="50">
        <v>0.009346</v>
      </c>
      <c r="X28" s="50">
        <v>0.018085</v>
      </c>
      <c r="Y28" s="50">
        <v>0.558208</v>
      </c>
      <c r="Z28" s="50">
        <v>0</v>
      </c>
      <c r="AA28" s="50">
        <v>0</v>
      </c>
      <c r="AB28" s="73">
        <v>28</v>
      </c>
      <c r="AC28" s="73"/>
      <c r="AD28" s="74"/>
      <c r="AE28" s="81" t="s">
        <v>509</v>
      </c>
      <c r="AF28" s="90" t="s">
        <v>553</v>
      </c>
      <c r="AG28" s="81">
        <v>1715</v>
      </c>
      <c r="AH28" s="81">
        <v>287</v>
      </c>
      <c r="AI28" s="81">
        <v>7076</v>
      </c>
      <c r="AJ28" s="81">
        <v>14849</v>
      </c>
      <c r="AK28" s="81"/>
      <c r="AL28" s="81" t="s">
        <v>600</v>
      </c>
      <c r="AM28" s="81" t="s">
        <v>624</v>
      </c>
      <c r="AN28" s="81"/>
      <c r="AO28" s="81"/>
      <c r="AP28" s="83">
        <v>40348.51734953704</v>
      </c>
      <c r="AQ28" s="87" t="str">
        <f>HYPERLINK("https://pbs.twimg.com/profile_banners/157299449/1566294170")</f>
        <v>https://pbs.twimg.com/profile_banners/157299449/1566294170</v>
      </c>
      <c r="AR28" s="81" t="b">
        <v>1</v>
      </c>
      <c r="AS28" s="81" t="b">
        <v>0</v>
      </c>
      <c r="AT28" s="81" t="b">
        <v>1</v>
      </c>
      <c r="AU28" s="81"/>
      <c r="AV28" s="81">
        <v>3</v>
      </c>
      <c r="AW28" s="87" t="str">
        <f>HYPERLINK("https://abs.twimg.com/images/themes/theme1/bg.png")</f>
        <v>https://abs.twimg.com/images/themes/theme1/bg.png</v>
      </c>
      <c r="AX28" s="81" t="b">
        <v>0</v>
      </c>
      <c r="AY28" s="81" t="s">
        <v>652</v>
      </c>
      <c r="AZ28" s="87" t="str">
        <f>HYPERLINK("https://twitter.com/viclfc")</f>
        <v>https://twitter.com/viclfc</v>
      </c>
      <c r="BA28" s="81" t="s">
        <v>66</v>
      </c>
      <c r="BB28" s="81" t="str">
        <f>REPLACE(INDEX(GroupVertices[Group],MATCH(Vertices[[#This Row],[Vertex]],GroupVertices[Vertex],0)),1,1,"")</f>
        <v>1</v>
      </c>
      <c r="BC28" s="49"/>
      <c r="BD28" s="49"/>
      <c r="BE28" s="49"/>
      <c r="BF28" s="49"/>
      <c r="BG28" s="49"/>
      <c r="BH28" s="49"/>
      <c r="BI28" s="112" t="s">
        <v>840</v>
      </c>
      <c r="BJ28" s="112" t="s">
        <v>840</v>
      </c>
      <c r="BK28" s="112" t="s">
        <v>882</v>
      </c>
      <c r="BL28" s="112" t="s">
        <v>882</v>
      </c>
      <c r="BM28" s="112">
        <v>1</v>
      </c>
      <c r="BN28" s="115">
        <v>2.127659574468085</v>
      </c>
      <c r="BO28" s="112">
        <v>1</v>
      </c>
      <c r="BP28" s="115">
        <v>2.127659574468085</v>
      </c>
      <c r="BQ28" s="112">
        <v>0</v>
      </c>
      <c r="BR28" s="115">
        <v>0</v>
      </c>
      <c r="BS28" s="112">
        <v>45</v>
      </c>
      <c r="BT28" s="115">
        <v>95.74468085106383</v>
      </c>
      <c r="BU28" s="112">
        <v>47</v>
      </c>
      <c r="BV28" s="2"/>
      <c r="BW28" s="3"/>
      <c r="BX28" s="3"/>
      <c r="BY28" s="3"/>
      <c r="BZ28" s="3"/>
    </row>
    <row r="29" spans="1:78" ht="41.45" customHeight="1">
      <c r="A29" s="66" t="s">
        <v>266</v>
      </c>
      <c r="C29" s="67"/>
      <c r="D29" s="67" t="s">
        <v>64</v>
      </c>
      <c r="E29" s="68">
        <v>192.9421712551872</v>
      </c>
      <c r="F29" s="70">
        <v>99.80718296841141</v>
      </c>
      <c r="G29" s="105" t="str">
        <f>HYPERLINK("https://pbs.twimg.com/profile_images/1338174284410314753/tTcftba__normal.jpg")</f>
        <v>https://pbs.twimg.com/profile_images/1338174284410314753/tTcftba__normal.jpg</v>
      </c>
      <c r="H29" s="67"/>
      <c r="I29" s="71" t="s">
        <v>266</v>
      </c>
      <c r="J29" s="72"/>
      <c r="K29" s="72"/>
      <c r="L29" s="71" t="s">
        <v>678</v>
      </c>
      <c r="M29" s="75">
        <v>65.25948939409238</v>
      </c>
      <c r="N29" s="76">
        <v>2852.105712890625</v>
      </c>
      <c r="O29" s="76">
        <v>2349.1875</v>
      </c>
      <c r="P29" s="77"/>
      <c r="Q29" s="78"/>
      <c r="R29" s="78"/>
      <c r="S29" s="91"/>
      <c r="T29" s="49">
        <v>0</v>
      </c>
      <c r="U29" s="49">
        <v>4</v>
      </c>
      <c r="V29" s="50">
        <v>98.157895</v>
      </c>
      <c r="W29" s="50">
        <v>0.009524</v>
      </c>
      <c r="X29" s="50">
        <v>0.018226</v>
      </c>
      <c r="Y29" s="50">
        <v>0.836867</v>
      </c>
      <c r="Z29" s="50">
        <v>0</v>
      </c>
      <c r="AA29" s="50">
        <v>0</v>
      </c>
      <c r="AB29" s="73">
        <v>29</v>
      </c>
      <c r="AC29" s="73"/>
      <c r="AD29" s="74"/>
      <c r="AE29" s="81" t="s">
        <v>510</v>
      </c>
      <c r="AF29" s="90" t="s">
        <v>554</v>
      </c>
      <c r="AG29" s="81">
        <v>1588</v>
      </c>
      <c r="AH29" s="81">
        <v>1658</v>
      </c>
      <c r="AI29" s="81">
        <v>32161</v>
      </c>
      <c r="AJ29" s="81">
        <v>143908</v>
      </c>
      <c r="AK29" s="81"/>
      <c r="AL29" s="81"/>
      <c r="AM29" s="81"/>
      <c r="AN29" s="81"/>
      <c r="AO29" s="81"/>
      <c r="AP29" s="83">
        <v>43791.756006944444</v>
      </c>
      <c r="AQ29" s="81"/>
      <c r="AR29" s="81" t="b">
        <v>1</v>
      </c>
      <c r="AS29" s="81" t="b">
        <v>0</v>
      </c>
      <c r="AT29" s="81" t="b">
        <v>0</v>
      </c>
      <c r="AU29" s="81"/>
      <c r="AV29" s="81">
        <v>0</v>
      </c>
      <c r="AW29" s="81"/>
      <c r="AX29" s="81" t="b">
        <v>0</v>
      </c>
      <c r="AY29" s="81" t="s">
        <v>652</v>
      </c>
      <c r="AZ29" s="87" t="str">
        <f>HYPERLINK("https://twitter.com/juliemo46777750")</f>
        <v>https://twitter.com/juliemo46777750</v>
      </c>
      <c r="BA29" s="81" t="s">
        <v>66</v>
      </c>
      <c r="BB29" s="81" t="str">
        <f>REPLACE(INDEX(GroupVertices[Group],MATCH(Vertices[[#This Row],[Vertex]],GroupVertices[Vertex],0)),1,1,"")</f>
        <v>1</v>
      </c>
      <c r="BC29" s="49"/>
      <c r="BD29" s="49"/>
      <c r="BE29" s="49"/>
      <c r="BF29" s="49"/>
      <c r="BG29" s="49"/>
      <c r="BH29" s="49"/>
      <c r="BI29" s="112" t="s">
        <v>841</v>
      </c>
      <c r="BJ29" s="112" t="s">
        <v>841</v>
      </c>
      <c r="BK29" s="112" t="s">
        <v>883</v>
      </c>
      <c r="BL29" s="112" t="s">
        <v>883</v>
      </c>
      <c r="BM29" s="112">
        <v>0</v>
      </c>
      <c r="BN29" s="115">
        <v>0</v>
      </c>
      <c r="BO29" s="112">
        <v>0</v>
      </c>
      <c r="BP29" s="115">
        <v>0</v>
      </c>
      <c r="BQ29" s="112">
        <v>0</v>
      </c>
      <c r="BR29" s="115">
        <v>0</v>
      </c>
      <c r="BS29" s="112">
        <v>15</v>
      </c>
      <c r="BT29" s="115">
        <v>100</v>
      </c>
      <c r="BU29" s="112">
        <v>15</v>
      </c>
      <c r="BV29" s="2"/>
      <c r="BW29" s="3"/>
      <c r="BX29" s="3"/>
      <c r="BY29" s="3"/>
      <c r="BZ29" s="3"/>
    </row>
    <row r="30" spans="1:78" ht="41.45" customHeight="1">
      <c r="A30" s="66" t="s">
        <v>294</v>
      </c>
      <c r="C30" s="67"/>
      <c r="D30" s="67" t="s">
        <v>64</v>
      </c>
      <c r="E30" s="68">
        <v>307.84886885904245</v>
      </c>
      <c r="F30" s="70">
        <v>99.09113857195007</v>
      </c>
      <c r="G30" s="105" t="str">
        <f>HYPERLINK("https://pbs.twimg.com/profile_images/1377653954352398337/v-bCs9ju_normal.jpg")</f>
        <v>https://pbs.twimg.com/profile_images/1377653954352398337/v-bCs9ju_normal.jpg</v>
      </c>
      <c r="H30" s="67"/>
      <c r="I30" s="71" t="s">
        <v>294</v>
      </c>
      <c r="J30" s="72"/>
      <c r="K30" s="72"/>
      <c r="L30" s="71" t="s">
        <v>679</v>
      </c>
      <c r="M30" s="75">
        <v>303.8932185881055</v>
      </c>
      <c r="N30" s="76">
        <v>2094.178466796875</v>
      </c>
      <c r="O30" s="76">
        <v>328.9144592285156</v>
      </c>
      <c r="P30" s="77"/>
      <c r="Q30" s="78"/>
      <c r="R30" s="78"/>
      <c r="S30" s="91"/>
      <c r="T30" s="49">
        <v>1</v>
      </c>
      <c r="U30" s="49">
        <v>0</v>
      </c>
      <c r="V30" s="50">
        <v>0</v>
      </c>
      <c r="W30" s="50">
        <v>0.006494</v>
      </c>
      <c r="X30" s="50">
        <v>0.001602</v>
      </c>
      <c r="Y30" s="50">
        <v>0.327834</v>
      </c>
      <c r="Z30" s="50">
        <v>0</v>
      </c>
      <c r="AA30" s="50">
        <v>0</v>
      </c>
      <c r="AB30" s="73">
        <v>30</v>
      </c>
      <c r="AC30" s="73"/>
      <c r="AD30" s="74"/>
      <c r="AE30" s="81" t="s">
        <v>511</v>
      </c>
      <c r="AF30" s="90" t="s">
        <v>555</v>
      </c>
      <c r="AG30" s="81">
        <v>7869</v>
      </c>
      <c r="AH30" s="81">
        <v>7804</v>
      </c>
      <c r="AI30" s="81">
        <v>37853</v>
      </c>
      <c r="AJ30" s="81">
        <v>35436</v>
      </c>
      <c r="AK30" s="81"/>
      <c r="AL30" s="81" t="s">
        <v>601</v>
      </c>
      <c r="AM30" s="81" t="s">
        <v>640</v>
      </c>
      <c r="AN30" s="87" t="str">
        <f>HYPERLINK("https://t.co/4is8f1ffz0")</f>
        <v>https://t.co/4is8f1ffz0</v>
      </c>
      <c r="AO30" s="81"/>
      <c r="AP30" s="83">
        <v>40765.32914351852</v>
      </c>
      <c r="AQ30" s="87" t="str">
        <f>HYPERLINK("https://pbs.twimg.com/profile_banners/352182320/1617015193")</f>
        <v>https://pbs.twimg.com/profile_banners/352182320/1617015193</v>
      </c>
      <c r="AR30" s="81" t="b">
        <v>0</v>
      </c>
      <c r="AS30" s="81" t="b">
        <v>0</v>
      </c>
      <c r="AT30" s="81" t="b">
        <v>1</v>
      </c>
      <c r="AU30" s="81"/>
      <c r="AV30" s="81">
        <v>3</v>
      </c>
      <c r="AW30" s="87" t="str">
        <f>HYPERLINK("https://abs.twimg.com/images/themes/theme1/bg.png")</f>
        <v>https://abs.twimg.com/images/themes/theme1/bg.png</v>
      </c>
      <c r="AX30" s="81" t="b">
        <v>0</v>
      </c>
      <c r="AY30" s="81" t="s">
        <v>652</v>
      </c>
      <c r="AZ30" s="87" t="str">
        <f>HYPERLINK("https://twitter.com/johntonks")</f>
        <v>https://twitter.com/johntonks</v>
      </c>
      <c r="BA30" s="81" t="s">
        <v>65</v>
      </c>
      <c r="BB30" s="81" t="str">
        <f>REPLACE(INDEX(GroupVertices[Group],MATCH(Vertices[[#This Row],[Vertex]],GroupVertices[Vertex],0)),1,1,"")</f>
        <v>1</v>
      </c>
      <c r="BC30" s="49"/>
      <c r="BD30" s="49"/>
      <c r="BE30" s="49"/>
      <c r="BF30" s="49"/>
      <c r="BG30" s="49"/>
      <c r="BH30" s="49"/>
      <c r="BI30" s="49"/>
      <c r="BJ30" s="49"/>
      <c r="BK30" s="49"/>
      <c r="BL30" s="49"/>
      <c r="BM30" s="49"/>
      <c r="BN30" s="50"/>
      <c r="BO30" s="49"/>
      <c r="BP30" s="50"/>
      <c r="BQ30" s="49"/>
      <c r="BR30" s="50"/>
      <c r="BS30" s="49"/>
      <c r="BT30" s="50"/>
      <c r="BU30" s="49"/>
      <c r="BV30" s="2"/>
      <c r="BW30" s="3"/>
      <c r="BX30" s="3"/>
      <c r="BY30" s="3"/>
      <c r="BZ30" s="3"/>
    </row>
    <row r="31" spans="1:78" ht="41.45" customHeight="1">
      <c r="A31" s="66" t="s">
        <v>267</v>
      </c>
      <c r="C31" s="67"/>
      <c r="D31" s="67" t="s">
        <v>64</v>
      </c>
      <c r="E31" s="68">
        <v>220.85556200080316</v>
      </c>
      <c r="F31" s="70">
        <v>99.63323986982424</v>
      </c>
      <c r="G31" s="105" t="str">
        <f>HYPERLINK("https://pbs.twimg.com/profile_images/1382805167360327681/AkoyRuKo_normal.jpg")</f>
        <v>https://pbs.twimg.com/profile_images/1382805167360327681/AkoyRuKo_normal.jpg</v>
      </c>
      <c r="H31" s="67"/>
      <c r="I31" s="71" t="s">
        <v>267</v>
      </c>
      <c r="J31" s="72"/>
      <c r="K31" s="72"/>
      <c r="L31" s="71" t="s">
        <v>680</v>
      </c>
      <c r="M31" s="75">
        <v>123.22892604991107</v>
      </c>
      <c r="N31" s="76">
        <v>4302.65087890625</v>
      </c>
      <c r="O31" s="76">
        <v>2478.30419921875</v>
      </c>
      <c r="P31" s="77"/>
      <c r="Q31" s="78"/>
      <c r="R31" s="78"/>
      <c r="S31" s="91"/>
      <c r="T31" s="49">
        <v>0</v>
      </c>
      <c r="U31" s="49">
        <v>4</v>
      </c>
      <c r="V31" s="50">
        <v>98.157895</v>
      </c>
      <c r="W31" s="50">
        <v>0.009524</v>
      </c>
      <c r="X31" s="50">
        <v>0.018226</v>
      </c>
      <c r="Y31" s="50">
        <v>0.836867</v>
      </c>
      <c r="Z31" s="50">
        <v>0</v>
      </c>
      <c r="AA31" s="50">
        <v>0</v>
      </c>
      <c r="AB31" s="73">
        <v>31</v>
      </c>
      <c r="AC31" s="73"/>
      <c r="AD31" s="74"/>
      <c r="AE31" s="81" t="s">
        <v>512</v>
      </c>
      <c r="AF31" s="90" t="s">
        <v>556</v>
      </c>
      <c r="AG31" s="81">
        <v>3416</v>
      </c>
      <c r="AH31" s="81">
        <v>3151</v>
      </c>
      <c r="AI31" s="81">
        <v>77071</v>
      </c>
      <c r="AJ31" s="81">
        <v>85238</v>
      </c>
      <c r="AK31" s="81"/>
      <c r="AL31" s="81" t="s">
        <v>602</v>
      </c>
      <c r="AM31" s="81" t="s">
        <v>641</v>
      </c>
      <c r="AN31" s="81"/>
      <c r="AO31" s="81"/>
      <c r="AP31" s="83">
        <v>43717.44571759259</v>
      </c>
      <c r="AQ31" s="87" t="str">
        <f>HYPERLINK("https://pbs.twimg.com/profile_banners/1171010757275918339/1609959803")</f>
        <v>https://pbs.twimg.com/profile_banners/1171010757275918339/1609959803</v>
      </c>
      <c r="AR31" s="81" t="b">
        <v>1</v>
      </c>
      <c r="AS31" s="81" t="b">
        <v>0</v>
      </c>
      <c r="AT31" s="81" t="b">
        <v>0</v>
      </c>
      <c r="AU31" s="81"/>
      <c r="AV31" s="81">
        <v>2</v>
      </c>
      <c r="AW31" s="81"/>
      <c r="AX31" s="81" t="b">
        <v>0</v>
      </c>
      <c r="AY31" s="81" t="s">
        <v>652</v>
      </c>
      <c r="AZ31" s="87" t="str">
        <f>HYPERLINK("https://twitter.com/margaridafawke")</f>
        <v>https://twitter.com/margaridafawke</v>
      </c>
      <c r="BA31" s="81" t="s">
        <v>66</v>
      </c>
      <c r="BB31" s="81" t="str">
        <f>REPLACE(INDEX(GroupVertices[Group],MATCH(Vertices[[#This Row],[Vertex]],GroupVertices[Vertex],0)),1,1,"")</f>
        <v>1</v>
      </c>
      <c r="BC31" s="49"/>
      <c r="BD31" s="49"/>
      <c r="BE31" s="49"/>
      <c r="BF31" s="49"/>
      <c r="BG31" s="49"/>
      <c r="BH31" s="49"/>
      <c r="BI31" s="112" t="s">
        <v>842</v>
      </c>
      <c r="BJ31" s="112" t="s">
        <v>842</v>
      </c>
      <c r="BK31" s="112" t="s">
        <v>884</v>
      </c>
      <c r="BL31" s="112" t="s">
        <v>884</v>
      </c>
      <c r="BM31" s="112">
        <v>0</v>
      </c>
      <c r="BN31" s="115">
        <v>0</v>
      </c>
      <c r="BO31" s="112">
        <v>3</v>
      </c>
      <c r="BP31" s="115">
        <v>16.666666666666668</v>
      </c>
      <c r="BQ31" s="112">
        <v>0</v>
      </c>
      <c r="BR31" s="115">
        <v>0</v>
      </c>
      <c r="BS31" s="112">
        <v>15</v>
      </c>
      <c r="BT31" s="115">
        <v>83.33333333333333</v>
      </c>
      <c r="BU31" s="112">
        <v>18</v>
      </c>
      <c r="BV31" s="2"/>
      <c r="BW31" s="3"/>
      <c r="BX31" s="3"/>
      <c r="BY31" s="3"/>
      <c r="BZ31" s="3"/>
    </row>
    <row r="32" spans="1:78" ht="41.45" customHeight="1">
      <c r="A32" s="66" t="s">
        <v>295</v>
      </c>
      <c r="C32" s="67"/>
      <c r="D32" s="67" t="s">
        <v>64</v>
      </c>
      <c r="E32" s="68">
        <v>224.09000044620944</v>
      </c>
      <c r="F32" s="70">
        <v>99.61308437347085</v>
      </c>
      <c r="G32" s="105" t="str">
        <f>HYPERLINK("https://pbs.twimg.com/profile_images/985223450095742976/m8zGz73V_normal.jpg")</f>
        <v>https://pbs.twimg.com/profile_images/985223450095742976/m8zGz73V_normal.jpg</v>
      </c>
      <c r="H32" s="67"/>
      <c r="I32" s="71" t="s">
        <v>295</v>
      </c>
      <c r="J32" s="72"/>
      <c r="K32" s="72"/>
      <c r="L32" s="71" t="s">
        <v>681</v>
      </c>
      <c r="M32" s="75">
        <v>129.94608113461075</v>
      </c>
      <c r="N32" s="76">
        <v>4973.4521484375</v>
      </c>
      <c r="O32" s="76">
        <v>398.8810729980469</v>
      </c>
      <c r="P32" s="77"/>
      <c r="Q32" s="78"/>
      <c r="R32" s="78"/>
      <c r="S32" s="91"/>
      <c r="T32" s="49">
        <v>1</v>
      </c>
      <c r="U32" s="49">
        <v>0</v>
      </c>
      <c r="V32" s="50">
        <v>0</v>
      </c>
      <c r="W32" s="50">
        <v>0.006494</v>
      </c>
      <c r="X32" s="50">
        <v>0.001602</v>
      </c>
      <c r="Y32" s="50">
        <v>0.327834</v>
      </c>
      <c r="Z32" s="50">
        <v>0</v>
      </c>
      <c r="AA32" s="50">
        <v>0</v>
      </c>
      <c r="AB32" s="73">
        <v>32</v>
      </c>
      <c r="AC32" s="73"/>
      <c r="AD32" s="74"/>
      <c r="AE32" s="81" t="s">
        <v>513</v>
      </c>
      <c r="AF32" s="90" t="s">
        <v>557</v>
      </c>
      <c r="AG32" s="81">
        <v>4235</v>
      </c>
      <c r="AH32" s="81">
        <v>3324</v>
      </c>
      <c r="AI32" s="81">
        <v>33417</v>
      </c>
      <c r="AJ32" s="81">
        <v>71207</v>
      </c>
      <c r="AK32" s="81"/>
      <c r="AL32" s="81" t="s">
        <v>603</v>
      </c>
      <c r="AM32" s="81" t="s">
        <v>642</v>
      </c>
      <c r="AN32" s="81"/>
      <c r="AO32" s="81"/>
      <c r="AP32" s="83">
        <v>40105.78912037037</v>
      </c>
      <c r="AQ32" s="87" t="str">
        <f>HYPERLINK("https://pbs.twimg.com/profile_banners/83664223/1633798086")</f>
        <v>https://pbs.twimg.com/profile_banners/83664223/1633798086</v>
      </c>
      <c r="AR32" s="81" t="b">
        <v>0</v>
      </c>
      <c r="AS32" s="81" t="b">
        <v>0</v>
      </c>
      <c r="AT32" s="81" t="b">
        <v>1</v>
      </c>
      <c r="AU32" s="81"/>
      <c r="AV32" s="81">
        <v>8</v>
      </c>
      <c r="AW32" s="87" t="str">
        <f>HYPERLINK("https://abs.twimg.com/images/themes/theme10/bg.gif")</f>
        <v>https://abs.twimg.com/images/themes/theme10/bg.gif</v>
      </c>
      <c r="AX32" s="81" t="b">
        <v>0</v>
      </c>
      <c r="AY32" s="81" t="s">
        <v>652</v>
      </c>
      <c r="AZ32" s="87" t="str">
        <f>HYPERLINK("https://twitter.com/moonstoneclare")</f>
        <v>https://twitter.com/moonstoneclare</v>
      </c>
      <c r="BA32" s="81" t="s">
        <v>65</v>
      </c>
      <c r="BB32" s="81" t="str">
        <f>REPLACE(INDEX(GroupVertices[Group],MATCH(Vertices[[#This Row],[Vertex]],GroupVertices[Vertex],0)),1,1,"")</f>
        <v>1</v>
      </c>
      <c r="BC32" s="49"/>
      <c r="BD32" s="49"/>
      <c r="BE32" s="49"/>
      <c r="BF32" s="49"/>
      <c r="BG32" s="49"/>
      <c r="BH32" s="49"/>
      <c r="BI32" s="49"/>
      <c r="BJ32" s="49"/>
      <c r="BK32" s="49"/>
      <c r="BL32" s="49"/>
      <c r="BM32" s="49"/>
      <c r="BN32" s="50"/>
      <c r="BO32" s="49"/>
      <c r="BP32" s="50"/>
      <c r="BQ32" s="49"/>
      <c r="BR32" s="50"/>
      <c r="BS32" s="49"/>
      <c r="BT32" s="50"/>
      <c r="BU32" s="49"/>
      <c r="BV32" s="2"/>
      <c r="BW32" s="3"/>
      <c r="BX32" s="3"/>
      <c r="BY32" s="3"/>
      <c r="BZ32" s="3"/>
    </row>
    <row r="33" spans="1:78" ht="41.45" customHeight="1">
      <c r="A33" s="66" t="s">
        <v>268</v>
      </c>
      <c r="C33" s="67"/>
      <c r="D33" s="67" t="s">
        <v>64</v>
      </c>
      <c r="E33" s="68">
        <v>162.69175851144527</v>
      </c>
      <c r="F33" s="70">
        <v>99.99568928690708</v>
      </c>
      <c r="G33" s="105" t="str">
        <f>HYPERLINK("https://pbs.twimg.com/profile_images/717827353980887040/ephdr0Vx_normal.jpg")</f>
        <v>https://pbs.twimg.com/profile_images/717827353980887040/ephdr0Vx_normal.jpg</v>
      </c>
      <c r="H33" s="67"/>
      <c r="I33" s="71" t="s">
        <v>268</v>
      </c>
      <c r="J33" s="72"/>
      <c r="K33" s="72"/>
      <c r="L33" s="71" t="s">
        <v>682</v>
      </c>
      <c r="M33" s="75">
        <v>2.436616983432881</v>
      </c>
      <c r="N33" s="76">
        <v>4027.15966796875</v>
      </c>
      <c r="O33" s="76">
        <v>3284.60693359375</v>
      </c>
      <c r="P33" s="77"/>
      <c r="Q33" s="78"/>
      <c r="R33" s="78"/>
      <c r="S33" s="91"/>
      <c r="T33" s="49">
        <v>0</v>
      </c>
      <c r="U33" s="49">
        <v>4</v>
      </c>
      <c r="V33" s="50">
        <v>4.824561</v>
      </c>
      <c r="W33" s="50">
        <v>0.009524</v>
      </c>
      <c r="X33" s="50">
        <v>0.020657</v>
      </c>
      <c r="Y33" s="50">
        <v>0.688056</v>
      </c>
      <c r="Z33" s="50">
        <v>0</v>
      </c>
      <c r="AA33" s="50">
        <v>0</v>
      </c>
      <c r="AB33" s="73">
        <v>33</v>
      </c>
      <c r="AC33" s="73"/>
      <c r="AD33" s="74"/>
      <c r="AE33" s="81" t="s">
        <v>268</v>
      </c>
      <c r="AF33" s="90" t="s">
        <v>558</v>
      </c>
      <c r="AG33" s="81">
        <v>286</v>
      </c>
      <c r="AH33" s="81">
        <v>40</v>
      </c>
      <c r="AI33" s="81">
        <v>3222</v>
      </c>
      <c r="AJ33" s="81">
        <v>15831</v>
      </c>
      <c r="AK33" s="81"/>
      <c r="AL33" s="81" t="s">
        <v>604</v>
      </c>
      <c r="AM33" s="81" t="s">
        <v>634</v>
      </c>
      <c r="AN33" s="81"/>
      <c r="AO33" s="81"/>
      <c r="AP33" s="83">
        <v>40587.722905092596</v>
      </c>
      <c r="AQ33" s="81"/>
      <c r="AR33" s="81" t="b">
        <v>1</v>
      </c>
      <c r="AS33" s="81" t="b">
        <v>0</v>
      </c>
      <c r="AT33" s="81" t="b">
        <v>0</v>
      </c>
      <c r="AU33" s="81"/>
      <c r="AV33" s="81">
        <v>0</v>
      </c>
      <c r="AW33" s="87" t="str">
        <f>HYPERLINK("https://abs.twimg.com/images/themes/theme1/bg.png")</f>
        <v>https://abs.twimg.com/images/themes/theme1/bg.png</v>
      </c>
      <c r="AX33" s="81" t="b">
        <v>0</v>
      </c>
      <c r="AY33" s="81" t="s">
        <v>652</v>
      </c>
      <c r="AZ33" s="87" t="str">
        <f>HYPERLINK("https://twitter.com/ambleexile")</f>
        <v>https://twitter.com/ambleexile</v>
      </c>
      <c r="BA33" s="81" t="s">
        <v>66</v>
      </c>
      <c r="BB33" s="81" t="str">
        <f>REPLACE(INDEX(GroupVertices[Group],MATCH(Vertices[[#This Row],[Vertex]],GroupVertices[Vertex],0)),1,1,"")</f>
        <v>1</v>
      </c>
      <c r="BC33" s="49"/>
      <c r="BD33" s="49"/>
      <c r="BE33" s="49"/>
      <c r="BF33" s="49"/>
      <c r="BG33" s="49"/>
      <c r="BH33" s="49"/>
      <c r="BI33" s="112" t="s">
        <v>843</v>
      </c>
      <c r="BJ33" s="112" t="s">
        <v>843</v>
      </c>
      <c r="BK33" s="112" t="s">
        <v>885</v>
      </c>
      <c r="BL33" s="112" t="s">
        <v>885</v>
      </c>
      <c r="BM33" s="112">
        <v>1</v>
      </c>
      <c r="BN33" s="115">
        <v>2.0408163265306123</v>
      </c>
      <c r="BO33" s="112">
        <v>0</v>
      </c>
      <c r="BP33" s="115">
        <v>0</v>
      </c>
      <c r="BQ33" s="112">
        <v>0</v>
      </c>
      <c r="BR33" s="115">
        <v>0</v>
      </c>
      <c r="BS33" s="112">
        <v>48</v>
      </c>
      <c r="BT33" s="115">
        <v>97.95918367346938</v>
      </c>
      <c r="BU33" s="112">
        <v>49</v>
      </c>
      <c r="BV33" s="2"/>
      <c r="BW33" s="3"/>
      <c r="BX33" s="3"/>
      <c r="BY33" s="3"/>
      <c r="BZ33" s="3"/>
    </row>
    <row r="34" spans="1:78" ht="41.45" customHeight="1">
      <c r="A34" s="66" t="s">
        <v>270</v>
      </c>
      <c r="C34" s="67"/>
      <c r="D34" s="67" t="s">
        <v>64</v>
      </c>
      <c r="E34" s="68">
        <v>162.33653116773013</v>
      </c>
      <c r="F34" s="70">
        <v>99.99790289633317</v>
      </c>
      <c r="G34" s="105" t="str">
        <f>HYPERLINK("https://pbs.twimg.com/profile_images/1011381587307581441/hP0nEr8v_normal.jpg")</f>
        <v>https://pbs.twimg.com/profile_images/1011381587307581441/hP0nEr8v_normal.jpg</v>
      </c>
      <c r="H34" s="67"/>
      <c r="I34" s="71" t="s">
        <v>270</v>
      </c>
      <c r="J34" s="72"/>
      <c r="K34" s="72"/>
      <c r="L34" s="71" t="s">
        <v>683</v>
      </c>
      <c r="M34" s="75">
        <v>1.6988947486970774</v>
      </c>
      <c r="N34" s="76">
        <v>4272.1689453125</v>
      </c>
      <c r="O34" s="76">
        <v>6737.10107421875</v>
      </c>
      <c r="P34" s="77"/>
      <c r="Q34" s="78"/>
      <c r="R34" s="78"/>
      <c r="S34" s="91"/>
      <c r="T34" s="49">
        <v>0</v>
      </c>
      <c r="U34" s="49">
        <v>3</v>
      </c>
      <c r="V34" s="50">
        <v>0.157895</v>
      </c>
      <c r="W34" s="50">
        <v>0.009346</v>
      </c>
      <c r="X34" s="50">
        <v>0.018085</v>
      </c>
      <c r="Y34" s="50">
        <v>0.558208</v>
      </c>
      <c r="Z34" s="50">
        <v>0</v>
      </c>
      <c r="AA34" s="50">
        <v>0</v>
      </c>
      <c r="AB34" s="73">
        <v>34</v>
      </c>
      <c r="AC34" s="73"/>
      <c r="AD34" s="74"/>
      <c r="AE34" s="81" t="s">
        <v>514</v>
      </c>
      <c r="AF34" s="90" t="s">
        <v>559</v>
      </c>
      <c r="AG34" s="81">
        <v>211</v>
      </c>
      <c r="AH34" s="81">
        <v>21</v>
      </c>
      <c r="AI34" s="81">
        <v>1606</v>
      </c>
      <c r="AJ34" s="81">
        <v>7709</v>
      </c>
      <c r="AK34" s="81"/>
      <c r="AL34" s="81" t="s">
        <v>605</v>
      </c>
      <c r="AM34" s="81" t="s">
        <v>451</v>
      </c>
      <c r="AN34" s="81"/>
      <c r="AO34" s="81"/>
      <c r="AP34" s="83">
        <v>43169.98148148148</v>
      </c>
      <c r="AQ34" s="81"/>
      <c r="AR34" s="81" t="b">
        <v>1</v>
      </c>
      <c r="AS34" s="81" t="b">
        <v>0</v>
      </c>
      <c r="AT34" s="81" t="b">
        <v>1</v>
      </c>
      <c r="AU34" s="81"/>
      <c r="AV34" s="81">
        <v>4</v>
      </c>
      <c r="AW34" s="81"/>
      <c r="AX34" s="81" t="b">
        <v>0</v>
      </c>
      <c r="AY34" s="81" t="s">
        <v>652</v>
      </c>
      <c r="AZ34" s="87" t="str">
        <f>HYPERLINK("https://twitter.com/mrsmoviefan")</f>
        <v>https://twitter.com/mrsmoviefan</v>
      </c>
      <c r="BA34" s="81" t="s">
        <v>66</v>
      </c>
      <c r="BB34" s="81" t="str">
        <f>REPLACE(INDEX(GroupVertices[Group],MATCH(Vertices[[#This Row],[Vertex]],GroupVertices[Vertex],0)),1,1,"")</f>
        <v>1</v>
      </c>
      <c r="BC34" s="49"/>
      <c r="BD34" s="49"/>
      <c r="BE34" s="49"/>
      <c r="BF34" s="49"/>
      <c r="BG34" s="49"/>
      <c r="BH34" s="49"/>
      <c r="BI34" s="112" t="s">
        <v>844</v>
      </c>
      <c r="BJ34" s="112" t="s">
        <v>844</v>
      </c>
      <c r="BK34" s="112" t="s">
        <v>886</v>
      </c>
      <c r="BL34" s="112" t="s">
        <v>886</v>
      </c>
      <c r="BM34" s="112">
        <v>0</v>
      </c>
      <c r="BN34" s="115">
        <v>0</v>
      </c>
      <c r="BO34" s="112">
        <v>2</v>
      </c>
      <c r="BP34" s="115">
        <v>11.764705882352942</v>
      </c>
      <c r="BQ34" s="112">
        <v>0</v>
      </c>
      <c r="BR34" s="115">
        <v>0</v>
      </c>
      <c r="BS34" s="112">
        <v>15</v>
      </c>
      <c r="BT34" s="115">
        <v>88.23529411764706</v>
      </c>
      <c r="BU34" s="112">
        <v>17</v>
      </c>
      <c r="BV34" s="2"/>
      <c r="BW34" s="3"/>
      <c r="BX34" s="3"/>
      <c r="BY34" s="3"/>
      <c r="BZ34" s="3"/>
    </row>
    <row r="35" spans="1:78" ht="41.45" customHeight="1">
      <c r="A35" s="66" t="s">
        <v>271</v>
      </c>
      <c r="C35" s="67"/>
      <c r="D35" s="67" t="s">
        <v>64</v>
      </c>
      <c r="E35" s="68">
        <v>163.77613671857569</v>
      </c>
      <c r="F35" s="70">
        <v>99.98893195286954</v>
      </c>
      <c r="G35" s="105" t="str">
        <f>HYPERLINK("https://abs.twimg.com/sticky/default_profile_images/default_profile_normal.png")</f>
        <v>https://abs.twimg.com/sticky/default_profile_images/default_profile_normal.png</v>
      </c>
      <c r="H35" s="67"/>
      <c r="I35" s="71" t="s">
        <v>271</v>
      </c>
      <c r="J35" s="72"/>
      <c r="K35" s="72"/>
      <c r="L35" s="71" t="s">
        <v>684</v>
      </c>
      <c r="M35" s="75">
        <v>4.6886111736790195</v>
      </c>
      <c r="N35" s="76">
        <v>1937.9990234375</v>
      </c>
      <c r="O35" s="76">
        <v>5512.42333984375</v>
      </c>
      <c r="P35" s="77"/>
      <c r="Q35" s="78"/>
      <c r="R35" s="78"/>
      <c r="S35" s="91"/>
      <c r="T35" s="49">
        <v>0</v>
      </c>
      <c r="U35" s="49">
        <v>3</v>
      </c>
      <c r="V35" s="50">
        <v>0.157895</v>
      </c>
      <c r="W35" s="50">
        <v>0.009346</v>
      </c>
      <c r="X35" s="50">
        <v>0.018085</v>
      </c>
      <c r="Y35" s="50">
        <v>0.558208</v>
      </c>
      <c r="Z35" s="50">
        <v>0</v>
      </c>
      <c r="AA35" s="50">
        <v>0</v>
      </c>
      <c r="AB35" s="73">
        <v>35</v>
      </c>
      <c r="AC35" s="73"/>
      <c r="AD35" s="74"/>
      <c r="AE35" s="81" t="s">
        <v>515</v>
      </c>
      <c r="AF35" s="90" t="s">
        <v>560</v>
      </c>
      <c r="AG35" s="81">
        <v>264</v>
      </c>
      <c r="AH35" s="81">
        <v>98</v>
      </c>
      <c r="AI35" s="81">
        <v>12494</v>
      </c>
      <c r="AJ35" s="81">
        <v>37567</v>
      </c>
      <c r="AK35" s="81"/>
      <c r="AL35" s="81"/>
      <c r="AM35" s="81"/>
      <c r="AN35" s="81"/>
      <c r="AO35" s="81"/>
      <c r="AP35" s="83">
        <v>40694.81116898148</v>
      </c>
      <c r="AQ35" s="81"/>
      <c r="AR35" s="81" t="b">
        <v>1</v>
      </c>
      <c r="AS35" s="81" t="b">
        <v>1</v>
      </c>
      <c r="AT35" s="81" t="b">
        <v>0</v>
      </c>
      <c r="AU35" s="81"/>
      <c r="AV35" s="81">
        <v>5</v>
      </c>
      <c r="AW35" s="87" t="str">
        <f>HYPERLINK("https://abs.twimg.com/images/themes/theme1/bg.png")</f>
        <v>https://abs.twimg.com/images/themes/theme1/bg.png</v>
      </c>
      <c r="AX35" s="81" t="b">
        <v>0</v>
      </c>
      <c r="AY35" s="81" t="s">
        <v>652</v>
      </c>
      <c r="AZ35" s="87" t="str">
        <f>HYPERLINK("https://twitter.com/robhughes4")</f>
        <v>https://twitter.com/robhughes4</v>
      </c>
      <c r="BA35" s="81" t="s">
        <v>66</v>
      </c>
      <c r="BB35" s="81" t="str">
        <f>REPLACE(INDEX(GroupVertices[Group],MATCH(Vertices[[#This Row],[Vertex]],GroupVertices[Vertex],0)),1,1,"")</f>
        <v>1</v>
      </c>
      <c r="BC35" s="49"/>
      <c r="BD35" s="49"/>
      <c r="BE35" s="49"/>
      <c r="BF35" s="49"/>
      <c r="BG35" s="49"/>
      <c r="BH35" s="49"/>
      <c r="BI35" s="112" t="s">
        <v>825</v>
      </c>
      <c r="BJ35" s="112" t="s">
        <v>825</v>
      </c>
      <c r="BK35" s="112" t="s">
        <v>867</v>
      </c>
      <c r="BL35" s="112" t="s">
        <v>867</v>
      </c>
      <c r="BM35" s="112">
        <v>0</v>
      </c>
      <c r="BN35" s="115">
        <v>0</v>
      </c>
      <c r="BO35" s="112">
        <v>0</v>
      </c>
      <c r="BP35" s="115">
        <v>0</v>
      </c>
      <c r="BQ35" s="112">
        <v>0</v>
      </c>
      <c r="BR35" s="115">
        <v>0</v>
      </c>
      <c r="BS35" s="112">
        <v>3</v>
      </c>
      <c r="BT35" s="115">
        <v>100</v>
      </c>
      <c r="BU35" s="112">
        <v>3</v>
      </c>
      <c r="BV35" s="2"/>
      <c r="BW35" s="3"/>
      <c r="BX35" s="3"/>
      <c r="BY35" s="3"/>
      <c r="BZ35" s="3"/>
    </row>
    <row r="36" spans="1:78" ht="41.45" customHeight="1">
      <c r="A36" s="66" t="s">
        <v>273</v>
      </c>
      <c r="C36" s="67"/>
      <c r="D36" s="67" t="s">
        <v>64</v>
      </c>
      <c r="E36" s="68">
        <v>166.35620900450672</v>
      </c>
      <c r="F36" s="70">
        <v>99.97285415809054</v>
      </c>
      <c r="G36" s="105" t="str">
        <f>HYPERLINK("https://abs.twimg.com/sticky/default_profile_images/default_profile_normal.png")</f>
        <v>https://abs.twimg.com/sticky/default_profile_images/default_profile_normal.png</v>
      </c>
      <c r="H36" s="67"/>
      <c r="I36" s="71" t="s">
        <v>273</v>
      </c>
      <c r="J36" s="72"/>
      <c r="K36" s="72"/>
      <c r="L36" s="71" t="s">
        <v>685</v>
      </c>
      <c r="M36" s="75">
        <v>10.046804247023278</v>
      </c>
      <c r="N36" s="76">
        <v>4921.25244140625</v>
      </c>
      <c r="O36" s="76">
        <v>6360.279296875</v>
      </c>
      <c r="P36" s="77"/>
      <c r="Q36" s="78"/>
      <c r="R36" s="78"/>
      <c r="S36" s="91"/>
      <c r="T36" s="49">
        <v>0</v>
      </c>
      <c r="U36" s="49">
        <v>4</v>
      </c>
      <c r="V36" s="50">
        <v>98.157895</v>
      </c>
      <c r="W36" s="50">
        <v>0.009524</v>
      </c>
      <c r="X36" s="50">
        <v>0.018226</v>
      </c>
      <c r="Y36" s="50">
        <v>0.836867</v>
      </c>
      <c r="Z36" s="50">
        <v>0</v>
      </c>
      <c r="AA36" s="50">
        <v>0</v>
      </c>
      <c r="AB36" s="73">
        <v>36</v>
      </c>
      <c r="AC36" s="73"/>
      <c r="AD36" s="74"/>
      <c r="AE36" s="81" t="s">
        <v>516</v>
      </c>
      <c r="AF36" s="90" t="s">
        <v>561</v>
      </c>
      <c r="AG36" s="81">
        <v>496</v>
      </c>
      <c r="AH36" s="81">
        <v>236</v>
      </c>
      <c r="AI36" s="81">
        <v>3755</v>
      </c>
      <c r="AJ36" s="81">
        <v>18347</v>
      </c>
      <c r="AK36" s="81"/>
      <c r="AL36" s="81" t="s">
        <v>606</v>
      </c>
      <c r="AM36" s="81"/>
      <c r="AN36" s="81"/>
      <c r="AO36" s="81"/>
      <c r="AP36" s="83">
        <v>40482.49743055556</v>
      </c>
      <c r="AQ36" s="81"/>
      <c r="AR36" s="81" t="b">
        <v>1</v>
      </c>
      <c r="AS36" s="81" t="b">
        <v>1</v>
      </c>
      <c r="AT36" s="81" t="b">
        <v>1</v>
      </c>
      <c r="AU36" s="81"/>
      <c r="AV36" s="81">
        <v>0</v>
      </c>
      <c r="AW36" s="87" t="str">
        <f>HYPERLINK("https://abs.twimg.com/images/themes/theme1/bg.png")</f>
        <v>https://abs.twimg.com/images/themes/theme1/bg.png</v>
      </c>
      <c r="AX36" s="81" t="b">
        <v>0</v>
      </c>
      <c r="AY36" s="81" t="s">
        <v>652</v>
      </c>
      <c r="AZ36" s="87" t="str">
        <f>HYPERLINK("https://twitter.com/jakbar1")</f>
        <v>https://twitter.com/jakbar1</v>
      </c>
      <c r="BA36" s="81" t="s">
        <v>66</v>
      </c>
      <c r="BB36" s="81" t="str">
        <f>REPLACE(INDEX(GroupVertices[Group],MATCH(Vertices[[#This Row],[Vertex]],GroupVertices[Vertex],0)),1,1,"")</f>
        <v>1</v>
      </c>
      <c r="BC36" s="49"/>
      <c r="BD36" s="49"/>
      <c r="BE36" s="49"/>
      <c r="BF36" s="49"/>
      <c r="BG36" s="49"/>
      <c r="BH36" s="49"/>
      <c r="BI36" s="112" t="s">
        <v>845</v>
      </c>
      <c r="BJ36" s="112" t="s">
        <v>845</v>
      </c>
      <c r="BK36" s="112" t="s">
        <v>887</v>
      </c>
      <c r="BL36" s="112" t="s">
        <v>887</v>
      </c>
      <c r="BM36" s="112">
        <v>0</v>
      </c>
      <c r="BN36" s="115">
        <v>0</v>
      </c>
      <c r="BO36" s="112">
        <v>1</v>
      </c>
      <c r="BP36" s="115">
        <v>8.333333333333334</v>
      </c>
      <c r="BQ36" s="112">
        <v>0</v>
      </c>
      <c r="BR36" s="115">
        <v>0</v>
      </c>
      <c r="BS36" s="112">
        <v>11</v>
      </c>
      <c r="BT36" s="115">
        <v>91.66666666666667</v>
      </c>
      <c r="BU36" s="112">
        <v>12</v>
      </c>
      <c r="BV36" s="2"/>
      <c r="BW36" s="3"/>
      <c r="BX36" s="3"/>
      <c r="BY36" s="3"/>
      <c r="BZ36" s="3"/>
    </row>
    <row r="37" spans="1:78" ht="41.45" customHeight="1">
      <c r="A37" s="66" t="s">
        <v>296</v>
      </c>
      <c r="C37" s="67"/>
      <c r="D37" s="67" t="s">
        <v>64</v>
      </c>
      <c r="E37" s="68">
        <v>212.3114095756548</v>
      </c>
      <c r="F37" s="70">
        <v>99.68648300180972</v>
      </c>
      <c r="G37" s="105" t="str">
        <f>HYPERLINK("https://pbs.twimg.com/profile_images/1245069890987397123/s4mdqJ80_normal.jpg")</f>
        <v>https://pbs.twimg.com/profile_images/1245069890987397123/s4mdqJ80_normal.jpg</v>
      </c>
      <c r="H37" s="67"/>
      <c r="I37" s="71" t="s">
        <v>296</v>
      </c>
      <c r="J37" s="72"/>
      <c r="K37" s="72"/>
      <c r="L37" s="71" t="s">
        <v>686</v>
      </c>
      <c r="M37" s="75">
        <v>105.48476493021305</v>
      </c>
      <c r="N37" s="76">
        <v>6231.3486328125</v>
      </c>
      <c r="O37" s="76">
        <v>7646.92236328125</v>
      </c>
      <c r="P37" s="77"/>
      <c r="Q37" s="78"/>
      <c r="R37" s="78"/>
      <c r="S37" s="91"/>
      <c r="T37" s="49">
        <v>1</v>
      </c>
      <c r="U37" s="49">
        <v>0</v>
      </c>
      <c r="V37" s="50">
        <v>0</v>
      </c>
      <c r="W37" s="50">
        <v>0.006494</v>
      </c>
      <c r="X37" s="50">
        <v>0.001602</v>
      </c>
      <c r="Y37" s="50">
        <v>0.327834</v>
      </c>
      <c r="Z37" s="50">
        <v>0</v>
      </c>
      <c r="AA37" s="50">
        <v>0</v>
      </c>
      <c r="AB37" s="73">
        <v>37</v>
      </c>
      <c r="AC37" s="73"/>
      <c r="AD37" s="74"/>
      <c r="AE37" s="81" t="s">
        <v>517</v>
      </c>
      <c r="AF37" s="90" t="s">
        <v>562</v>
      </c>
      <c r="AG37" s="81">
        <v>4258</v>
      </c>
      <c r="AH37" s="81">
        <v>2694</v>
      </c>
      <c r="AI37" s="81">
        <v>16511</v>
      </c>
      <c r="AJ37" s="81">
        <v>19343</v>
      </c>
      <c r="AK37" s="81"/>
      <c r="AL37" s="81" t="s">
        <v>607</v>
      </c>
      <c r="AM37" s="81" t="s">
        <v>643</v>
      </c>
      <c r="AN37" s="81"/>
      <c r="AO37" s="81"/>
      <c r="AP37" s="83">
        <v>43921.80844907407</v>
      </c>
      <c r="AQ37" s="81"/>
      <c r="AR37" s="81" t="b">
        <v>1</v>
      </c>
      <c r="AS37" s="81" t="b">
        <v>0</v>
      </c>
      <c r="AT37" s="81" t="b">
        <v>0</v>
      </c>
      <c r="AU37" s="81"/>
      <c r="AV37" s="81">
        <v>0</v>
      </c>
      <c r="AW37" s="81"/>
      <c r="AX37" s="81" t="b">
        <v>0</v>
      </c>
      <c r="AY37" s="81" t="s">
        <v>652</v>
      </c>
      <c r="AZ37" s="87" t="str">
        <f>HYPERLINK("https://twitter.com/interestedbys10")</f>
        <v>https://twitter.com/interestedbys10</v>
      </c>
      <c r="BA37" s="81" t="s">
        <v>65</v>
      </c>
      <c r="BB37" s="81" t="str">
        <f>REPLACE(INDEX(GroupVertices[Group],MATCH(Vertices[[#This Row],[Vertex]],GroupVertices[Vertex],0)),1,1,"")</f>
        <v>1</v>
      </c>
      <c r="BC37" s="49"/>
      <c r="BD37" s="49"/>
      <c r="BE37" s="49"/>
      <c r="BF37" s="49"/>
      <c r="BG37" s="49"/>
      <c r="BH37" s="49"/>
      <c r="BI37" s="49"/>
      <c r="BJ37" s="49"/>
      <c r="BK37" s="49"/>
      <c r="BL37" s="49"/>
      <c r="BM37" s="49"/>
      <c r="BN37" s="50"/>
      <c r="BO37" s="49"/>
      <c r="BP37" s="50"/>
      <c r="BQ37" s="49"/>
      <c r="BR37" s="50"/>
      <c r="BS37" s="49"/>
      <c r="BT37" s="50"/>
      <c r="BU37" s="49"/>
      <c r="BV37" s="2"/>
      <c r="BW37" s="3"/>
      <c r="BX37" s="3"/>
      <c r="BY37" s="3"/>
      <c r="BZ37" s="3"/>
    </row>
    <row r="38" spans="1:78" ht="41.45" customHeight="1">
      <c r="A38" s="66" t="s">
        <v>276</v>
      </c>
      <c r="C38" s="67"/>
      <c r="D38" s="67" t="s">
        <v>64</v>
      </c>
      <c r="E38" s="68">
        <v>163.88831377448574</v>
      </c>
      <c r="F38" s="70">
        <v>99.98823291831393</v>
      </c>
      <c r="G38" s="105" t="str">
        <f>HYPERLINK("https://pbs.twimg.com/profile_images/1424827519019139073/dVPkbnSI_normal.jpg")</f>
        <v>https://pbs.twimg.com/profile_images/1424827519019139073/dVPkbnSI_normal.jpg</v>
      </c>
      <c r="H38" s="67"/>
      <c r="I38" s="71" t="s">
        <v>276</v>
      </c>
      <c r="J38" s="72"/>
      <c r="K38" s="72"/>
      <c r="L38" s="71" t="s">
        <v>687</v>
      </c>
      <c r="M38" s="75">
        <v>4.921576089911378</v>
      </c>
      <c r="N38" s="76">
        <v>4506.1005859375</v>
      </c>
      <c r="O38" s="76">
        <v>4183.65283203125</v>
      </c>
      <c r="P38" s="77"/>
      <c r="Q38" s="78"/>
      <c r="R38" s="78"/>
      <c r="S38" s="91"/>
      <c r="T38" s="49">
        <v>0</v>
      </c>
      <c r="U38" s="49">
        <v>3</v>
      </c>
      <c r="V38" s="50">
        <v>0.157895</v>
      </c>
      <c r="W38" s="50">
        <v>0.009346</v>
      </c>
      <c r="X38" s="50">
        <v>0.018085</v>
      </c>
      <c r="Y38" s="50">
        <v>0.558208</v>
      </c>
      <c r="Z38" s="50">
        <v>0</v>
      </c>
      <c r="AA38" s="50">
        <v>0</v>
      </c>
      <c r="AB38" s="73">
        <v>38</v>
      </c>
      <c r="AC38" s="73"/>
      <c r="AD38" s="74"/>
      <c r="AE38" s="81" t="s">
        <v>518</v>
      </c>
      <c r="AF38" s="90" t="s">
        <v>563</v>
      </c>
      <c r="AG38" s="81">
        <v>138</v>
      </c>
      <c r="AH38" s="81">
        <v>104</v>
      </c>
      <c r="AI38" s="81">
        <v>14348</v>
      </c>
      <c r="AJ38" s="81">
        <v>4441</v>
      </c>
      <c r="AK38" s="81"/>
      <c r="AL38" s="81" t="s">
        <v>608</v>
      </c>
      <c r="AM38" s="81"/>
      <c r="AN38" s="81"/>
      <c r="AO38" s="81"/>
      <c r="AP38" s="83">
        <v>44205.92087962963</v>
      </c>
      <c r="AQ38" s="87" t="str">
        <f>HYPERLINK("https://pbs.twimg.com/profile_banners/1348028121233154053/1628540328")</f>
        <v>https://pbs.twimg.com/profile_banners/1348028121233154053/1628540328</v>
      </c>
      <c r="AR38" s="81" t="b">
        <v>1</v>
      </c>
      <c r="AS38" s="81" t="b">
        <v>0</v>
      </c>
      <c r="AT38" s="81" t="b">
        <v>0</v>
      </c>
      <c r="AU38" s="81"/>
      <c r="AV38" s="81">
        <v>0</v>
      </c>
      <c r="AW38" s="81"/>
      <c r="AX38" s="81" t="b">
        <v>0</v>
      </c>
      <c r="AY38" s="81" t="s">
        <v>652</v>
      </c>
      <c r="AZ38" s="87" t="str">
        <f>HYPERLINK("https://twitter.com/donaldfart8")</f>
        <v>https://twitter.com/donaldfart8</v>
      </c>
      <c r="BA38" s="81" t="s">
        <v>66</v>
      </c>
      <c r="BB38" s="81" t="str">
        <f>REPLACE(INDEX(GroupVertices[Group],MATCH(Vertices[[#This Row],[Vertex]],GroupVertices[Vertex],0)),1,1,"")</f>
        <v>1</v>
      </c>
      <c r="BC38" s="49"/>
      <c r="BD38" s="49"/>
      <c r="BE38" s="49"/>
      <c r="BF38" s="49"/>
      <c r="BG38" s="49"/>
      <c r="BH38" s="49"/>
      <c r="BI38" s="112" t="s">
        <v>846</v>
      </c>
      <c r="BJ38" s="112" t="s">
        <v>846</v>
      </c>
      <c r="BK38" s="112" t="s">
        <v>888</v>
      </c>
      <c r="BL38" s="112" t="s">
        <v>888</v>
      </c>
      <c r="BM38" s="112">
        <v>1</v>
      </c>
      <c r="BN38" s="115">
        <v>2.4390243902439024</v>
      </c>
      <c r="BO38" s="112">
        <v>0</v>
      </c>
      <c r="BP38" s="115">
        <v>0</v>
      </c>
      <c r="BQ38" s="112">
        <v>0</v>
      </c>
      <c r="BR38" s="115">
        <v>0</v>
      </c>
      <c r="BS38" s="112">
        <v>40</v>
      </c>
      <c r="BT38" s="115">
        <v>97.5609756097561</v>
      </c>
      <c r="BU38" s="112">
        <v>41</v>
      </c>
      <c r="BV38" s="2"/>
      <c r="BW38" s="3"/>
      <c r="BX38" s="3"/>
      <c r="BY38" s="3"/>
      <c r="BZ38" s="3"/>
    </row>
    <row r="39" spans="1:78" ht="41.45" customHeight="1">
      <c r="A39" s="66" t="s">
        <v>277</v>
      </c>
      <c r="C39" s="67"/>
      <c r="D39" s="67" t="s">
        <v>64</v>
      </c>
      <c r="E39" s="68">
        <v>162.35522734371514</v>
      </c>
      <c r="F39" s="70">
        <v>99.9977863905739</v>
      </c>
      <c r="G39" s="105" t="str">
        <f>HYPERLINK("https://pbs.twimg.com/profile_images/1428785247596990468/5aRblpzd_normal.jpg")</f>
        <v>https://pbs.twimg.com/profile_images/1428785247596990468/5aRblpzd_normal.jpg</v>
      </c>
      <c r="H39" s="67"/>
      <c r="I39" s="71" t="s">
        <v>277</v>
      </c>
      <c r="J39" s="72"/>
      <c r="K39" s="72"/>
      <c r="L39" s="71" t="s">
        <v>688</v>
      </c>
      <c r="M39" s="75">
        <v>1.737722234735804</v>
      </c>
      <c r="N39" s="76">
        <v>9839.271484375</v>
      </c>
      <c r="O39" s="76">
        <v>6193.20849609375</v>
      </c>
      <c r="P39" s="77"/>
      <c r="Q39" s="78"/>
      <c r="R39" s="78"/>
      <c r="S39" s="91"/>
      <c r="T39" s="49">
        <v>0</v>
      </c>
      <c r="U39" s="49">
        <v>4</v>
      </c>
      <c r="V39" s="50">
        <v>4.824561</v>
      </c>
      <c r="W39" s="50">
        <v>0.009524</v>
      </c>
      <c r="X39" s="50">
        <v>0.020657</v>
      </c>
      <c r="Y39" s="50">
        <v>0.688056</v>
      </c>
      <c r="Z39" s="50">
        <v>0</v>
      </c>
      <c r="AA39" s="50">
        <v>0</v>
      </c>
      <c r="AB39" s="73">
        <v>39</v>
      </c>
      <c r="AC39" s="73"/>
      <c r="AD39" s="74"/>
      <c r="AE39" s="81" t="s">
        <v>519</v>
      </c>
      <c r="AF39" s="90" t="s">
        <v>564</v>
      </c>
      <c r="AG39" s="81">
        <v>137</v>
      </c>
      <c r="AH39" s="81">
        <v>22</v>
      </c>
      <c r="AI39" s="81">
        <v>281</v>
      </c>
      <c r="AJ39" s="81">
        <v>1388</v>
      </c>
      <c r="AK39" s="81"/>
      <c r="AL39" s="81" t="s">
        <v>609</v>
      </c>
      <c r="AM39" s="81"/>
      <c r="AN39" s="81"/>
      <c r="AO39" s="81"/>
      <c r="AP39" s="83">
        <v>40186.65761574074</v>
      </c>
      <c r="AQ39" s="81"/>
      <c r="AR39" s="81" t="b">
        <v>1</v>
      </c>
      <c r="AS39" s="81" t="b">
        <v>0</v>
      </c>
      <c r="AT39" s="81" t="b">
        <v>1</v>
      </c>
      <c r="AU39" s="81"/>
      <c r="AV39" s="81">
        <v>0</v>
      </c>
      <c r="AW39" s="87" t="str">
        <f>HYPERLINK("https://abs.twimg.com/images/themes/theme1/bg.png")</f>
        <v>https://abs.twimg.com/images/themes/theme1/bg.png</v>
      </c>
      <c r="AX39" s="81" t="b">
        <v>0</v>
      </c>
      <c r="AY39" s="81" t="s">
        <v>652</v>
      </c>
      <c r="AZ39" s="87" t="str">
        <f>HYPERLINK("https://twitter.com/libiroberts")</f>
        <v>https://twitter.com/libiroberts</v>
      </c>
      <c r="BA39" s="81" t="s">
        <v>66</v>
      </c>
      <c r="BB39" s="81" t="str">
        <f>REPLACE(INDEX(GroupVertices[Group],MATCH(Vertices[[#This Row],[Vertex]],GroupVertices[Vertex],0)),1,1,"")</f>
        <v>2</v>
      </c>
      <c r="BC39" s="49"/>
      <c r="BD39" s="49"/>
      <c r="BE39" s="49"/>
      <c r="BF39" s="49"/>
      <c r="BG39" s="49"/>
      <c r="BH39" s="49"/>
      <c r="BI39" s="112" t="s">
        <v>847</v>
      </c>
      <c r="BJ39" s="112" t="s">
        <v>847</v>
      </c>
      <c r="BK39" s="112" t="s">
        <v>889</v>
      </c>
      <c r="BL39" s="112" t="s">
        <v>889</v>
      </c>
      <c r="BM39" s="112">
        <v>0</v>
      </c>
      <c r="BN39" s="115">
        <v>0</v>
      </c>
      <c r="BO39" s="112">
        <v>0</v>
      </c>
      <c r="BP39" s="115">
        <v>0</v>
      </c>
      <c r="BQ39" s="112">
        <v>0</v>
      </c>
      <c r="BR39" s="115">
        <v>0</v>
      </c>
      <c r="BS39" s="112">
        <v>9</v>
      </c>
      <c r="BT39" s="115">
        <v>100</v>
      </c>
      <c r="BU39" s="112">
        <v>9</v>
      </c>
      <c r="BV39" s="2"/>
      <c r="BW39" s="3"/>
      <c r="BX39" s="3"/>
      <c r="BY39" s="3"/>
      <c r="BZ39" s="3"/>
    </row>
    <row r="40" spans="1:78" ht="41.45" customHeight="1">
      <c r="A40" s="66" t="s">
        <v>279</v>
      </c>
      <c r="C40" s="67"/>
      <c r="D40" s="67" t="s">
        <v>64</v>
      </c>
      <c r="E40" s="68">
        <v>167.8145107313373</v>
      </c>
      <c r="F40" s="70">
        <v>99.96376670886764</v>
      </c>
      <c r="G40" s="105" t="str">
        <f>HYPERLINK("https://pbs.twimg.com/profile_images/1405249649703755778/ZuPyNeeH_normal.jpg")</f>
        <v>https://pbs.twimg.com/profile_images/1405249649703755778/ZuPyNeeH_normal.jpg</v>
      </c>
      <c r="H40" s="67"/>
      <c r="I40" s="71" t="s">
        <v>279</v>
      </c>
      <c r="J40" s="72"/>
      <c r="K40" s="72"/>
      <c r="L40" s="71" t="s">
        <v>689</v>
      </c>
      <c r="M40" s="75">
        <v>13.075348158043946</v>
      </c>
      <c r="N40" s="76">
        <v>2230.110107421875</v>
      </c>
      <c r="O40" s="76">
        <v>6674.005859375</v>
      </c>
      <c r="P40" s="77"/>
      <c r="Q40" s="78"/>
      <c r="R40" s="78"/>
      <c r="S40" s="91"/>
      <c r="T40" s="49">
        <v>0</v>
      </c>
      <c r="U40" s="49">
        <v>4</v>
      </c>
      <c r="V40" s="50">
        <v>98.157895</v>
      </c>
      <c r="W40" s="50">
        <v>0.009524</v>
      </c>
      <c r="X40" s="50">
        <v>0.018226</v>
      </c>
      <c r="Y40" s="50">
        <v>0.836867</v>
      </c>
      <c r="Z40" s="50">
        <v>0</v>
      </c>
      <c r="AA40" s="50">
        <v>0</v>
      </c>
      <c r="AB40" s="73">
        <v>40</v>
      </c>
      <c r="AC40" s="73"/>
      <c r="AD40" s="74"/>
      <c r="AE40" s="81" t="s">
        <v>520</v>
      </c>
      <c r="AF40" s="90" t="s">
        <v>565</v>
      </c>
      <c r="AG40" s="81">
        <v>351</v>
      </c>
      <c r="AH40" s="81">
        <v>314</v>
      </c>
      <c r="AI40" s="81">
        <v>5739</v>
      </c>
      <c r="AJ40" s="81">
        <v>2160</v>
      </c>
      <c r="AK40" s="81"/>
      <c r="AL40" s="81" t="s">
        <v>610</v>
      </c>
      <c r="AM40" s="81" t="s">
        <v>644</v>
      </c>
      <c r="AN40" s="81"/>
      <c r="AO40" s="81"/>
      <c r="AP40" s="83">
        <v>44269.53738425926</v>
      </c>
      <c r="AQ40" s="87" t="str">
        <f>HYPERLINK("https://pbs.twimg.com/profile_banners/1371082042339946501/1633947858")</f>
        <v>https://pbs.twimg.com/profile_banners/1371082042339946501/1633947858</v>
      </c>
      <c r="AR40" s="81" t="b">
        <v>1</v>
      </c>
      <c r="AS40" s="81" t="b">
        <v>0</v>
      </c>
      <c r="AT40" s="81" t="b">
        <v>0</v>
      </c>
      <c r="AU40" s="81"/>
      <c r="AV40" s="81">
        <v>1</v>
      </c>
      <c r="AW40" s="81"/>
      <c r="AX40" s="81" t="b">
        <v>0</v>
      </c>
      <c r="AY40" s="81" t="s">
        <v>652</v>
      </c>
      <c r="AZ40" s="87" t="str">
        <f>HYPERLINK("https://twitter.com/georgehotchki14")</f>
        <v>https://twitter.com/georgehotchki14</v>
      </c>
      <c r="BA40" s="81" t="s">
        <v>66</v>
      </c>
      <c r="BB40" s="81" t="str">
        <f>REPLACE(INDEX(GroupVertices[Group],MATCH(Vertices[[#This Row],[Vertex]],GroupVertices[Vertex],0)),1,1,"")</f>
        <v>1</v>
      </c>
      <c r="BC40" s="49"/>
      <c r="BD40" s="49"/>
      <c r="BE40" s="49"/>
      <c r="BF40" s="49"/>
      <c r="BG40" s="49"/>
      <c r="BH40" s="49"/>
      <c r="BI40" s="112" t="s">
        <v>848</v>
      </c>
      <c r="BJ40" s="112" t="s">
        <v>848</v>
      </c>
      <c r="BK40" s="112" t="s">
        <v>890</v>
      </c>
      <c r="BL40" s="112" t="s">
        <v>890</v>
      </c>
      <c r="BM40" s="112">
        <v>1</v>
      </c>
      <c r="BN40" s="115">
        <v>5</v>
      </c>
      <c r="BO40" s="112">
        <v>1</v>
      </c>
      <c r="BP40" s="115">
        <v>5</v>
      </c>
      <c r="BQ40" s="112">
        <v>0</v>
      </c>
      <c r="BR40" s="115">
        <v>0</v>
      </c>
      <c r="BS40" s="112">
        <v>18</v>
      </c>
      <c r="BT40" s="115">
        <v>90</v>
      </c>
      <c r="BU40" s="112">
        <v>20</v>
      </c>
      <c r="BV40" s="2"/>
      <c r="BW40" s="3"/>
      <c r="BX40" s="3"/>
      <c r="BY40" s="3"/>
      <c r="BZ40" s="3"/>
    </row>
    <row r="41" spans="1:78" ht="41.45" customHeight="1">
      <c r="A41" s="66" t="s">
        <v>297</v>
      </c>
      <c r="C41" s="67"/>
      <c r="D41" s="67" t="s">
        <v>64</v>
      </c>
      <c r="E41" s="68">
        <v>275.44839587702467</v>
      </c>
      <c r="F41" s="70">
        <v>99.29304305276158</v>
      </c>
      <c r="G41" s="105" t="str">
        <f>HYPERLINK("https://pbs.twimg.com/profile_images/1448662903461060611/wLYaOGj-_normal.jpg")</f>
        <v>https://pbs.twimg.com/profile_images/1448662903461060611/wLYaOGj-_normal.jpg</v>
      </c>
      <c r="H41" s="67"/>
      <c r="I41" s="71" t="s">
        <v>297</v>
      </c>
      <c r="J41" s="72"/>
      <c r="K41" s="72"/>
      <c r="L41" s="71" t="s">
        <v>690</v>
      </c>
      <c r="M41" s="75">
        <v>236.6051852829925</v>
      </c>
      <c r="N41" s="76">
        <v>1048.386962890625</v>
      </c>
      <c r="O41" s="76">
        <v>8182.8291015625</v>
      </c>
      <c r="P41" s="77"/>
      <c r="Q41" s="78"/>
      <c r="R41" s="78"/>
      <c r="S41" s="91"/>
      <c r="T41" s="49">
        <v>1</v>
      </c>
      <c r="U41" s="49">
        <v>0</v>
      </c>
      <c r="V41" s="50">
        <v>0</v>
      </c>
      <c r="W41" s="50">
        <v>0.006494</v>
      </c>
      <c r="X41" s="50">
        <v>0.001602</v>
      </c>
      <c r="Y41" s="50">
        <v>0.327834</v>
      </c>
      <c r="Z41" s="50">
        <v>0</v>
      </c>
      <c r="AA41" s="50">
        <v>0</v>
      </c>
      <c r="AB41" s="73">
        <v>41</v>
      </c>
      <c r="AC41" s="73"/>
      <c r="AD41" s="74"/>
      <c r="AE41" s="81" t="s">
        <v>521</v>
      </c>
      <c r="AF41" s="90" t="s">
        <v>566</v>
      </c>
      <c r="AG41" s="81">
        <v>6108</v>
      </c>
      <c r="AH41" s="81">
        <v>6071</v>
      </c>
      <c r="AI41" s="81">
        <v>104197</v>
      </c>
      <c r="AJ41" s="81">
        <v>170047</v>
      </c>
      <c r="AK41" s="81"/>
      <c r="AL41" s="81" t="s">
        <v>611</v>
      </c>
      <c r="AM41" s="81"/>
      <c r="AN41" s="81"/>
      <c r="AO41" s="81"/>
      <c r="AP41" s="83">
        <v>41748.39445601852</v>
      </c>
      <c r="AQ41" s="87" t="str">
        <f>HYPERLINK("https://pbs.twimg.com/profile_banners/2452853334/1624124418")</f>
        <v>https://pbs.twimg.com/profile_banners/2452853334/1624124418</v>
      </c>
      <c r="AR41" s="81" t="b">
        <v>1</v>
      </c>
      <c r="AS41" s="81" t="b">
        <v>0</v>
      </c>
      <c r="AT41" s="81" t="b">
        <v>0</v>
      </c>
      <c r="AU41" s="81"/>
      <c r="AV41" s="81">
        <v>10</v>
      </c>
      <c r="AW41" s="87" t="str">
        <f>HYPERLINK("https://abs.twimg.com/images/themes/theme1/bg.png")</f>
        <v>https://abs.twimg.com/images/themes/theme1/bg.png</v>
      </c>
      <c r="AX41" s="81" t="b">
        <v>0</v>
      </c>
      <c r="AY41" s="81" t="s">
        <v>652</v>
      </c>
      <c r="AZ41" s="87" t="str">
        <f>HYPERLINK("https://twitter.com/barbarasutton15")</f>
        <v>https://twitter.com/barbarasutton15</v>
      </c>
      <c r="BA41" s="81" t="s">
        <v>65</v>
      </c>
      <c r="BB41" s="81" t="str">
        <f>REPLACE(INDEX(GroupVertices[Group],MATCH(Vertices[[#This Row],[Vertex]],GroupVertices[Vertex],0)),1,1,"")</f>
        <v>1</v>
      </c>
      <c r="BC41" s="49"/>
      <c r="BD41" s="49"/>
      <c r="BE41" s="49"/>
      <c r="BF41" s="49"/>
      <c r="BG41" s="49"/>
      <c r="BH41" s="49"/>
      <c r="BI41" s="49"/>
      <c r="BJ41" s="49"/>
      <c r="BK41" s="49"/>
      <c r="BL41" s="49"/>
      <c r="BM41" s="49"/>
      <c r="BN41" s="50"/>
      <c r="BO41" s="49"/>
      <c r="BP41" s="50"/>
      <c r="BQ41" s="49"/>
      <c r="BR41" s="50"/>
      <c r="BS41" s="49"/>
      <c r="BT41" s="50"/>
      <c r="BU41" s="49"/>
      <c r="BV41" s="2"/>
      <c r="BW41" s="3"/>
      <c r="BX41" s="3"/>
      <c r="BY41" s="3"/>
      <c r="BZ41" s="3"/>
    </row>
    <row r="42" spans="1:78" ht="41.45" customHeight="1">
      <c r="A42" s="66" t="s">
        <v>280</v>
      </c>
      <c r="C42" s="67"/>
      <c r="D42" s="67" t="s">
        <v>64</v>
      </c>
      <c r="E42" s="68">
        <v>163.57047878274062</v>
      </c>
      <c r="F42" s="70">
        <v>99.99021351622149</v>
      </c>
      <c r="G42" s="105" t="str">
        <f>HYPERLINK("https://abs.twimg.com/sticky/default_profile_images/default_profile_normal.png")</f>
        <v>https://abs.twimg.com/sticky/default_profile_images/default_profile_normal.png</v>
      </c>
      <c r="H42" s="67"/>
      <c r="I42" s="71" t="s">
        <v>280</v>
      </c>
      <c r="J42" s="72"/>
      <c r="K42" s="72"/>
      <c r="L42" s="71" t="s">
        <v>691</v>
      </c>
      <c r="M42" s="75">
        <v>4.261508827253027</v>
      </c>
      <c r="N42" s="76">
        <v>3692.239013671875</v>
      </c>
      <c r="O42" s="76">
        <v>6514.43603515625</v>
      </c>
      <c r="P42" s="77"/>
      <c r="Q42" s="78"/>
      <c r="R42" s="78"/>
      <c r="S42" s="91"/>
      <c r="T42" s="49">
        <v>0</v>
      </c>
      <c r="U42" s="49">
        <v>3</v>
      </c>
      <c r="V42" s="50">
        <v>0.157895</v>
      </c>
      <c r="W42" s="50">
        <v>0.009346</v>
      </c>
      <c r="X42" s="50">
        <v>0.018085</v>
      </c>
      <c r="Y42" s="50">
        <v>0.558208</v>
      </c>
      <c r="Z42" s="50">
        <v>0</v>
      </c>
      <c r="AA42" s="50">
        <v>0</v>
      </c>
      <c r="AB42" s="73">
        <v>42</v>
      </c>
      <c r="AC42" s="73"/>
      <c r="AD42" s="74"/>
      <c r="AE42" s="81" t="s">
        <v>522</v>
      </c>
      <c r="AF42" s="90" t="s">
        <v>567</v>
      </c>
      <c r="AG42" s="81">
        <v>317</v>
      </c>
      <c r="AH42" s="81">
        <v>87</v>
      </c>
      <c r="AI42" s="81">
        <v>2730</v>
      </c>
      <c r="AJ42" s="81">
        <v>36058</v>
      </c>
      <c r="AK42" s="81"/>
      <c r="AL42" s="81" t="s">
        <v>612</v>
      </c>
      <c r="AM42" s="81" t="s">
        <v>645</v>
      </c>
      <c r="AN42" s="81"/>
      <c r="AO42" s="81"/>
      <c r="AP42" s="83">
        <v>40667.86085648148</v>
      </c>
      <c r="AQ42" s="81"/>
      <c r="AR42" s="81" t="b">
        <v>1</v>
      </c>
      <c r="AS42" s="81" t="b">
        <v>1</v>
      </c>
      <c r="AT42" s="81" t="b">
        <v>0</v>
      </c>
      <c r="AU42" s="81"/>
      <c r="AV42" s="81">
        <v>1</v>
      </c>
      <c r="AW42" s="87" t="str">
        <f>HYPERLINK("https://abs.twimg.com/images/themes/theme1/bg.png")</f>
        <v>https://abs.twimg.com/images/themes/theme1/bg.png</v>
      </c>
      <c r="AX42" s="81" t="b">
        <v>0</v>
      </c>
      <c r="AY42" s="81" t="s">
        <v>652</v>
      </c>
      <c r="AZ42" s="87" t="str">
        <f>HYPERLINK("https://twitter.com/juliejohnson7")</f>
        <v>https://twitter.com/juliejohnson7</v>
      </c>
      <c r="BA42" s="81" t="s">
        <v>66</v>
      </c>
      <c r="BB42" s="81" t="str">
        <f>REPLACE(INDEX(GroupVertices[Group],MATCH(Vertices[[#This Row],[Vertex]],GroupVertices[Vertex],0)),1,1,"")</f>
        <v>1</v>
      </c>
      <c r="BC42" s="49"/>
      <c r="BD42" s="49"/>
      <c r="BE42" s="49"/>
      <c r="BF42" s="49"/>
      <c r="BG42" s="49"/>
      <c r="BH42" s="49"/>
      <c r="BI42" s="112" t="s">
        <v>849</v>
      </c>
      <c r="BJ42" s="112" t="s">
        <v>849</v>
      </c>
      <c r="BK42" s="112" t="s">
        <v>891</v>
      </c>
      <c r="BL42" s="112" t="s">
        <v>891</v>
      </c>
      <c r="BM42" s="112">
        <v>0</v>
      </c>
      <c r="BN42" s="115">
        <v>0</v>
      </c>
      <c r="BO42" s="112">
        <v>1</v>
      </c>
      <c r="BP42" s="115">
        <v>10</v>
      </c>
      <c r="BQ42" s="112">
        <v>0</v>
      </c>
      <c r="BR42" s="115">
        <v>0</v>
      </c>
      <c r="BS42" s="112">
        <v>9</v>
      </c>
      <c r="BT42" s="115">
        <v>90</v>
      </c>
      <c r="BU42" s="112">
        <v>10</v>
      </c>
      <c r="BV42" s="2"/>
      <c r="BW42" s="3"/>
      <c r="BX42" s="3"/>
      <c r="BY42" s="3"/>
      <c r="BZ42" s="3"/>
    </row>
    <row r="43" spans="1:78" ht="41.45" customHeight="1">
      <c r="A43" s="66" t="s">
        <v>281</v>
      </c>
      <c r="C43" s="67"/>
      <c r="D43" s="67" t="s">
        <v>64</v>
      </c>
      <c r="E43" s="68">
        <v>284.9460532774084</v>
      </c>
      <c r="F43" s="70">
        <v>99.23385812705341</v>
      </c>
      <c r="G43" s="105" t="str">
        <f>HYPERLINK("https://pbs.twimg.com/profile_images/1290336441827045378/lhjmkss8_normal.jpg")</f>
        <v>https://pbs.twimg.com/profile_images/1290336441827045378/lhjmkss8_normal.jpg</v>
      </c>
      <c r="H43" s="67"/>
      <c r="I43" s="71" t="s">
        <v>281</v>
      </c>
      <c r="J43" s="72"/>
      <c r="K43" s="72"/>
      <c r="L43" s="71" t="s">
        <v>692</v>
      </c>
      <c r="M43" s="75">
        <v>256.32954819066555</v>
      </c>
      <c r="N43" s="76">
        <v>5211.45263671875</v>
      </c>
      <c r="O43" s="76">
        <v>4061.302978515625</v>
      </c>
      <c r="P43" s="77"/>
      <c r="Q43" s="78"/>
      <c r="R43" s="78"/>
      <c r="S43" s="91"/>
      <c r="T43" s="49">
        <v>0</v>
      </c>
      <c r="U43" s="49">
        <v>4</v>
      </c>
      <c r="V43" s="50">
        <v>98.157895</v>
      </c>
      <c r="W43" s="50">
        <v>0.009524</v>
      </c>
      <c r="X43" s="50">
        <v>0.018226</v>
      </c>
      <c r="Y43" s="50">
        <v>0.836867</v>
      </c>
      <c r="Z43" s="50">
        <v>0</v>
      </c>
      <c r="AA43" s="50">
        <v>0</v>
      </c>
      <c r="AB43" s="73">
        <v>43</v>
      </c>
      <c r="AC43" s="73"/>
      <c r="AD43" s="74"/>
      <c r="AE43" s="81" t="s">
        <v>523</v>
      </c>
      <c r="AF43" s="90" t="s">
        <v>568</v>
      </c>
      <c r="AG43" s="81">
        <v>7235</v>
      </c>
      <c r="AH43" s="81">
        <v>6579</v>
      </c>
      <c r="AI43" s="81">
        <v>196007</v>
      </c>
      <c r="AJ43" s="81">
        <v>429671</v>
      </c>
      <c r="AK43" s="81"/>
      <c r="AL43" s="81" t="s">
        <v>613</v>
      </c>
      <c r="AM43" s="81" t="s">
        <v>451</v>
      </c>
      <c r="AN43" s="87" t="str">
        <f>HYPERLINK("https://t.co/PEwm1eIO5E")</f>
        <v>https://t.co/PEwm1eIO5E</v>
      </c>
      <c r="AO43" s="81"/>
      <c r="AP43" s="83">
        <v>43151.57331018519</v>
      </c>
      <c r="AQ43" s="87" t="str">
        <f>HYPERLINK("https://pbs.twimg.com/profile_banners/965945523499950081/1620028975")</f>
        <v>https://pbs.twimg.com/profile_banners/965945523499950081/1620028975</v>
      </c>
      <c r="AR43" s="81" t="b">
        <v>0</v>
      </c>
      <c r="AS43" s="81" t="b">
        <v>0</v>
      </c>
      <c r="AT43" s="81" t="b">
        <v>0</v>
      </c>
      <c r="AU43" s="81"/>
      <c r="AV43" s="81">
        <v>9</v>
      </c>
      <c r="AW43" s="87" t="str">
        <f>HYPERLINK("https://abs.twimg.com/images/themes/theme1/bg.png")</f>
        <v>https://abs.twimg.com/images/themes/theme1/bg.png</v>
      </c>
      <c r="AX43" s="81" t="b">
        <v>0</v>
      </c>
      <c r="AY43" s="81" t="s">
        <v>652</v>
      </c>
      <c r="AZ43" s="87" t="str">
        <f>HYPERLINK("https://twitter.com/john210750")</f>
        <v>https://twitter.com/john210750</v>
      </c>
      <c r="BA43" s="81" t="s">
        <v>66</v>
      </c>
      <c r="BB43" s="81" t="str">
        <f>REPLACE(INDEX(GroupVertices[Group],MATCH(Vertices[[#This Row],[Vertex]],GroupVertices[Vertex],0)),1,1,"")</f>
        <v>1</v>
      </c>
      <c r="BC43" s="49"/>
      <c r="BD43" s="49"/>
      <c r="BE43" s="49"/>
      <c r="BF43" s="49"/>
      <c r="BG43" s="49"/>
      <c r="BH43" s="49"/>
      <c r="BI43" s="112" t="s">
        <v>850</v>
      </c>
      <c r="BJ43" s="112" t="s">
        <v>850</v>
      </c>
      <c r="BK43" s="112" t="s">
        <v>892</v>
      </c>
      <c r="BL43" s="112" t="s">
        <v>892</v>
      </c>
      <c r="BM43" s="112">
        <v>0</v>
      </c>
      <c r="BN43" s="115">
        <v>0</v>
      </c>
      <c r="BO43" s="112">
        <v>0</v>
      </c>
      <c r="BP43" s="115">
        <v>0</v>
      </c>
      <c r="BQ43" s="112">
        <v>0</v>
      </c>
      <c r="BR43" s="115">
        <v>0</v>
      </c>
      <c r="BS43" s="112">
        <v>12</v>
      </c>
      <c r="BT43" s="115">
        <v>100</v>
      </c>
      <c r="BU43" s="112">
        <v>12</v>
      </c>
      <c r="BV43" s="2"/>
      <c r="BW43" s="3"/>
      <c r="BX43" s="3"/>
      <c r="BY43" s="3"/>
      <c r="BZ43" s="3"/>
    </row>
    <row r="44" spans="1:78" ht="41.45" customHeight="1">
      <c r="A44" s="66" t="s">
        <v>298</v>
      </c>
      <c r="C44" s="67"/>
      <c r="D44" s="67" t="s">
        <v>64</v>
      </c>
      <c r="E44" s="68">
        <v>230.61496586497702</v>
      </c>
      <c r="F44" s="70">
        <v>99.57242386348632</v>
      </c>
      <c r="G44" s="105" t="str">
        <f>HYPERLINK("https://pbs.twimg.com/profile_images/873915318988673024/Imq_1o2m_normal.jpg")</f>
        <v>https://pbs.twimg.com/profile_images/873915318988673024/Imq_1o2m_normal.jpg</v>
      </c>
      <c r="H44" s="67"/>
      <c r="I44" s="71" t="s">
        <v>298</v>
      </c>
      <c r="J44" s="72"/>
      <c r="K44" s="72"/>
      <c r="L44" s="71" t="s">
        <v>693</v>
      </c>
      <c r="M44" s="75">
        <v>143.4968737621263</v>
      </c>
      <c r="N44" s="76">
        <v>6751.1884765625</v>
      </c>
      <c r="O44" s="76">
        <v>3544.48583984375</v>
      </c>
      <c r="P44" s="77"/>
      <c r="Q44" s="78"/>
      <c r="R44" s="78"/>
      <c r="S44" s="91"/>
      <c r="T44" s="49">
        <v>1</v>
      </c>
      <c r="U44" s="49">
        <v>0</v>
      </c>
      <c r="V44" s="50">
        <v>0</v>
      </c>
      <c r="W44" s="50">
        <v>0.006494</v>
      </c>
      <c r="X44" s="50">
        <v>0.001602</v>
      </c>
      <c r="Y44" s="50">
        <v>0.327834</v>
      </c>
      <c r="Z44" s="50">
        <v>0</v>
      </c>
      <c r="AA44" s="50">
        <v>0</v>
      </c>
      <c r="AB44" s="73">
        <v>44</v>
      </c>
      <c r="AC44" s="73"/>
      <c r="AD44" s="74"/>
      <c r="AE44" s="81" t="s">
        <v>524</v>
      </c>
      <c r="AF44" s="90" t="s">
        <v>569</v>
      </c>
      <c r="AG44" s="81">
        <v>5001</v>
      </c>
      <c r="AH44" s="81">
        <v>3673</v>
      </c>
      <c r="AI44" s="81">
        <v>47530</v>
      </c>
      <c r="AJ44" s="81">
        <v>40511</v>
      </c>
      <c r="AK44" s="81"/>
      <c r="AL44" s="81" t="s">
        <v>614</v>
      </c>
      <c r="AM44" s="81" t="s">
        <v>646</v>
      </c>
      <c r="AN44" s="81"/>
      <c r="AO44" s="81"/>
      <c r="AP44" s="83">
        <v>42665.811435185184</v>
      </c>
      <c r="AQ44" s="87" t="str">
        <f>HYPERLINK("https://pbs.twimg.com/profile_banners/789911318128103424/1570447981")</f>
        <v>https://pbs.twimg.com/profile_banners/789911318128103424/1570447981</v>
      </c>
      <c r="AR44" s="81" t="b">
        <v>1</v>
      </c>
      <c r="AS44" s="81" t="b">
        <v>0</v>
      </c>
      <c r="AT44" s="81" t="b">
        <v>1</v>
      </c>
      <c r="AU44" s="81"/>
      <c r="AV44" s="81">
        <v>4</v>
      </c>
      <c r="AW44" s="81"/>
      <c r="AX44" s="81" t="b">
        <v>0</v>
      </c>
      <c r="AY44" s="81" t="s">
        <v>652</v>
      </c>
      <c r="AZ44" s="87" t="str">
        <f>HYPERLINK("https://twitter.com/witandwhiz")</f>
        <v>https://twitter.com/witandwhiz</v>
      </c>
      <c r="BA44" s="81" t="s">
        <v>65</v>
      </c>
      <c r="BB44" s="81" t="str">
        <f>REPLACE(INDEX(GroupVertices[Group],MATCH(Vertices[[#This Row],[Vertex]],GroupVertices[Vertex],0)),1,1,"")</f>
        <v>1</v>
      </c>
      <c r="BC44" s="49"/>
      <c r="BD44" s="49"/>
      <c r="BE44" s="49"/>
      <c r="BF44" s="49"/>
      <c r="BG44" s="49"/>
      <c r="BH44" s="49"/>
      <c r="BI44" s="49"/>
      <c r="BJ44" s="49"/>
      <c r="BK44" s="49"/>
      <c r="BL44" s="49"/>
      <c r="BM44" s="49"/>
      <c r="BN44" s="50"/>
      <c r="BO44" s="49"/>
      <c r="BP44" s="50"/>
      <c r="BQ44" s="49"/>
      <c r="BR44" s="50"/>
      <c r="BS44" s="49"/>
      <c r="BT44" s="50"/>
      <c r="BU44" s="49"/>
      <c r="BV44" s="2"/>
      <c r="BW44" s="3"/>
      <c r="BX44" s="3"/>
      <c r="BY44" s="3"/>
      <c r="BZ44" s="3"/>
    </row>
    <row r="45" spans="1:78" ht="41.45" customHeight="1">
      <c r="A45" s="66" t="s">
        <v>282</v>
      </c>
      <c r="C45" s="67"/>
      <c r="D45" s="67" t="s">
        <v>64</v>
      </c>
      <c r="E45" s="68">
        <v>166.6366516442818</v>
      </c>
      <c r="F45" s="70">
        <v>99.97110657170153</v>
      </c>
      <c r="G45" s="105" t="str">
        <f>HYPERLINK("https://pbs.twimg.com/profile_images/656055213179191297/YNHgob7a_normal.jpg")</f>
        <v>https://pbs.twimg.com/profile_images/656055213179191297/YNHgob7a_normal.jpg</v>
      </c>
      <c r="H45" s="67"/>
      <c r="I45" s="71" t="s">
        <v>282</v>
      </c>
      <c r="J45" s="72"/>
      <c r="K45" s="72"/>
      <c r="L45" s="71" t="s">
        <v>694</v>
      </c>
      <c r="M45" s="75">
        <v>10.629216537604176</v>
      </c>
      <c r="N45" s="76">
        <v>2987.63525390625</v>
      </c>
      <c r="O45" s="76">
        <v>6270.908203125</v>
      </c>
      <c r="P45" s="77"/>
      <c r="Q45" s="78"/>
      <c r="R45" s="78"/>
      <c r="S45" s="91"/>
      <c r="T45" s="49">
        <v>0</v>
      </c>
      <c r="U45" s="49">
        <v>3</v>
      </c>
      <c r="V45" s="50">
        <v>0.157895</v>
      </c>
      <c r="W45" s="50">
        <v>0.009346</v>
      </c>
      <c r="X45" s="50">
        <v>0.018085</v>
      </c>
      <c r="Y45" s="50">
        <v>0.558208</v>
      </c>
      <c r="Z45" s="50">
        <v>0</v>
      </c>
      <c r="AA45" s="50">
        <v>0</v>
      </c>
      <c r="AB45" s="73">
        <v>45</v>
      </c>
      <c r="AC45" s="73"/>
      <c r="AD45" s="74"/>
      <c r="AE45" s="81" t="s">
        <v>525</v>
      </c>
      <c r="AF45" s="90" t="s">
        <v>570</v>
      </c>
      <c r="AG45" s="81">
        <v>710</v>
      </c>
      <c r="AH45" s="81">
        <v>251</v>
      </c>
      <c r="AI45" s="81">
        <v>15500</v>
      </c>
      <c r="AJ45" s="81">
        <v>31288</v>
      </c>
      <c r="AK45" s="81"/>
      <c r="AL45" s="81"/>
      <c r="AM45" s="81"/>
      <c r="AN45" s="81"/>
      <c r="AO45" s="81"/>
      <c r="AP45" s="83">
        <v>41311.83521990741</v>
      </c>
      <c r="AQ45" s="87" t="str">
        <f>HYPERLINK("https://pbs.twimg.com/profile_banners/1154956105/1554813556")</f>
        <v>https://pbs.twimg.com/profile_banners/1154956105/1554813556</v>
      </c>
      <c r="AR45" s="81" t="b">
        <v>1</v>
      </c>
      <c r="AS45" s="81" t="b">
        <v>0</v>
      </c>
      <c r="AT45" s="81" t="b">
        <v>1</v>
      </c>
      <c r="AU45" s="81"/>
      <c r="AV45" s="81">
        <v>11</v>
      </c>
      <c r="AW45" s="87" t="str">
        <f>HYPERLINK("https://abs.twimg.com/images/themes/theme1/bg.png")</f>
        <v>https://abs.twimg.com/images/themes/theme1/bg.png</v>
      </c>
      <c r="AX45" s="81" t="b">
        <v>0</v>
      </c>
      <c r="AY45" s="81" t="s">
        <v>652</v>
      </c>
      <c r="AZ45" s="87" t="str">
        <f>HYPERLINK("https://twitter.com/seanmcd4464")</f>
        <v>https://twitter.com/seanmcd4464</v>
      </c>
      <c r="BA45" s="81" t="s">
        <v>66</v>
      </c>
      <c r="BB45" s="81" t="str">
        <f>REPLACE(INDEX(GroupVertices[Group],MATCH(Vertices[[#This Row],[Vertex]],GroupVertices[Vertex],0)),1,1,"")</f>
        <v>1</v>
      </c>
      <c r="BC45" s="49"/>
      <c r="BD45" s="49"/>
      <c r="BE45" s="49"/>
      <c r="BF45" s="49"/>
      <c r="BG45" s="49"/>
      <c r="BH45" s="49"/>
      <c r="BI45" s="112" t="s">
        <v>851</v>
      </c>
      <c r="BJ45" s="112" t="s">
        <v>851</v>
      </c>
      <c r="BK45" s="112" t="s">
        <v>893</v>
      </c>
      <c r="BL45" s="112" t="s">
        <v>893</v>
      </c>
      <c r="BM45" s="112">
        <v>1</v>
      </c>
      <c r="BN45" s="115">
        <v>20</v>
      </c>
      <c r="BO45" s="112">
        <v>0</v>
      </c>
      <c r="BP45" s="115">
        <v>0</v>
      </c>
      <c r="BQ45" s="112">
        <v>0</v>
      </c>
      <c r="BR45" s="115">
        <v>0</v>
      </c>
      <c r="BS45" s="112">
        <v>4</v>
      </c>
      <c r="BT45" s="115">
        <v>80</v>
      </c>
      <c r="BU45" s="112">
        <v>5</v>
      </c>
      <c r="BV45" s="2"/>
      <c r="BW45" s="3"/>
      <c r="BX45" s="3"/>
      <c r="BY45" s="3"/>
      <c r="BZ45" s="3"/>
    </row>
    <row r="46" spans="1:78" ht="41.45" customHeight="1">
      <c r="A46" s="66" t="s">
        <v>283</v>
      </c>
      <c r="C46" s="67"/>
      <c r="D46" s="67" t="s">
        <v>64</v>
      </c>
      <c r="E46" s="68">
        <v>171.96506180000893</v>
      </c>
      <c r="F46" s="70">
        <v>99.93790243031013</v>
      </c>
      <c r="G46" s="105" t="str">
        <f>HYPERLINK("https://pbs.twimg.com/profile_images/644362955/Bill8_small_normal.jpg")</f>
        <v>https://pbs.twimg.com/profile_images/644362955/Bill8_small_normal.jpg</v>
      </c>
      <c r="H46" s="67"/>
      <c r="I46" s="71" t="s">
        <v>283</v>
      </c>
      <c r="J46" s="72"/>
      <c r="K46" s="72"/>
      <c r="L46" s="71" t="s">
        <v>695</v>
      </c>
      <c r="M46" s="75">
        <v>21.695050058641232</v>
      </c>
      <c r="N46" s="76">
        <v>4908.0126953125</v>
      </c>
      <c r="O46" s="76">
        <v>5489.728515625</v>
      </c>
      <c r="P46" s="77"/>
      <c r="Q46" s="78"/>
      <c r="R46" s="78"/>
      <c r="S46" s="91"/>
      <c r="T46" s="49">
        <v>0</v>
      </c>
      <c r="U46" s="49">
        <v>3</v>
      </c>
      <c r="V46" s="50">
        <v>0.157895</v>
      </c>
      <c r="W46" s="50">
        <v>0.009346</v>
      </c>
      <c r="X46" s="50">
        <v>0.018085</v>
      </c>
      <c r="Y46" s="50">
        <v>0.558208</v>
      </c>
      <c r="Z46" s="50">
        <v>0</v>
      </c>
      <c r="AA46" s="50">
        <v>0</v>
      </c>
      <c r="AB46" s="73">
        <v>46</v>
      </c>
      <c r="AC46" s="73"/>
      <c r="AD46" s="74"/>
      <c r="AE46" s="81" t="s">
        <v>526</v>
      </c>
      <c r="AF46" s="90" t="s">
        <v>571</v>
      </c>
      <c r="AG46" s="81">
        <v>438</v>
      </c>
      <c r="AH46" s="81">
        <v>536</v>
      </c>
      <c r="AI46" s="81">
        <v>21836</v>
      </c>
      <c r="AJ46" s="81">
        <v>15033</v>
      </c>
      <c r="AK46" s="81"/>
      <c r="AL46" s="81" t="s">
        <v>615</v>
      </c>
      <c r="AM46" s="81" t="s">
        <v>647</v>
      </c>
      <c r="AN46" s="87" t="str">
        <f>HYPERLINK("http://t.co/CzSMWZj82w")</f>
        <v>http://t.co/CzSMWZj82w</v>
      </c>
      <c r="AO46" s="81"/>
      <c r="AP46" s="83">
        <v>40086.695081018515</v>
      </c>
      <c r="AQ46" s="81"/>
      <c r="AR46" s="81" t="b">
        <v>1</v>
      </c>
      <c r="AS46" s="81" t="b">
        <v>0</v>
      </c>
      <c r="AT46" s="81" t="b">
        <v>1</v>
      </c>
      <c r="AU46" s="81"/>
      <c r="AV46" s="81">
        <v>0</v>
      </c>
      <c r="AW46" s="87" t="str">
        <f>HYPERLINK("https://abs.twimg.com/images/themes/theme1/bg.png")</f>
        <v>https://abs.twimg.com/images/themes/theme1/bg.png</v>
      </c>
      <c r="AX46" s="81" t="b">
        <v>0</v>
      </c>
      <c r="AY46" s="81" t="s">
        <v>652</v>
      </c>
      <c r="AZ46" s="87" t="str">
        <f>HYPERLINK("https://twitter.com/billacres2")</f>
        <v>https://twitter.com/billacres2</v>
      </c>
      <c r="BA46" s="81" t="s">
        <v>66</v>
      </c>
      <c r="BB46" s="81" t="str">
        <f>REPLACE(INDEX(GroupVertices[Group],MATCH(Vertices[[#This Row],[Vertex]],GroupVertices[Vertex],0)),1,1,"")</f>
        <v>1</v>
      </c>
      <c r="BC46" s="49"/>
      <c r="BD46" s="49"/>
      <c r="BE46" s="49"/>
      <c r="BF46" s="49"/>
      <c r="BG46" s="49"/>
      <c r="BH46" s="49"/>
      <c r="BI46" s="112" t="s">
        <v>852</v>
      </c>
      <c r="BJ46" s="112" t="s">
        <v>852</v>
      </c>
      <c r="BK46" s="112" t="s">
        <v>894</v>
      </c>
      <c r="BL46" s="112" t="s">
        <v>894</v>
      </c>
      <c r="BM46" s="112">
        <v>0</v>
      </c>
      <c r="BN46" s="115">
        <v>0</v>
      </c>
      <c r="BO46" s="112">
        <v>0</v>
      </c>
      <c r="BP46" s="115">
        <v>0</v>
      </c>
      <c r="BQ46" s="112">
        <v>0</v>
      </c>
      <c r="BR46" s="115">
        <v>0</v>
      </c>
      <c r="BS46" s="112">
        <v>14</v>
      </c>
      <c r="BT46" s="115">
        <v>100</v>
      </c>
      <c r="BU46" s="112">
        <v>14</v>
      </c>
      <c r="BV46" s="2"/>
      <c r="BW46" s="3"/>
      <c r="BX46" s="3"/>
      <c r="BY46" s="3"/>
      <c r="BZ46" s="3"/>
    </row>
    <row r="47" spans="1:78" ht="41.45" customHeight="1">
      <c r="A47" s="66" t="s">
        <v>284</v>
      </c>
      <c r="C47" s="67"/>
      <c r="D47" s="67" t="s">
        <v>64</v>
      </c>
      <c r="E47" s="68">
        <v>168.22582660300745</v>
      </c>
      <c r="F47" s="70">
        <v>99.96120358216375</v>
      </c>
      <c r="G47" s="105" t="str">
        <f>HYPERLINK("https://pbs.twimg.com/profile_images/1245671256889921537/xSiRP1vn_normal.jpg")</f>
        <v>https://pbs.twimg.com/profile_images/1245671256889921537/xSiRP1vn_normal.jpg</v>
      </c>
      <c r="H47" s="67"/>
      <c r="I47" s="71" t="s">
        <v>284</v>
      </c>
      <c r="J47" s="72"/>
      <c r="K47" s="72"/>
      <c r="L47" s="71" t="s">
        <v>696</v>
      </c>
      <c r="M47" s="75">
        <v>13.929552850895929</v>
      </c>
      <c r="N47" s="76">
        <v>2556.9873046875</v>
      </c>
      <c r="O47" s="76">
        <v>3043.398193359375</v>
      </c>
      <c r="P47" s="77"/>
      <c r="Q47" s="78"/>
      <c r="R47" s="78"/>
      <c r="S47" s="91"/>
      <c r="T47" s="49">
        <v>0</v>
      </c>
      <c r="U47" s="49">
        <v>4</v>
      </c>
      <c r="V47" s="50">
        <v>4.824561</v>
      </c>
      <c r="W47" s="50">
        <v>0.009524</v>
      </c>
      <c r="X47" s="50">
        <v>0.020657</v>
      </c>
      <c r="Y47" s="50">
        <v>0.688056</v>
      </c>
      <c r="Z47" s="50">
        <v>0</v>
      </c>
      <c r="AA47" s="50">
        <v>0</v>
      </c>
      <c r="AB47" s="73">
        <v>47</v>
      </c>
      <c r="AC47" s="73"/>
      <c r="AD47" s="74"/>
      <c r="AE47" s="81" t="s">
        <v>527</v>
      </c>
      <c r="AF47" s="90" t="s">
        <v>572</v>
      </c>
      <c r="AG47" s="81">
        <v>126</v>
      </c>
      <c r="AH47" s="81">
        <v>336</v>
      </c>
      <c r="AI47" s="81">
        <v>9910</v>
      </c>
      <c r="AJ47" s="81">
        <v>96260</v>
      </c>
      <c r="AK47" s="81"/>
      <c r="AL47" s="81" t="s">
        <v>616</v>
      </c>
      <c r="AM47" s="81"/>
      <c r="AN47" s="81"/>
      <c r="AO47" s="81"/>
      <c r="AP47" s="83">
        <v>41452.90267361111</v>
      </c>
      <c r="AQ47" s="87" t="str">
        <f>HYPERLINK("https://pbs.twimg.com/profile_banners/1551547482/1632023938")</f>
        <v>https://pbs.twimg.com/profile_banners/1551547482/1632023938</v>
      </c>
      <c r="AR47" s="81" t="b">
        <v>1</v>
      </c>
      <c r="AS47" s="81" t="b">
        <v>0</v>
      </c>
      <c r="AT47" s="81" t="b">
        <v>0</v>
      </c>
      <c r="AU47" s="81"/>
      <c r="AV47" s="81">
        <v>0</v>
      </c>
      <c r="AW47" s="87" t="str">
        <f>HYPERLINK("https://abs.twimg.com/images/themes/theme1/bg.png")</f>
        <v>https://abs.twimg.com/images/themes/theme1/bg.png</v>
      </c>
      <c r="AX47" s="81" t="b">
        <v>0</v>
      </c>
      <c r="AY47" s="81" t="s">
        <v>652</v>
      </c>
      <c r="AZ47" s="87" t="str">
        <f>HYPERLINK("https://twitter.com/lubylou64th")</f>
        <v>https://twitter.com/lubylou64th</v>
      </c>
      <c r="BA47" s="81" t="s">
        <v>66</v>
      </c>
      <c r="BB47" s="81" t="str">
        <f>REPLACE(INDEX(GroupVertices[Group],MATCH(Vertices[[#This Row],[Vertex]],GroupVertices[Vertex],0)),1,1,"")</f>
        <v>1</v>
      </c>
      <c r="BC47" s="49"/>
      <c r="BD47" s="49"/>
      <c r="BE47" s="49"/>
      <c r="BF47" s="49"/>
      <c r="BG47" s="49"/>
      <c r="BH47" s="49"/>
      <c r="BI47" s="112" t="s">
        <v>853</v>
      </c>
      <c r="BJ47" s="112" t="s">
        <v>853</v>
      </c>
      <c r="BK47" s="112" t="s">
        <v>895</v>
      </c>
      <c r="BL47" s="112" t="s">
        <v>895</v>
      </c>
      <c r="BM47" s="112">
        <v>0</v>
      </c>
      <c r="BN47" s="115">
        <v>0</v>
      </c>
      <c r="BO47" s="112">
        <v>0</v>
      </c>
      <c r="BP47" s="115">
        <v>0</v>
      </c>
      <c r="BQ47" s="112">
        <v>0</v>
      </c>
      <c r="BR47" s="115">
        <v>0</v>
      </c>
      <c r="BS47" s="112">
        <v>9</v>
      </c>
      <c r="BT47" s="115">
        <v>100</v>
      </c>
      <c r="BU47" s="112">
        <v>9</v>
      </c>
      <c r="BV47" s="2"/>
      <c r="BW47" s="3"/>
      <c r="BX47" s="3"/>
      <c r="BY47" s="3"/>
      <c r="BZ47" s="3"/>
    </row>
    <row r="48" spans="1:78" ht="41.45" customHeight="1">
      <c r="A48" s="66" t="s">
        <v>285</v>
      </c>
      <c r="C48" s="67"/>
      <c r="D48" s="67" t="s">
        <v>64</v>
      </c>
      <c r="E48" s="68">
        <v>165.25313462139127</v>
      </c>
      <c r="F48" s="70">
        <v>99.97972799788737</v>
      </c>
      <c r="G48" s="105" t="str">
        <f>HYPERLINK("https://pbs.twimg.com/profile_images/1665851208/grumpy_normal.jpg")</f>
        <v>https://pbs.twimg.com/profile_images/1665851208/grumpy_normal.jpg</v>
      </c>
      <c r="H48" s="67"/>
      <c r="I48" s="71" t="s">
        <v>285</v>
      </c>
      <c r="J48" s="72"/>
      <c r="K48" s="72"/>
      <c r="L48" s="71" t="s">
        <v>697</v>
      </c>
      <c r="M48" s="75">
        <v>7.755982570738413</v>
      </c>
      <c r="N48" s="76">
        <v>3668.501953125</v>
      </c>
      <c r="O48" s="76">
        <v>7384.32958984375</v>
      </c>
      <c r="P48" s="77"/>
      <c r="Q48" s="78"/>
      <c r="R48" s="78"/>
      <c r="S48" s="91"/>
      <c r="T48" s="49">
        <v>0</v>
      </c>
      <c r="U48" s="49">
        <v>4</v>
      </c>
      <c r="V48" s="50">
        <v>98.157895</v>
      </c>
      <c r="W48" s="50">
        <v>0.009524</v>
      </c>
      <c r="X48" s="50">
        <v>0.018226</v>
      </c>
      <c r="Y48" s="50">
        <v>0.836867</v>
      </c>
      <c r="Z48" s="50">
        <v>0</v>
      </c>
      <c r="AA48" s="50">
        <v>0</v>
      </c>
      <c r="AB48" s="73">
        <v>48</v>
      </c>
      <c r="AC48" s="73"/>
      <c r="AD48" s="74"/>
      <c r="AE48" s="81" t="s">
        <v>528</v>
      </c>
      <c r="AF48" s="90" t="s">
        <v>573</v>
      </c>
      <c r="AG48" s="81">
        <v>401</v>
      </c>
      <c r="AH48" s="81">
        <v>177</v>
      </c>
      <c r="AI48" s="81">
        <v>5160</v>
      </c>
      <c r="AJ48" s="81">
        <v>8736</v>
      </c>
      <c r="AK48" s="81"/>
      <c r="AL48" s="81" t="s">
        <v>617</v>
      </c>
      <c r="AM48" s="81" t="s">
        <v>648</v>
      </c>
      <c r="AN48" s="81"/>
      <c r="AO48" s="81"/>
      <c r="AP48" s="83">
        <v>40877.48771990741</v>
      </c>
      <c r="AQ48" s="81"/>
      <c r="AR48" s="81" t="b">
        <v>1</v>
      </c>
      <c r="AS48" s="81" t="b">
        <v>0</v>
      </c>
      <c r="AT48" s="81" t="b">
        <v>1</v>
      </c>
      <c r="AU48" s="81"/>
      <c r="AV48" s="81">
        <v>0</v>
      </c>
      <c r="AW48" s="87" t="str">
        <f>HYPERLINK("https://abs.twimg.com/images/themes/theme1/bg.png")</f>
        <v>https://abs.twimg.com/images/themes/theme1/bg.png</v>
      </c>
      <c r="AX48" s="81" t="b">
        <v>0</v>
      </c>
      <c r="AY48" s="81" t="s">
        <v>652</v>
      </c>
      <c r="AZ48" s="87" t="str">
        <f>HYPERLINK("https://twitter.com/mikek1956")</f>
        <v>https://twitter.com/mikek1956</v>
      </c>
      <c r="BA48" s="81" t="s">
        <v>66</v>
      </c>
      <c r="BB48" s="81" t="str">
        <f>REPLACE(INDEX(GroupVertices[Group],MATCH(Vertices[[#This Row],[Vertex]],GroupVertices[Vertex],0)),1,1,"")</f>
        <v>1</v>
      </c>
      <c r="BC48" s="49"/>
      <c r="BD48" s="49"/>
      <c r="BE48" s="49"/>
      <c r="BF48" s="49"/>
      <c r="BG48" s="49"/>
      <c r="BH48" s="49"/>
      <c r="BI48" s="112" t="s">
        <v>854</v>
      </c>
      <c r="BJ48" s="112" t="s">
        <v>854</v>
      </c>
      <c r="BK48" s="112" t="s">
        <v>896</v>
      </c>
      <c r="BL48" s="112" t="s">
        <v>896</v>
      </c>
      <c r="BM48" s="112">
        <v>0</v>
      </c>
      <c r="BN48" s="115">
        <v>0</v>
      </c>
      <c r="BO48" s="112">
        <v>0</v>
      </c>
      <c r="BP48" s="115">
        <v>0</v>
      </c>
      <c r="BQ48" s="112">
        <v>0</v>
      </c>
      <c r="BR48" s="115">
        <v>0</v>
      </c>
      <c r="BS48" s="112">
        <v>6</v>
      </c>
      <c r="BT48" s="115">
        <v>100</v>
      </c>
      <c r="BU48" s="112">
        <v>6</v>
      </c>
      <c r="BV48" s="2"/>
      <c r="BW48" s="3"/>
      <c r="BX48" s="3"/>
      <c r="BY48" s="3"/>
      <c r="BZ48" s="3"/>
    </row>
    <row r="49" spans="1:78" ht="41.45" customHeight="1">
      <c r="A49" s="66" t="s">
        <v>299</v>
      </c>
      <c r="C49" s="67"/>
      <c r="D49" s="67" t="s">
        <v>64</v>
      </c>
      <c r="E49" s="68">
        <v>1000</v>
      </c>
      <c r="F49" s="70">
        <v>94.77797885808822</v>
      </c>
      <c r="G49" s="105" t="str">
        <f>HYPERLINK("https://pbs.twimg.com/profile_images/1333345789083590657/87fum9Ro_normal.jpg")</f>
        <v>https://pbs.twimg.com/profile_images/1333345789083590657/87fum9Ro_normal.jpg</v>
      </c>
      <c r="H49" s="67"/>
      <c r="I49" s="71" t="s">
        <v>299</v>
      </c>
      <c r="J49" s="72"/>
      <c r="K49" s="72"/>
      <c r="L49" s="71" t="s">
        <v>698</v>
      </c>
      <c r="M49" s="75">
        <v>1741.3255792277998</v>
      </c>
      <c r="N49" s="76">
        <v>3783.609375</v>
      </c>
      <c r="O49" s="76">
        <v>9670.0859375</v>
      </c>
      <c r="P49" s="77"/>
      <c r="Q49" s="78"/>
      <c r="R49" s="78"/>
      <c r="S49" s="91"/>
      <c r="T49" s="49">
        <v>1</v>
      </c>
      <c r="U49" s="49">
        <v>0</v>
      </c>
      <c r="V49" s="50">
        <v>0</v>
      </c>
      <c r="W49" s="50">
        <v>0.006494</v>
      </c>
      <c r="X49" s="50">
        <v>0.001602</v>
      </c>
      <c r="Y49" s="50">
        <v>0.327834</v>
      </c>
      <c r="Z49" s="50">
        <v>0</v>
      </c>
      <c r="AA49" s="50">
        <v>0</v>
      </c>
      <c r="AB49" s="73">
        <v>49</v>
      </c>
      <c r="AC49" s="73"/>
      <c r="AD49" s="74"/>
      <c r="AE49" s="81" t="s">
        <v>529</v>
      </c>
      <c r="AF49" s="90" t="s">
        <v>574</v>
      </c>
      <c r="AG49" s="81">
        <v>10729</v>
      </c>
      <c r="AH49" s="81">
        <v>44825</v>
      </c>
      <c r="AI49" s="81">
        <v>227868</v>
      </c>
      <c r="AJ49" s="81">
        <v>70868</v>
      </c>
      <c r="AK49" s="81"/>
      <c r="AL49" s="81" t="s">
        <v>618</v>
      </c>
      <c r="AM49" s="81" t="s">
        <v>649</v>
      </c>
      <c r="AN49" s="81"/>
      <c r="AO49" s="81"/>
      <c r="AP49" s="83">
        <v>40650.883368055554</v>
      </c>
      <c r="AQ49" s="87" t="str">
        <f>HYPERLINK("https://pbs.twimg.com/profile_banners/283706081/1605978522")</f>
        <v>https://pbs.twimg.com/profile_banners/283706081/1605978522</v>
      </c>
      <c r="AR49" s="81" t="b">
        <v>0</v>
      </c>
      <c r="AS49" s="81" t="b">
        <v>0</v>
      </c>
      <c r="AT49" s="81" t="b">
        <v>0</v>
      </c>
      <c r="AU49" s="81"/>
      <c r="AV49" s="81">
        <v>423</v>
      </c>
      <c r="AW49" s="87" t="str">
        <f>HYPERLINK("https://abs.twimg.com/images/themes/theme1/bg.png")</f>
        <v>https://abs.twimg.com/images/themes/theme1/bg.png</v>
      </c>
      <c r="AX49" s="81" t="b">
        <v>0</v>
      </c>
      <c r="AY49" s="81" t="s">
        <v>652</v>
      </c>
      <c r="AZ49" s="87" t="str">
        <f>HYPERLINK("https://twitter.com/leftgrassroots")</f>
        <v>https://twitter.com/leftgrassroots</v>
      </c>
      <c r="BA49" s="81" t="s">
        <v>65</v>
      </c>
      <c r="BB49" s="81" t="str">
        <f>REPLACE(INDEX(GroupVertices[Group],MATCH(Vertices[[#This Row],[Vertex]],GroupVertices[Vertex],0)),1,1,"")</f>
        <v>1</v>
      </c>
      <c r="BC49" s="49"/>
      <c r="BD49" s="49"/>
      <c r="BE49" s="49"/>
      <c r="BF49" s="49"/>
      <c r="BG49" s="49"/>
      <c r="BH49" s="49"/>
      <c r="BI49" s="49"/>
      <c r="BJ49" s="49"/>
      <c r="BK49" s="49"/>
      <c r="BL49" s="49"/>
      <c r="BM49" s="49"/>
      <c r="BN49" s="50"/>
      <c r="BO49" s="49"/>
      <c r="BP49" s="50"/>
      <c r="BQ49" s="49"/>
      <c r="BR49" s="50"/>
      <c r="BS49" s="49"/>
      <c r="BT49" s="50"/>
      <c r="BU49" s="49"/>
      <c r="BV49" s="2"/>
      <c r="BW49" s="3"/>
      <c r="BX49" s="3"/>
      <c r="BY49" s="3"/>
      <c r="BZ49" s="3"/>
    </row>
    <row r="50" spans="1:78" ht="41.45" customHeight="1">
      <c r="A50" s="66" t="s">
        <v>286</v>
      </c>
      <c r="C50" s="67"/>
      <c r="D50" s="67" t="s">
        <v>64</v>
      </c>
      <c r="E50" s="68">
        <v>172.37637767167908</v>
      </c>
      <c r="F50" s="70">
        <v>99.93533930360624</v>
      </c>
      <c r="G50" s="105" t="str">
        <f>HYPERLINK("https://pbs.twimg.com/profile_images/666663530586898432/zWoR2JV1_normal.jpg")</f>
        <v>https://pbs.twimg.com/profile_images/666663530586898432/zWoR2JV1_normal.jpg</v>
      </c>
      <c r="H50" s="67"/>
      <c r="I50" s="71" t="s">
        <v>286</v>
      </c>
      <c r="J50" s="72"/>
      <c r="K50" s="72"/>
      <c r="L50" s="71" t="s">
        <v>699</v>
      </c>
      <c r="M50" s="75">
        <v>22.549254751493216</v>
      </c>
      <c r="N50" s="76">
        <v>1699.2078857421875</v>
      </c>
      <c r="O50" s="76">
        <v>4399.06103515625</v>
      </c>
      <c r="P50" s="77"/>
      <c r="Q50" s="78"/>
      <c r="R50" s="78"/>
      <c r="S50" s="91"/>
      <c r="T50" s="49">
        <v>0</v>
      </c>
      <c r="U50" s="49">
        <v>4</v>
      </c>
      <c r="V50" s="50">
        <v>98.157895</v>
      </c>
      <c r="W50" s="50">
        <v>0.009524</v>
      </c>
      <c r="X50" s="50">
        <v>0.018226</v>
      </c>
      <c r="Y50" s="50">
        <v>0.836867</v>
      </c>
      <c r="Z50" s="50">
        <v>0</v>
      </c>
      <c r="AA50" s="50">
        <v>0</v>
      </c>
      <c r="AB50" s="73">
        <v>50</v>
      </c>
      <c r="AC50" s="73"/>
      <c r="AD50" s="74"/>
      <c r="AE50" s="81" t="s">
        <v>530</v>
      </c>
      <c r="AF50" s="90" t="s">
        <v>438</v>
      </c>
      <c r="AG50" s="81">
        <v>385</v>
      </c>
      <c r="AH50" s="81">
        <v>558</v>
      </c>
      <c r="AI50" s="81">
        <v>105570</v>
      </c>
      <c r="AJ50" s="81">
        <v>99674</v>
      </c>
      <c r="AK50" s="81"/>
      <c r="AL50" s="81" t="s">
        <v>619</v>
      </c>
      <c r="AM50" s="81"/>
      <c r="AN50" s="81"/>
      <c r="AO50" s="81"/>
      <c r="AP50" s="83">
        <v>40910.84778935185</v>
      </c>
      <c r="AQ50" s="81"/>
      <c r="AR50" s="81" t="b">
        <v>1</v>
      </c>
      <c r="AS50" s="81" t="b">
        <v>0</v>
      </c>
      <c r="AT50" s="81" t="b">
        <v>1</v>
      </c>
      <c r="AU50" s="81"/>
      <c r="AV50" s="81">
        <v>4</v>
      </c>
      <c r="AW50" s="87" t="str">
        <f>HYPERLINK("https://abs.twimg.com/images/themes/theme1/bg.png")</f>
        <v>https://abs.twimg.com/images/themes/theme1/bg.png</v>
      </c>
      <c r="AX50" s="81" t="b">
        <v>0</v>
      </c>
      <c r="AY50" s="81" t="s">
        <v>652</v>
      </c>
      <c r="AZ50" s="87" t="str">
        <f>HYPERLINK("https://twitter.com/nglwaug")</f>
        <v>https://twitter.com/nglwaug</v>
      </c>
      <c r="BA50" s="81" t="s">
        <v>66</v>
      </c>
      <c r="BB50" s="81" t="str">
        <f>REPLACE(INDEX(GroupVertices[Group],MATCH(Vertices[[#This Row],[Vertex]],GroupVertices[Vertex],0)),1,1,"")</f>
        <v>1</v>
      </c>
      <c r="BC50" s="49"/>
      <c r="BD50" s="49"/>
      <c r="BE50" s="49"/>
      <c r="BF50" s="49"/>
      <c r="BG50" s="49"/>
      <c r="BH50" s="49"/>
      <c r="BI50" s="112" t="s">
        <v>855</v>
      </c>
      <c r="BJ50" s="112" t="s">
        <v>860</v>
      </c>
      <c r="BK50" s="112" t="s">
        <v>897</v>
      </c>
      <c r="BL50" s="112" t="s">
        <v>902</v>
      </c>
      <c r="BM50" s="112">
        <v>0</v>
      </c>
      <c r="BN50" s="115">
        <v>0</v>
      </c>
      <c r="BO50" s="112">
        <v>0</v>
      </c>
      <c r="BP50" s="115">
        <v>0</v>
      </c>
      <c r="BQ50" s="112">
        <v>0</v>
      </c>
      <c r="BR50" s="115">
        <v>0</v>
      </c>
      <c r="BS50" s="112">
        <v>36</v>
      </c>
      <c r="BT50" s="115">
        <v>100</v>
      </c>
      <c r="BU50" s="112">
        <v>36</v>
      </c>
      <c r="BV50" s="2"/>
      <c r="BW50" s="3"/>
      <c r="BX50" s="3"/>
      <c r="BY50" s="3"/>
      <c r="BZ50" s="3"/>
    </row>
    <row r="51" spans="1:78" ht="41.45" customHeight="1">
      <c r="A51" s="66" t="s">
        <v>300</v>
      </c>
      <c r="C51" s="67"/>
      <c r="D51" s="67" t="s">
        <v>64</v>
      </c>
      <c r="E51" s="68">
        <v>385.6623533086431</v>
      </c>
      <c r="F51" s="70">
        <v>98.60624160187652</v>
      </c>
      <c r="G51" s="105" t="str">
        <f>HYPERLINK("https://pbs.twimg.com/profile_images/1302584449784328192/_1QIr4vz_normal.jpg")</f>
        <v>https://pbs.twimg.com/profile_images/1302584449784328192/_1QIr4vz_normal.jpg</v>
      </c>
      <c r="H51" s="67"/>
      <c r="I51" s="71" t="s">
        <v>300</v>
      </c>
      <c r="J51" s="72"/>
      <c r="K51" s="72"/>
      <c r="L51" s="71" t="s">
        <v>700</v>
      </c>
      <c r="M51" s="75">
        <v>465.4932154812853</v>
      </c>
      <c r="N51" s="76">
        <v>159.7284393310547</v>
      </c>
      <c r="O51" s="76">
        <v>3924.316650390625</v>
      </c>
      <c r="P51" s="77"/>
      <c r="Q51" s="78"/>
      <c r="R51" s="78"/>
      <c r="S51" s="91"/>
      <c r="T51" s="49">
        <v>1</v>
      </c>
      <c r="U51" s="49">
        <v>0</v>
      </c>
      <c r="V51" s="50">
        <v>0</v>
      </c>
      <c r="W51" s="50">
        <v>0.006494</v>
      </c>
      <c r="X51" s="50">
        <v>0.001602</v>
      </c>
      <c r="Y51" s="50">
        <v>0.327834</v>
      </c>
      <c r="Z51" s="50">
        <v>0</v>
      </c>
      <c r="AA51" s="50">
        <v>0</v>
      </c>
      <c r="AB51" s="73">
        <v>51</v>
      </c>
      <c r="AC51" s="73"/>
      <c r="AD51" s="74"/>
      <c r="AE51" s="81" t="s">
        <v>531</v>
      </c>
      <c r="AF51" s="90" t="s">
        <v>575</v>
      </c>
      <c r="AG51" s="81">
        <v>13157</v>
      </c>
      <c r="AH51" s="81">
        <v>11966</v>
      </c>
      <c r="AI51" s="81">
        <v>140945</v>
      </c>
      <c r="AJ51" s="81">
        <v>109630</v>
      </c>
      <c r="AK51" s="81"/>
      <c r="AL51" s="81" t="s">
        <v>620</v>
      </c>
      <c r="AM51" s="81" t="s">
        <v>650</v>
      </c>
      <c r="AN51" s="87" t="str">
        <f>HYPERLINK("https://t.co/gRc1S10zZp")</f>
        <v>https://t.co/gRc1S10zZp</v>
      </c>
      <c r="AO51" s="81"/>
      <c r="AP51" s="83">
        <v>39901.58127314815</v>
      </c>
      <c r="AQ51" s="87" t="str">
        <f>HYPERLINK("https://pbs.twimg.com/profile_banners/27426996/1599395166")</f>
        <v>https://pbs.twimg.com/profile_banners/27426996/1599395166</v>
      </c>
      <c r="AR51" s="81" t="b">
        <v>0</v>
      </c>
      <c r="AS51" s="81" t="b">
        <v>0</v>
      </c>
      <c r="AT51" s="81" t="b">
        <v>1</v>
      </c>
      <c r="AU51" s="81"/>
      <c r="AV51" s="81">
        <v>492</v>
      </c>
      <c r="AW51" s="87" t="str">
        <f>HYPERLINK("https://abs.twimg.com/images/themes/theme9/bg.gif")</f>
        <v>https://abs.twimg.com/images/themes/theme9/bg.gif</v>
      </c>
      <c r="AX51" s="81" t="b">
        <v>0</v>
      </c>
      <c r="AY51" s="81" t="s">
        <v>652</v>
      </c>
      <c r="AZ51" s="87" t="str">
        <f>HYPERLINK("https://twitter.com/sportmarketing1")</f>
        <v>https://twitter.com/sportmarketing1</v>
      </c>
      <c r="BA51" s="81" t="s">
        <v>65</v>
      </c>
      <c r="BB51" s="81" t="str">
        <f>REPLACE(INDEX(GroupVertices[Group],MATCH(Vertices[[#This Row],[Vertex]],GroupVertices[Vertex],0)),1,1,"")</f>
        <v>1</v>
      </c>
      <c r="BC51" s="49"/>
      <c r="BD51" s="49"/>
      <c r="BE51" s="49"/>
      <c r="BF51" s="49"/>
      <c r="BG51" s="49"/>
      <c r="BH51" s="49"/>
      <c r="BI51" s="49"/>
      <c r="BJ51" s="49"/>
      <c r="BK51" s="49"/>
      <c r="BL51" s="49"/>
      <c r="BM51" s="49"/>
      <c r="BN51" s="50"/>
      <c r="BO51" s="49"/>
      <c r="BP51" s="50"/>
      <c r="BQ51" s="49"/>
      <c r="BR51" s="50"/>
      <c r="BS51" s="49"/>
      <c r="BT51" s="50"/>
      <c r="BU51" s="49"/>
      <c r="BV51" s="2"/>
      <c r="BW51" s="3"/>
      <c r="BX51" s="3"/>
      <c r="BY51" s="3"/>
      <c r="BZ51" s="3"/>
    </row>
    <row r="52" spans="1:78" ht="41.45" customHeight="1">
      <c r="A52" s="66" t="s">
        <v>287</v>
      </c>
      <c r="C52" s="67"/>
      <c r="D52" s="67" t="s">
        <v>64</v>
      </c>
      <c r="E52" s="68">
        <v>162.5234929275802</v>
      </c>
      <c r="F52" s="70">
        <v>99.9967378387405</v>
      </c>
      <c r="G52" s="105" t="str">
        <f>HYPERLINK("https://pbs.twimg.com/profile_images/1351227544360673286/KU3JBomo_normal.jpg")</f>
        <v>https://pbs.twimg.com/profile_images/1351227544360673286/KU3JBomo_normal.jpg</v>
      </c>
      <c r="H52" s="67"/>
      <c r="I52" s="71" t="s">
        <v>287</v>
      </c>
      <c r="J52" s="72"/>
      <c r="K52" s="72"/>
      <c r="L52" s="71" t="s">
        <v>701</v>
      </c>
      <c r="M52" s="75">
        <v>2.0871696090843423</v>
      </c>
      <c r="N52" s="76">
        <v>9567.953125</v>
      </c>
      <c r="O52" s="76">
        <v>8229.7763671875</v>
      </c>
      <c r="P52" s="77"/>
      <c r="Q52" s="78"/>
      <c r="R52" s="78"/>
      <c r="S52" s="91"/>
      <c r="T52" s="49">
        <v>0</v>
      </c>
      <c r="U52" s="49">
        <v>4</v>
      </c>
      <c r="V52" s="50">
        <v>4.824561</v>
      </c>
      <c r="W52" s="50">
        <v>0.009524</v>
      </c>
      <c r="X52" s="50">
        <v>0.020657</v>
      </c>
      <c r="Y52" s="50">
        <v>0.688056</v>
      </c>
      <c r="Z52" s="50">
        <v>0</v>
      </c>
      <c r="AA52" s="50">
        <v>0</v>
      </c>
      <c r="AB52" s="73">
        <v>52</v>
      </c>
      <c r="AC52" s="73"/>
      <c r="AD52" s="74"/>
      <c r="AE52" s="81" t="s">
        <v>532</v>
      </c>
      <c r="AF52" s="90" t="s">
        <v>576</v>
      </c>
      <c r="AG52" s="81">
        <v>135</v>
      </c>
      <c r="AH52" s="81">
        <v>31</v>
      </c>
      <c r="AI52" s="81">
        <v>4065</v>
      </c>
      <c r="AJ52" s="81">
        <v>1157</v>
      </c>
      <c r="AK52" s="81"/>
      <c r="AL52" s="81" t="s">
        <v>621</v>
      </c>
      <c r="AM52" s="81" t="s">
        <v>644</v>
      </c>
      <c r="AN52" s="87" t="str">
        <f>HYPERLINK("https://t.co/huGyXCDRgu")</f>
        <v>https://t.co/huGyXCDRgu</v>
      </c>
      <c r="AO52" s="81"/>
      <c r="AP52" s="83">
        <v>40907.71462962963</v>
      </c>
      <c r="AQ52" s="81"/>
      <c r="AR52" s="81" t="b">
        <v>1</v>
      </c>
      <c r="AS52" s="81" t="b">
        <v>0</v>
      </c>
      <c r="AT52" s="81" t="b">
        <v>0</v>
      </c>
      <c r="AU52" s="81"/>
      <c r="AV52" s="81">
        <v>1</v>
      </c>
      <c r="AW52" s="87" t="str">
        <f>HYPERLINK("https://abs.twimg.com/images/themes/theme1/bg.png")</f>
        <v>https://abs.twimg.com/images/themes/theme1/bg.png</v>
      </c>
      <c r="AX52" s="81" t="b">
        <v>0</v>
      </c>
      <c r="AY52" s="81" t="s">
        <v>652</v>
      </c>
      <c r="AZ52" s="87" t="str">
        <f>HYPERLINK("https://twitter.com/raffertycarol")</f>
        <v>https://twitter.com/raffertycarol</v>
      </c>
      <c r="BA52" s="81" t="s">
        <v>66</v>
      </c>
      <c r="BB52" s="81" t="str">
        <f>REPLACE(INDEX(GroupVertices[Group],MATCH(Vertices[[#This Row],[Vertex]],GroupVertices[Vertex],0)),1,1,"")</f>
        <v>2</v>
      </c>
      <c r="BC52" s="49"/>
      <c r="BD52" s="49"/>
      <c r="BE52" s="49"/>
      <c r="BF52" s="49"/>
      <c r="BG52" s="49"/>
      <c r="BH52" s="49"/>
      <c r="BI52" s="112" t="s">
        <v>856</v>
      </c>
      <c r="BJ52" s="112" t="s">
        <v>856</v>
      </c>
      <c r="BK52" s="112" t="s">
        <v>898</v>
      </c>
      <c r="BL52" s="112" t="s">
        <v>898</v>
      </c>
      <c r="BM52" s="112">
        <v>1</v>
      </c>
      <c r="BN52" s="115">
        <v>9.090909090909092</v>
      </c>
      <c r="BO52" s="112">
        <v>0</v>
      </c>
      <c r="BP52" s="115">
        <v>0</v>
      </c>
      <c r="BQ52" s="112">
        <v>0</v>
      </c>
      <c r="BR52" s="115">
        <v>0</v>
      </c>
      <c r="BS52" s="112">
        <v>10</v>
      </c>
      <c r="BT52" s="115">
        <v>90.9090909090909</v>
      </c>
      <c r="BU52" s="112">
        <v>11</v>
      </c>
      <c r="BV52" s="2"/>
      <c r="BW52" s="3"/>
      <c r="BX52" s="3"/>
      <c r="BY52" s="3"/>
      <c r="BZ52" s="3"/>
    </row>
    <row r="53" spans="1:78" ht="41.45" customHeight="1">
      <c r="A53" s="92" t="s">
        <v>288</v>
      </c>
      <c r="C53" s="93"/>
      <c r="D53" s="93" t="s">
        <v>64</v>
      </c>
      <c r="E53" s="94">
        <v>172.33898531970908</v>
      </c>
      <c r="F53" s="95">
        <v>99.93557231512477</v>
      </c>
      <c r="G53" s="106" t="str">
        <f>HYPERLINK("https://pbs.twimg.com/profile_images/1447919318407258112/IxTQDoGp_normal.jpg")</f>
        <v>https://pbs.twimg.com/profile_images/1447919318407258112/IxTQDoGp_normal.jpg</v>
      </c>
      <c r="H53" s="93"/>
      <c r="I53" s="96" t="s">
        <v>288</v>
      </c>
      <c r="J53" s="97"/>
      <c r="K53" s="97"/>
      <c r="L53" s="96" t="s">
        <v>702</v>
      </c>
      <c r="M53" s="98">
        <v>22.47159977941576</v>
      </c>
      <c r="N53" s="99">
        <v>4321.0732421875</v>
      </c>
      <c r="O53" s="99">
        <v>5830.462890625</v>
      </c>
      <c r="P53" s="100"/>
      <c r="Q53" s="101"/>
      <c r="R53" s="101"/>
      <c r="S53" s="102"/>
      <c r="T53" s="49">
        <v>0</v>
      </c>
      <c r="U53" s="49">
        <v>4</v>
      </c>
      <c r="V53" s="50">
        <v>4.824561</v>
      </c>
      <c r="W53" s="50">
        <v>0.009524</v>
      </c>
      <c r="X53" s="50">
        <v>0.020657</v>
      </c>
      <c r="Y53" s="50">
        <v>0.688056</v>
      </c>
      <c r="Z53" s="50">
        <v>0</v>
      </c>
      <c r="AA53" s="50">
        <v>0</v>
      </c>
      <c r="AB53" s="103">
        <v>53</v>
      </c>
      <c r="AC53" s="103"/>
      <c r="AD53" s="104"/>
      <c r="AE53" s="81" t="s">
        <v>533</v>
      </c>
      <c r="AF53" s="90" t="s">
        <v>577</v>
      </c>
      <c r="AG53" s="81">
        <v>811</v>
      </c>
      <c r="AH53" s="81">
        <v>556</v>
      </c>
      <c r="AI53" s="81">
        <v>39226</v>
      </c>
      <c r="AJ53" s="81">
        <v>34853</v>
      </c>
      <c r="AK53" s="81"/>
      <c r="AL53" s="81" t="s">
        <v>622</v>
      </c>
      <c r="AM53" s="81" t="s">
        <v>460</v>
      </c>
      <c r="AN53" s="81"/>
      <c r="AO53" s="81"/>
      <c r="AP53" s="83">
        <v>41278.86775462963</v>
      </c>
      <c r="AQ53" s="81"/>
      <c r="AR53" s="81" t="b">
        <v>1</v>
      </c>
      <c r="AS53" s="81" t="b">
        <v>0</v>
      </c>
      <c r="AT53" s="81" t="b">
        <v>1</v>
      </c>
      <c r="AU53" s="81"/>
      <c r="AV53" s="81">
        <v>21</v>
      </c>
      <c r="AW53" s="87" t="str">
        <f>HYPERLINK("https://abs.twimg.com/images/themes/theme1/bg.png")</f>
        <v>https://abs.twimg.com/images/themes/theme1/bg.png</v>
      </c>
      <c r="AX53" s="81" t="b">
        <v>0</v>
      </c>
      <c r="AY53" s="81" t="s">
        <v>652</v>
      </c>
      <c r="AZ53" s="87" t="str">
        <f>HYPERLINK("https://twitter.com/paulbayliss9")</f>
        <v>https://twitter.com/paulbayliss9</v>
      </c>
      <c r="BA53" s="81" t="s">
        <v>66</v>
      </c>
      <c r="BB53" s="81" t="str">
        <f>REPLACE(INDEX(GroupVertices[Group],MATCH(Vertices[[#This Row],[Vertex]],GroupVertices[Vertex],0)),1,1,"")</f>
        <v>1</v>
      </c>
      <c r="BC53" s="49"/>
      <c r="BD53" s="49"/>
      <c r="BE53" s="49"/>
      <c r="BF53" s="49"/>
      <c r="BG53" s="49"/>
      <c r="BH53" s="49"/>
      <c r="BI53" s="112" t="s">
        <v>857</v>
      </c>
      <c r="BJ53" s="112" t="s">
        <v>857</v>
      </c>
      <c r="BK53" s="112" t="s">
        <v>899</v>
      </c>
      <c r="BL53" s="112" t="s">
        <v>899</v>
      </c>
      <c r="BM53" s="112">
        <v>0</v>
      </c>
      <c r="BN53" s="115">
        <v>0</v>
      </c>
      <c r="BO53" s="112">
        <v>0</v>
      </c>
      <c r="BP53" s="115">
        <v>0</v>
      </c>
      <c r="BQ53" s="112">
        <v>0</v>
      </c>
      <c r="BR53" s="115">
        <v>0</v>
      </c>
      <c r="BS53" s="112">
        <v>18</v>
      </c>
      <c r="BT53" s="115">
        <v>100</v>
      </c>
      <c r="BU53" s="112">
        <v>18</v>
      </c>
      <c r="BV53" s="2"/>
      <c r="BW53" s="3"/>
      <c r="BX53" s="3"/>
      <c r="BY53" s="3"/>
      <c r="BZ5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53"/>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5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5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5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5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53"/>
    <dataValidation allowBlank="1" showInputMessage="1" promptTitle="Vertex Tooltip" prompt="Enter optional text that will pop up when the mouse is hovered over the vertex." errorTitle="Invalid Vertex Image Key" sqref="L3:L53"/>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5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5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53"/>
    <dataValidation allowBlank="1" showInputMessage="1" promptTitle="Vertex Label Fill Color" prompt="To select an optional fill color for the Label shape, right-click and select Select Color on the right-click menu." sqref="J3:J53"/>
    <dataValidation allowBlank="1" showInputMessage="1" promptTitle="Vertex Image File" prompt="Enter the path to an image file.  Hover over the column header for examples." errorTitle="Invalid Vertex Image Key" sqref="G3:G53"/>
    <dataValidation allowBlank="1" showInputMessage="1" promptTitle="Vertex Color" prompt="To select an optional vertex color, right-click and select Select Color on the right-click menu." sqref="C3:C53"/>
    <dataValidation allowBlank="1" showInputMessage="1" promptTitle="Vertex Opacity" prompt="Enter an optional vertex opacity between 0 (transparent) and 100 (opaque)." errorTitle="Invalid Vertex Opacity" error="The optional vertex opacity must be a whole number between 0 and 10." sqref="F3:F53"/>
    <dataValidation type="list" allowBlank="1" showInputMessage="1" showErrorMessage="1" promptTitle="Vertex Shape" prompt="Select an optional vertex shape." errorTitle="Invalid Vertex Shape" error="You have entered an invalid vertex shape.  Try selecting from the drop-down list instead." sqref="D3:D5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5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53">
      <formula1>ValidVertexLabelPositions</formula1>
    </dataValidation>
    <dataValidation allowBlank="1" showInputMessage="1" showErrorMessage="1" promptTitle="Vertex Name" prompt="Enter the name of the vertex." sqref="A3:A53"/>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2.00390625" style="0" bestFit="1" customWidth="1"/>
    <col min="26" max="26" width="13.140625" style="0" bestFit="1" customWidth="1"/>
    <col min="27" max="27" width="13.421875" style="0" bestFit="1" customWidth="1"/>
    <col min="28" max="28" width="11.421875" style="0" bestFit="1" customWidth="1"/>
    <col min="29" max="29" width="13.28125" style="0" bestFit="1" customWidth="1"/>
    <col min="30" max="30" width="12.28125" style="0" bestFit="1" customWidth="1"/>
    <col min="31" max="31" width="15.00390625" style="0" bestFit="1" customWidth="1"/>
    <col min="32" max="32" width="9.7109375" style="0" bestFit="1" customWidth="1"/>
    <col min="33" max="33" width="16.7109375" style="0" bestFit="1" customWidth="1"/>
    <col min="34" max="34" width="20.7109375" style="0" bestFit="1" customWidth="1"/>
    <col min="35" max="35" width="16.7109375" style="0" bestFit="1" customWidth="1"/>
    <col min="36" max="36" width="20.7109375" style="0" bestFit="1" customWidth="1"/>
    <col min="37" max="37" width="16.7109375" style="0" bestFit="1" customWidth="1"/>
    <col min="38" max="38" width="20.7109375" style="0" bestFit="1" customWidth="1"/>
    <col min="39" max="39" width="15.8515625" style="0" bestFit="1" customWidth="1"/>
    <col min="40" max="40" width="19.140625" style="0" bestFit="1" customWidth="1"/>
    <col min="41" max="41" width="14.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728</v>
      </c>
      <c r="Z2" s="13" t="s">
        <v>734</v>
      </c>
      <c r="AA2" s="13" t="s">
        <v>740</v>
      </c>
      <c r="AB2" s="13" t="s">
        <v>759</v>
      </c>
      <c r="AC2" s="13" t="s">
        <v>782</v>
      </c>
      <c r="AD2" s="13" t="s">
        <v>796</v>
      </c>
      <c r="AE2" s="13" t="s">
        <v>798</v>
      </c>
      <c r="AF2" s="13" t="s">
        <v>808</v>
      </c>
      <c r="AG2" s="54" t="s">
        <v>966</v>
      </c>
      <c r="AH2" s="54" t="s">
        <v>967</v>
      </c>
      <c r="AI2" s="54" t="s">
        <v>968</v>
      </c>
      <c r="AJ2" s="54" t="s">
        <v>969</v>
      </c>
      <c r="AK2" s="54" t="s">
        <v>970</v>
      </c>
      <c r="AL2" s="54" t="s">
        <v>971</v>
      </c>
      <c r="AM2" s="54" t="s">
        <v>972</v>
      </c>
      <c r="AN2" s="54" t="s">
        <v>973</v>
      </c>
      <c r="AO2" s="54" t="s">
        <v>976</v>
      </c>
    </row>
    <row r="3" spans="1:41" ht="15">
      <c r="A3" s="66" t="s">
        <v>705</v>
      </c>
      <c r="B3" s="67" t="s">
        <v>709</v>
      </c>
      <c r="C3" s="67" t="s">
        <v>56</v>
      </c>
      <c r="D3" s="108"/>
      <c r="E3" s="14"/>
      <c r="F3" s="15" t="s">
        <v>1013</v>
      </c>
      <c r="G3" s="64"/>
      <c r="H3" s="64"/>
      <c r="I3" s="109">
        <v>3</v>
      </c>
      <c r="J3" s="51"/>
      <c r="K3" s="49">
        <v>35</v>
      </c>
      <c r="L3" s="49">
        <v>80</v>
      </c>
      <c r="M3" s="49">
        <v>8</v>
      </c>
      <c r="N3" s="49">
        <v>88</v>
      </c>
      <c r="O3" s="49">
        <v>1</v>
      </c>
      <c r="P3" s="50">
        <v>0</v>
      </c>
      <c r="Q3" s="50">
        <v>0</v>
      </c>
      <c r="R3" s="49">
        <v>1</v>
      </c>
      <c r="S3" s="49">
        <v>0</v>
      </c>
      <c r="T3" s="49">
        <v>35</v>
      </c>
      <c r="U3" s="49">
        <v>88</v>
      </c>
      <c r="V3" s="49">
        <v>4</v>
      </c>
      <c r="W3" s="50">
        <v>2.150204</v>
      </c>
      <c r="X3" s="50">
        <v>0.06974789915966387</v>
      </c>
      <c r="Y3" s="81" t="s">
        <v>718</v>
      </c>
      <c r="Z3" s="81" t="s">
        <v>345</v>
      </c>
      <c r="AA3" s="81" t="s">
        <v>346</v>
      </c>
      <c r="AB3" s="90" t="s">
        <v>760</v>
      </c>
      <c r="AC3" s="90" t="s">
        <v>783</v>
      </c>
      <c r="AD3" s="90" t="s">
        <v>289</v>
      </c>
      <c r="AE3" s="90" t="s">
        <v>799</v>
      </c>
      <c r="AF3" s="90" t="s">
        <v>809</v>
      </c>
      <c r="AG3" s="112">
        <v>9</v>
      </c>
      <c r="AH3" s="115">
        <v>1.792828685258964</v>
      </c>
      <c r="AI3" s="112">
        <v>17</v>
      </c>
      <c r="AJ3" s="115">
        <v>3.3864541832669324</v>
      </c>
      <c r="AK3" s="112">
        <v>0</v>
      </c>
      <c r="AL3" s="115">
        <v>0</v>
      </c>
      <c r="AM3" s="112">
        <v>476</v>
      </c>
      <c r="AN3" s="115">
        <v>94.8207171314741</v>
      </c>
      <c r="AO3" s="112">
        <v>502</v>
      </c>
    </row>
    <row r="4" spans="1:41" ht="15">
      <c r="A4" s="66" t="s">
        <v>706</v>
      </c>
      <c r="B4" s="67" t="s">
        <v>710</v>
      </c>
      <c r="C4" s="67" t="s">
        <v>56</v>
      </c>
      <c r="D4" s="108"/>
      <c r="E4" s="14"/>
      <c r="F4" s="15" t="s">
        <v>1014</v>
      </c>
      <c r="G4" s="64"/>
      <c r="H4" s="64"/>
      <c r="I4" s="109">
        <v>4</v>
      </c>
      <c r="J4" s="79"/>
      <c r="K4" s="49">
        <v>12</v>
      </c>
      <c r="L4" s="49">
        <v>16</v>
      </c>
      <c r="M4" s="49">
        <v>0</v>
      </c>
      <c r="N4" s="49">
        <v>16</v>
      </c>
      <c r="O4" s="49">
        <v>0</v>
      </c>
      <c r="P4" s="50">
        <v>0</v>
      </c>
      <c r="Q4" s="50">
        <v>0</v>
      </c>
      <c r="R4" s="49">
        <v>1</v>
      </c>
      <c r="S4" s="49">
        <v>0</v>
      </c>
      <c r="T4" s="49">
        <v>12</v>
      </c>
      <c r="U4" s="49">
        <v>16</v>
      </c>
      <c r="V4" s="49">
        <v>2</v>
      </c>
      <c r="W4" s="50">
        <v>1.611111</v>
      </c>
      <c r="X4" s="50">
        <v>0.12121212121212122</v>
      </c>
      <c r="Y4" s="81"/>
      <c r="Z4" s="81"/>
      <c r="AA4" s="81" t="s">
        <v>741</v>
      </c>
      <c r="AB4" s="90" t="s">
        <v>761</v>
      </c>
      <c r="AC4" s="90" t="s">
        <v>784</v>
      </c>
      <c r="AD4" s="90" t="s">
        <v>797</v>
      </c>
      <c r="AE4" s="90" t="s">
        <v>800</v>
      </c>
      <c r="AF4" s="90" t="s">
        <v>810</v>
      </c>
      <c r="AG4" s="112">
        <v>4</v>
      </c>
      <c r="AH4" s="115">
        <v>1.834862385321101</v>
      </c>
      <c r="AI4" s="112">
        <v>7</v>
      </c>
      <c r="AJ4" s="115">
        <v>3.2110091743119265</v>
      </c>
      <c r="AK4" s="112">
        <v>0</v>
      </c>
      <c r="AL4" s="115">
        <v>0</v>
      </c>
      <c r="AM4" s="112">
        <v>207</v>
      </c>
      <c r="AN4" s="115">
        <v>94.95412844036697</v>
      </c>
      <c r="AO4" s="112">
        <v>218</v>
      </c>
    </row>
    <row r="5" spans="1:41" ht="15">
      <c r="A5" s="66" t="s">
        <v>707</v>
      </c>
      <c r="B5" s="67" t="s">
        <v>711</v>
      </c>
      <c r="C5" s="67" t="s">
        <v>56</v>
      </c>
      <c r="D5" s="108"/>
      <c r="E5" s="14"/>
      <c r="F5" s="15" t="s">
        <v>1015</v>
      </c>
      <c r="G5" s="64"/>
      <c r="H5" s="64"/>
      <c r="I5" s="109">
        <v>5</v>
      </c>
      <c r="J5" s="79"/>
      <c r="K5" s="49">
        <v>2</v>
      </c>
      <c r="L5" s="49">
        <v>0</v>
      </c>
      <c r="M5" s="49">
        <v>2</v>
      </c>
      <c r="N5" s="49">
        <v>2</v>
      </c>
      <c r="O5" s="49">
        <v>0</v>
      </c>
      <c r="P5" s="50">
        <v>0</v>
      </c>
      <c r="Q5" s="50">
        <v>0</v>
      </c>
      <c r="R5" s="49">
        <v>1</v>
      </c>
      <c r="S5" s="49">
        <v>0</v>
      </c>
      <c r="T5" s="49">
        <v>2</v>
      </c>
      <c r="U5" s="49">
        <v>2</v>
      </c>
      <c r="V5" s="49">
        <v>1</v>
      </c>
      <c r="W5" s="50">
        <v>0.5</v>
      </c>
      <c r="X5" s="50">
        <v>0.5</v>
      </c>
      <c r="Y5" s="81" t="s">
        <v>717</v>
      </c>
      <c r="Z5" s="81" t="s">
        <v>345</v>
      </c>
      <c r="AA5" s="81"/>
      <c r="AB5" s="90" t="s">
        <v>762</v>
      </c>
      <c r="AC5" s="90" t="s">
        <v>785</v>
      </c>
      <c r="AD5" s="90" t="s">
        <v>289</v>
      </c>
      <c r="AE5" s="90" t="s">
        <v>801</v>
      </c>
      <c r="AF5" s="90" t="s">
        <v>811</v>
      </c>
      <c r="AG5" s="112">
        <v>0</v>
      </c>
      <c r="AH5" s="115">
        <v>0</v>
      </c>
      <c r="AI5" s="112">
        <v>2</v>
      </c>
      <c r="AJ5" s="115">
        <v>5.405405405405405</v>
      </c>
      <c r="AK5" s="112">
        <v>0</v>
      </c>
      <c r="AL5" s="115">
        <v>0</v>
      </c>
      <c r="AM5" s="112">
        <v>35</v>
      </c>
      <c r="AN5" s="115">
        <v>94.5945945945946</v>
      </c>
      <c r="AO5" s="112">
        <v>37</v>
      </c>
    </row>
    <row r="6" spans="1:41" ht="15">
      <c r="A6" s="66" t="s">
        <v>708</v>
      </c>
      <c r="B6" s="67" t="s">
        <v>712</v>
      </c>
      <c r="C6" s="67" t="s">
        <v>56</v>
      </c>
      <c r="D6" s="108"/>
      <c r="E6" s="14"/>
      <c r="F6" s="15" t="s">
        <v>708</v>
      </c>
      <c r="G6" s="64"/>
      <c r="H6" s="64"/>
      <c r="I6" s="109">
        <v>6</v>
      </c>
      <c r="J6" s="79"/>
      <c r="K6" s="49">
        <v>2</v>
      </c>
      <c r="L6" s="49">
        <v>1</v>
      </c>
      <c r="M6" s="49">
        <v>0</v>
      </c>
      <c r="N6" s="49">
        <v>1</v>
      </c>
      <c r="O6" s="49">
        <v>0</v>
      </c>
      <c r="P6" s="50">
        <v>0</v>
      </c>
      <c r="Q6" s="50">
        <v>0</v>
      </c>
      <c r="R6" s="49">
        <v>1</v>
      </c>
      <c r="S6" s="49">
        <v>0</v>
      </c>
      <c r="T6" s="49">
        <v>2</v>
      </c>
      <c r="U6" s="49">
        <v>1</v>
      </c>
      <c r="V6" s="49">
        <v>1</v>
      </c>
      <c r="W6" s="50">
        <v>0.5</v>
      </c>
      <c r="X6" s="50">
        <v>0.5</v>
      </c>
      <c r="Y6" s="81"/>
      <c r="Z6" s="81"/>
      <c r="AA6" s="81"/>
      <c r="AB6" s="90" t="s">
        <v>441</v>
      </c>
      <c r="AC6" s="90" t="s">
        <v>441</v>
      </c>
      <c r="AD6" s="90" t="s">
        <v>289</v>
      </c>
      <c r="AE6" s="90" t="s">
        <v>802</v>
      </c>
      <c r="AF6" s="90" t="s">
        <v>812</v>
      </c>
      <c r="AG6" s="112">
        <v>0</v>
      </c>
      <c r="AH6" s="115">
        <v>0</v>
      </c>
      <c r="AI6" s="112">
        <v>0</v>
      </c>
      <c r="AJ6" s="115">
        <v>0</v>
      </c>
      <c r="AK6" s="112">
        <v>0</v>
      </c>
      <c r="AL6" s="115">
        <v>0</v>
      </c>
      <c r="AM6" s="112">
        <v>10</v>
      </c>
      <c r="AN6" s="115">
        <v>100</v>
      </c>
      <c r="AO6" s="112">
        <v>10</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705</v>
      </c>
      <c r="B2" s="90" t="s">
        <v>288</v>
      </c>
      <c r="C2" s="81">
        <f>VLOOKUP(GroupVertices[[#This Row],[Vertex]],Vertices[],MATCH("ID",Vertices[[#Headers],[Vertex]:[Vertex Content Word Count]],0),FALSE)</f>
        <v>53</v>
      </c>
    </row>
    <row r="3" spans="1:3" ht="15">
      <c r="A3" s="82" t="s">
        <v>705</v>
      </c>
      <c r="B3" s="90" t="s">
        <v>289</v>
      </c>
      <c r="C3" s="81">
        <f>VLOOKUP(GroupVertices[[#This Row],[Vertex]],Vertices[],MATCH("ID",Vertices[[#Headers],[Vertex]:[Vertex Content Word Count]],0),FALSE)</f>
        <v>7</v>
      </c>
    </row>
    <row r="4" spans="1:3" ht="15">
      <c r="A4" s="82" t="s">
        <v>705</v>
      </c>
      <c r="B4" s="90" t="s">
        <v>291</v>
      </c>
      <c r="C4" s="81">
        <f>VLOOKUP(GroupVertices[[#This Row],[Vertex]],Vertices[],MATCH("ID",Vertices[[#Headers],[Vertex]:[Vertex Content Word Count]],0),FALSE)</f>
        <v>6</v>
      </c>
    </row>
    <row r="5" spans="1:3" ht="15">
      <c r="A5" s="82" t="s">
        <v>705</v>
      </c>
      <c r="B5" s="90" t="s">
        <v>290</v>
      </c>
      <c r="C5" s="81">
        <f>VLOOKUP(GroupVertices[[#This Row],[Vertex]],Vertices[],MATCH("ID",Vertices[[#Headers],[Vertex]:[Vertex Content Word Count]],0),FALSE)</f>
        <v>5</v>
      </c>
    </row>
    <row r="6" spans="1:3" ht="15">
      <c r="A6" s="82" t="s">
        <v>705</v>
      </c>
      <c r="B6" s="90" t="s">
        <v>286</v>
      </c>
      <c r="C6" s="81">
        <f>VLOOKUP(GroupVertices[[#This Row],[Vertex]],Vertices[],MATCH("ID",Vertices[[#Headers],[Vertex]:[Vertex Content Word Count]],0),FALSE)</f>
        <v>50</v>
      </c>
    </row>
    <row r="7" spans="1:3" ht="15">
      <c r="A7" s="82" t="s">
        <v>705</v>
      </c>
      <c r="B7" s="90" t="s">
        <v>300</v>
      </c>
      <c r="C7" s="81">
        <f>VLOOKUP(GroupVertices[[#This Row],[Vertex]],Vertices[],MATCH("ID",Vertices[[#Headers],[Vertex]:[Vertex Content Word Count]],0),FALSE)</f>
        <v>51</v>
      </c>
    </row>
    <row r="8" spans="1:3" ht="15">
      <c r="A8" s="82" t="s">
        <v>705</v>
      </c>
      <c r="B8" s="90" t="s">
        <v>285</v>
      </c>
      <c r="C8" s="81">
        <f>VLOOKUP(GroupVertices[[#This Row],[Vertex]],Vertices[],MATCH("ID",Vertices[[#Headers],[Vertex]:[Vertex Content Word Count]],0),FALSE)</f>
        <v>48</v>
      </c>
    </row>
    <row r="9" spans="1:3" ht="15">
      <c r="A9" s="82" t="s">
        <v>705</v>
      </c>
      <c r="B9" s="90" t="s">
        <v>299</v>
      </c>
      <c r="C9" s="81">
        <f>VLOOKUP(GroupVertices[[#This Row],[Vertex]],Vertices[],MATCH("ID",Vertices[[#Headers],[Vertex]:[Vertex Content Word Count]],0),FALSE)</f>
        <v>49</v>
      </c>
    </row>
    <row r="10" spans="1:3" ht="15">
      <c r="A10" s="82" t="s">
        <v>705</v>
      </c>
      <c r="B10" s="90" t="s">
        <v>284</v>
      </c>
      <c r="C10" s="81">
        <f>VLOOKUP(GroupVertices[[#This Row],[Vertex]],Vertices[],MATCH("ID",Vertices[[#Headers],[Vertex]:[Vertex Content Word Count]],0),FALSE)</f>
        <v>47</v>
      </c>
    </row>
    <row r="11" spans="1:3" ht="15">
      <c r="A11" s="82" t="s">
        <v>705</v>
      </c>
      <c r="B11" s="90" t="s">
        <v>283</v>
      </c>
      <c r="C11" s="81">
        <f>VLOOKUP(GroupVertices[[#This Row],[Vertex]],Vertices[],MATCH("ID",Vertices[[#Headers],[Vertex]:[Vertex Content Word Count]],0),FALSE)</f>
        <v>46</v>
      </c>
    </row>
    <row r="12" spans="1:3" ht="15">
      <c r="A12" s="82" t="s">
        <v>705</v>
      </c>
      <c r="B12" s="90" t="s">
        <v>282</v>
      </c>
      <c r="C12" s="81">
        <f>VLOOKUP(GroupVertices[[#This Row],[Vertex]],Vertices[],MATCH("ID",Vertices[[#Headers],[Vertex]:[Vertex Content Word Count]],0),FALSE)</f>
        <v>45</v>
      </c>
    </row>
    <row r="13" spans="1:3" ht="15">
      <c r="A13" s="82" t="s">
        <v>705</v>
      </c>
      <c r="B13" s="90" t="s">
        <v>281</v>
      </c>
      <c r="C13" s="81">
        <f>VLOOKUP(GroupVertices[[#This Row],[Vertex]],Vertices[],MATCH("ID",Vertices[[#Headers],[Vertex]:[Vertex Content Word Count]],0),FALSE)</f>
        <v>43</v>
      </c>
    </row>
    <row r="14" spans="1:3" ht="15">
      <c r="A14" s="82" t="s">
        <v>705</v>
      </c>
      <c r="B14" s="90" t="s">
        <v>298</v>
      </c>
      <c r="C14" s="81">
        <f>VLOOKUP(GroupVertices[[#This Row],[Vertex]],Vertices[],MATCH("ID",Vertices[[#Headers],[Vertex]:[Vertex Content Word Count]],0),FALSE)</f>
        <v>44</v>
      </c>
    </row>
    <row r="15" spans="1:3" ht="15">
      <c r="A15" s="82" t="s">
        <v>705</v>
      </c>
      <c r="B15" s="90" t="s">
        <v>280</v>
      </c>
      <c r="C15" s="81">
        <f>VLOOKUP(GroupVertices[[#This Row],[Vertex]],Vertices[],MATCH("ID",Vertices[[#Headers],[Vertex]:[Vertex Content Word Count]],0),FALSE)</f>
        <v>42</v>
      </c>
    </row>
    <row r="16" spans="1:3" ht="15">
      <c r="A16" s="82" t="s">
        <v>705</v>
      </c>
      <c r="B16" s="90" t="s">
        <v>279</v>
      </c>
      <c r="C16" s="81">
        <f>VLOOKUP(GroupVertices[[#This Row],[Vertex]],Vertices[],MATCH("ID",Vertices[[#Headers],[Vertex]:[Vertex Content Word Count]],0),FALSE)</f>
        <v>40</v>
      </c>
    </row>
    <row r="17" spans="1:3" ht="15">
      <c r="A17" s="82" t="s">
        <v>705</v>
      </c>
      <c r="B17" s="90" t="s">
        <v>297</v>
      </c>
      <c r="C17" s="81">
        <f>VLOOKUP(GroupVertices[[#This Row],[Vertex]],Vertices[],MATCH("ID",Vertices[[#Headers],[Vertex]:[Vertex Content Word Count]],0),FALSE)</f>
        <v>41</v>
      </c>
    </row>
    <row r="18" spans="1:3" ht="15">
      <c r="A18" s="82" t="s">
        <v>705</v>
      </c>
      <c r="B18" s="90" t="s">
        <v>276</v>
      </c>
      <c r="C18" s="81">
        <f>VLOOKUP(GroupVertices[[#This Row],[Vertex]],Vertices[],MATCH("ID",Vertices[[#Headers],[Vertex]:[Vertex Content Word Count]],0),FALSE)</f>
        <v>38</v>
      </c>
    </row>
    <row r="19" spans="1:3" ht="15">
      <c r="A19" s="82" t="s">
        <v>705</v>
      </c>
      <c r="B19" s="90" t="s">
        <v>273</v>
      </c>
      <c r="C19" s="81">
        <f>VLOOKUP(GroupVertices[[#This Row],[Vertex]],Vertices[],MATCH("ID",Vertices[[#Headers],[Vertex]:[Vertex Content Word Count]],0),FALSE)</f>
        <v>36</v>
      </c>
    </row>
    <row r="20" spans="1:3" ht="15">
      <c r="A20" s="82" t="s">
        <v>705</v>
      </c>
      <c r="B20" s="90" t="s">
        <v>296</v>
      </c>
      <c r="C20" s="81">
        <f>VLOOKUP(GroupVertices[[#This Row],[Vertex]],Vertices[],MATCH("ID",Vertices[[#Headers],[Vertex]:[Vertex Content Word Count]],0),FALSE)</f>
        <v>37</v>
      </c>
    </row>
    <row r="21" spans="1:3" ht="15">
      <c r="A21" s="82" t="s">
        <v>705</v>
      </c>
      <c r="B21" s="90" t="s">
        <v>271</v>
      </c>
      <c r="C21" s="81">
        <f>VLOOKUP(GroupVertices[[#This Row],[Vertex]],Vertices[],MATCH("ID",Vertices[[#Headers],[Vertex]:[Vertex Content Word Count]],0),FALSE)</f>
        <v>35</v>
      </c>
    </row>
    <row r="22" spans="1:3" ht="15">
      <c r="A22" s="82" t="s">
        <v>705</v>
      </c>
      <c r="B22" s="90" t="s">
        <v>270</v>
      </c>
      <c r="C22" s="81">
        <f>VLOOKUP(GroupVertices[[#This Row],[Vertex]],Vertices[],MATCH("ID",Vertices[[#Headers],[Vertex]:[Vertex Content Word Count]],0),FALSE)</f>
        <v>34</v>
      </c>
    </row>
    <row r="23" spans="1:3" ht="15">
      <c r="A23" s="82" t="s">
        <v>705</v>
      </c>
      <c r="B23" s="90" t="s">
        <v>268</v>
      </c>
      <c r="C23" s="81">
        <f>VLOOKUP(GroupVertices[[#This Row],[Vertex]],Vertices[],MATCH("ID",Vertices[[#Headers],[Vertex]:[Vertex Content Word Count]],0),FALSE)</f>
        <v>33</v>
      </c>
    </row>
    <row r="24" spans="1:3" ht="15">
      <c r="A24" s="82" t="s">
        <v>705</v>
      </c>
      <c r="B24" s="90" t="s">
        <v>267</v>
      </c>
      <c r="C24" s="81">
        <f>VLOOKUP(GroupVertices[[#This Row],[Vertex]],Vertices[],MATCH("ID",Vertices[[#Headers],[Vertex]:[Vertex Content Word Count]],0),FALSE)</f>
        <v>31</v>
      </c>
    </row>
    <row r="25" spans="1:3" ht="15">
      <c r="A25" s="82" t="s">
        <v>705</v>
      </c>
      <c r="B25" s="90" t="s">
        <v>295</v>
      </c>
      <c r="C25" s="81">
        <f>VLOOKUP(GroupVertices[[#This Row],[Vertex]],Vertices[],MATCH("ID",Vertices[[#Headers],[Vertex]:[Vertex Content Word Count]],0),FALSE)</f>
        <v>32</v>
      </c>
    </row>
    <row r="26" spans="1:3" ht="15">
      <c r="A26" s="82" t="s">
        <v>705</v>
      </c>
      <c r="B26" s="90" t="s">
        <v>266</v>
      </c>
      <c r="C26" s="81">
        <f>VLOOKUP(GroupVertices[[#This Row],[Vertex]],Vertices[],MATCH("ID",Vertices[[#Headers],[Vertex]:[Vertex Content Word Count]],0),FALSE)</f>
        <v>29</v>
      </c>
    </row>
    <row r="27" spans="1:3" ht="15">
      <c r="A27" s="82" t="s">
        <v>705</v>
      </c>
      <c r="B27" s="90" t="s">
        <v>294</v>
      </c>
      <c r="C27" s="81">
        <f>VLOOKUP(GroupVertices[[#This Row],[Vertex]],Vertices[],MATCH("ID",Vertices[[#Headers],[Vertex]:[Vertex Content Word Count]],0),FALSE)</f>
        <v>30</v>
      </c>
    </row>
    <row r="28" spans="1:3" ht="15">
      <c r="A28" s="82" t="s">
        <v>705</v>
      </c>
      <c r="B28" s="90" t="s">
        <v>265</v>
      </c>
      <c r="C28" s="81">
        <f>VLOOKUP(GroupVertices[[#This Row],[Vertex]],Vertices[],MATCH("ID",Vertices[[#Headers],[Vertex]:[Vertex Content Word Count]],0),FALSE)</f>
        <v>28</v>
      </c>
    </row>
    <row r="29" spans="1:3" ht="15">
      <c r="A29" s="82" t="s">
        <v>705</v>
      </c>
      <c r="B29" s="90" t="s">
        <v>278</v>
      </c>
      <c r="C29" s="81">
        <f>VLOOKUP(GroupVertices[[#This Row],[Vertex]],Vertices[],MATCH("ID",Vertices[[#Headers],[Vertex]:[Vertex Content Word Count]],0),FALSE)</f>
        <v>22</v>
      </c>
    </row>
    <row r="30" spans="1:3" ht="15">
      <c r="A30" s="82" t="s">
        <v>705</v>
      </c>
      <c r="B30" s="90" t="s">
        <v>261</v>
      </c>
      <c r="C30" s="81">
        <f>VLOOKUP(GroupVertices[[#This Row],[Vertex]],Vertices[],MATCH("ID",Vertices[[#Headers],[Vertex]:[Vertex Content Word Count]],0),FALSE)</f>
        <v>21</v>
      </c>
    </row>
    <row r="31" spans="1:3" ht="15">
      <c r="A31" s="82" t="s">
        <v>705</v>
      </c>
      <c r="B31" s="90" t="s">
        <v>260</v>
      </c>
      <c r="C31" s="81">
        <f>VLOOKUP(GroupVertices[[#This Row],[Vertex]],Vertices[],MATCH("ID",Vertices[[#Headers],[Vertex]:[Vertex Content Word Count]],0),FALSE)</f>
        <v>20</v>
      </c>
    </row>
    <row r="32" spans="1:3" ht="15">
      <c r="A32" s="82" t="s">
        <v>705</v>
      </c>
      <c r="B32" s="90" t="s">
        <v>259</v>
      </c>
      <c r="C32" s="81">
        <f>VLOOKUP(GroupVertices[[#This Row],[Vertex]],Vertices[],MATCH("ID",Vertices[[#Headers],[Vertex]:[Vertex Content Word Count]],0),FALSE)</f>
        <v>19</v>
      </c>
    </row>
    <row r="33" spans="1:3" ht="15">
      <c r="A33" s="82" t="s">
        <v>705</v>
      </c>
      <c r="B33" s="90" t="s">
        <v>257</v>
      </c>
      <c r="C33" s="81">
        <f>VLOOKUP(GroupVertices[[#This Row],[Vertex]],Vertices[],MATCH("ID",Vertices[[#Headers],[Vertex]:[Vertex Content Word Count]],0),FALSE)</f>
        <v>16</v>
      </c>
    </row>
    <row r="34" spans="1:3" ht="15">
      <c r="A34" s="82" t="s">
        <v>705</v>
      </c>
      <c r="B34" s="90" t="s">
        <v>255</v>
      </c>
      <c r="C34" s="81">
        <f>VLOOKUP(GroupVertices[[#This Row],[Vertex]],Vertices[],MATCH("ID",Vertices[[#Headers],[Vertex]:[Vertex Content Word Count]],0),FALSE)</f>
        <v>14</v>
      </c>
    </row>
    <row r="35" spans="1:3" ht="15">
      <c r="A35" s="82" t="s">
        <v>705</v>
      </c>
      <c r="B35" s="90" t="s">
        <v>254</v>
      </c>
      <c r="C35" s="81">
        <f>VLOOKUP(GroupVertices[[#This Row],[Vertex]],Vertices[],MATCH("ID",Vertices[[#Headers],[Vertex]:[Vertex Content Word Count]],0),FALSE)</f>
        <v>13</v>
      </c>
    </row>
    <row r="36" spans="1:3" ht="15">
      <c r="A36" s="82" t="s">
        <v>705</v>
      </c>
      <c r="B36" s="90" t="s">
        <v>253</v>
      </c>
      <c r="C36" s="81">
        <f>VLOOKUP(GroupVertices[[#This Row],[Vertex]],Vertices[],MATCH("ID",Vertices[[#Headers],[Vertex]:[Vertex Content Word Count]],0),FALSE)</f>
        <v>12</v>
      </c>
    </row>
    <row r="37" spans="1:3" ht="15">
      <c r="A37" s="82" t="s">
        <v>706</v>
      </c>
      <c r="B37" s="90" t="s">
        <v>292</v>
      </c>
      <c r="C37" s="81">
        <f>VLOOKUP(GroupVertices[[#This Row],[Vertex]],Vertices[],MATCH("ID",Vertices[[#Headers],[Vertex]:[Vertex Content Word Count]],0),FALSE)</f>
        <v>9</v>
      </c>
    </row>
    <row r="38" spans="1:3" ht="15">
      <c r="A38" s="82" t="s">
        <v>706</v>
      </c>
      <c r="B38" s="90" t="s">
        <v>287</v>
      </c>
      <c r="C38" s="81">
        <f>VLOOKUP(GroupVertices[[#This Row],[Vertex]],Vertices[],MATCH("ID",Vertices[[#Headers],[Vertex]:[Vertex Content Word Count]],0),FALSE)</f>
        <v>52</v>
      </c>
    </row>
    <row r="39" spans="1:3" ht="15">
      <c r="A39" s="82" t="s">
        <v>706</v>
      </c>
      <c r="B39" s="90" t="s">
        <v>277</v>
      </c>
      <c r="C39" s="81">
        <f>VLOOKUP(GroupVertices[[#This Row],[Vertex]],Vertices[],MATCH("ID",Vertices[[#Headers],[Vertex]:[Vertex Content Word Count]],0),FALSE)</f>
        <v>39</v>
      </c>
    </row>
    <row r="40" spans="1:3" ht="15">
      <c r="A40" s="82" t="s">
        <v>706</v>
      </c>
      <c r="B40" s="90" t="s">
        <v>272</v>
      </c>
      <c r="C40" s="81">
        <f>VLOOKUP(GroupVertices[[#This Row],[Vertex]],Vertices[],MATCH("ID",Vertices[[#Headers],[Vertex]:[Vertex Content Word Count]],0),FALSE)</f>
        <v>25</v>
      </c>
    </row>
    <row r="41" spans="1:3" ht="15">
      <c r="A41" s="82" t="s">
        <v>706</v>
      </c>
      <c r="B41" s="90" t="s">
        <v>263</v>
      </c>
      <c r="C41" s="81">
        <f>VLOOKUP(GroupVertices[[#This Row],[Vertex]],Vertices[],MATCH("ID",Vertices[[#Headers],[Vertex]:[Vertex Content Word Count]],0),FALSE)</f>
        <v>24</v>
      </c>
    </row>
    <row r="42" spans="1:3" ht="15">
      <c r="A42" s="82" t="s">
        <v>706</v>
      </c>
      <c r="B42" s="90" t="s">
        <v>262</v>
      </c>
      <c r="C42" s="81">
        <f>VLOOKUP(GroupVertices[[#This Row],[Vertex]],Vertices[],MATCH("ID",Vertices[[#Headers],[Vertex]:[Vertex Content Word Count]],0),FALSE)</f>
        <v>23</v>
      </c>
    </row>
    <row r="43" spans="1:3" ht="15">
      <c r="A43" s="82" t="s">
        <v>706</v>
      </c>
      <c r="B43" s="90" t="s">
        <v>269</v>
      </c>
      <c r="C43" s="81">
        <f>VLOOKUP(GroupVertices[[#This Row],[Vertex]],Vertices[],MATCH("ID",Vertices[[#Headers],[Vertex]:[Vertex Content Word Count]],0),FALSE)</f>
        <v>18</v>
      </c>
    </row>
    <row r="44" spans="1:3" ht="15">
      <c r="A44" s="82" t="s">
        <v>706</v>
      </c>
      <c r="B44" s="90" t="s">
        <v>258</v>
      </c>
      <c r="C44" s="81">
        <f>VLOOKUP(GroupVertices[[#This Row],[Vertex]],Vertices[],MATCH("ID",Vertices[[#Headers],[Vertex]:[Vertex Content Word Count]],0),FALSE)</f>
        <v>17</v>
      </c>
    </row>
    <row r="45" spans="1:3" ht="15">
      <c r="A45" s="82" t="s">
        <v>706</v>
      </c>
      <c r="B45" s="90" t="s">
        <v>256</v>
      </c>
      <c r="C45" s="81">
        <f>VLOOKUP(GroupVertices[[#This Row],[Vertex]],Vertices[],MATCH("ID",Vertices[[#Headers],[Vertex]:[Vertex Content Word Count]],0),FALSE)</f>
        <v>15</v>
      </c>
    </row>
    <row r="46" spans="1:3" ht="15">
      <c r="A46" s="82" t="s">
        <v>706</v>
      </c>
      <c r="B46" s="90" t="s">
        <v>275</v>
      </c>
      <c r="C46" s="81">
        <f>VLOOKUP(GroupVertices[[#This Row],[Vertex]],Vertices[],MATCH("ID",Vertices[[#Headers],[Vertex]:[Vertex Content Word Count]],0),FALSE)</f>
        <v>11</v>
      </c>
    </row>
    <row r="47" spans="1:3" ht="15">
      <c r="A47" s="82" t="s">
        <v>706</v>
      </c>
      <c r="B47" s="90" t="s">
        <v>274</v>
      </c>
      <c r="C47" s="81">
        <f>VLOOKUP(GroupVertices[[#This Row],[Vertex]],Vertices[],MATCH("ID",Vertices[[#Headers],[Vertex]:[Vertex Content Word Count]],0),FALSE)</f>
        <v>10</v>
      </c>
    </row>
    <row r="48" spans="1:3" ht="15">
      <c r="A48" s="82" t="s">
        <v>706</v>
      </c>
      <c r="B48" s="90" t="s">
        <v>252</v>
      </c>
      <c r="C48" s="81">
        <f>VLOOKUP(GroupVertices[[#This Row],[Vertex]],Vertices[],MATCH("ID",Vertices[[#Headers],[Vertex]:[Vertex Content Word Count]],0),FALSE)</f>
        <v>8</v>
      </c>
    </row>
    <row r="49" spans="1:3" ht="15">
      <c r="A49" s="82" t="s">
        <v>707</v>
      </c>
      <c r="B49" s="90" t="s">
        <v>264</v>
      </c>
      <c r="C49" s="81">
        <f>VLOOKUP(GroupVertices[[#This Row],[Vertex]],Vertices[],MATCH("ID",Vertices[[#Headers],[Vertex]:[Vertex Content Word Count]],0),FALSE)</f>
        <v>26</v>
      </c>
    </row>
    <row r="50" spans="1:3" ht="15">
      <c r="A50" s="82" t="s">
        <v>707</v>
      </c>
      <c r="B50" s="90" t="s">
        <v>293</v>
      </c>
      <c r="C50" s="81">
        <f>VLOOKUP(GroupVertices[[#This Row],[Vertex]],Vertices[],MATCH("ID",Vertices[[#Headers],[Vertex]:[Vertex Content Word Count]],0),FALSE)</f>
        <v>27</v>
      </c>
    </row>
    <row r="51" spans="1:3" ht="15">
      <c r="A51" s="82" t="s">
        <v>708</v>
      </c>
      <c r="B51" s="90" t="s">
        <v>251</v>
      </c>
      <c r="C51" s="81">
        <f>VLOOKUP(GroupVertices[[#This Row],[Vertex]],Vertices[],MATCH("ID",Vertices[[#Headers],[Vertex]:[Vertex Content Word Count]],0),FALSE)</f>
        <v>3</v>
      </c>
    </row>
    <row r="52" spans="1:3" ht="15">
      <c r="A52" s="82" t="s">
        <v>708</v>
      </c>
      <c r="B52" s="90" t="s">
        <v>301</v>
      </c>
      <c r="C52" s="81">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A52"/>
    <dataValidation allowBlank="1" showInputMessage="1" showErrorMessage="1" promptTitle="Vertex Name" prompt="Enter the name of a vertex to include in the group." sqref="B2:B52"/>
    <dataValidation allowBlank="1" showInputMessage="1" promptTitle="Vertex ID" prompt="This is the value of the hidden ID cell in the Vertices worksheet.  It gets filled in by the items on the NodeXL, Analysis, Groups menu." sqref="C2:C5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980</v>
      </c>
      <c r="B2" s="35" t="s">
        <v>192</v>
      </c>
      <c r="D2" s="32">
        <f>MIN(Vertices[Degree])</f>
        <v>0</v>
      </c>
      <c r="E2" s="3">
        <f>COUNTIF(Vertices[Degree],"&gt;= "&amp;D2)-COUNTIF(Vertices[Degree],"&gt;="&amp;D3)</f>
        <v>0</v>
      </c>
      <c r="F2" s="38">
        <f>MIN(Vertices[In-Degree])</f>
        <v>0</v>
      </c>
      <c r="G2" s="39">
        <f>COUNTIF(Vertices[In-Degree],"&gt;= "&amp;F2)-COUNTIF(Vertices[In-Degree],"&gt;="&amp;F3)</f>
        <v>46</v>
      </c>
      <c r="H2" s="38">
        <f>MIN(Vertices[Out-Degree])</f>
        <v>0</v>
      </c>
      <c r="I2" s="39">
        <f>COUNTIF(Vertices[Out-Degree],"&gt;= "&amp;H2)-COUNTIF(Vertices[Out-Degree],"&gt;="&amp;H3)</f>
        <v>12</v>
      </c>
      <c r="J2" s="38">
        <f>MIN(Vertices[Betweenness Centrality])</f>
        <v>0</v>
      </c>
      <c r="K2" s="39">
        <f>COUNTIF(Vertices[Betweenness Centrality],"&gt;= "&amp;J2)-COUNTIF(Vertices[Betweenness Centrality],"&gt;="&amp;J3)</f>
        <v>38</v>
      </c>
      <c r="L2" s="38">
        <f>MIN(Vertices[Closeness Centrality])</f>
        <v>0.006494</v>
      </c>
      <c r="M2" s="39">
        <f>COUNTIF(Vertices[Closeness Centrality],"&gt;= "&amp;L2)-COUNTIF(Vertices[Closeness Centrality],"&gt;="&amp;L3)</f>
        <v>9</v>
      </c>
      <c r="N2" s="38">
        <f>MIN(Vertices[Eigenvector Centrality])</f>
        <v>0.001602</v>
      </c>
      <c r="O2" s="39">
        <f>COUNTIF(Vertices[Eigenvector Centrality],"&gt;= "&amp;N2)-COUNTIF(Vertices[Eigenvector Centrality],"&gt;="&amp;N3)</f>
        <v>9</v>
      </c>
      <c r="P2" s="38">
        <f>MIN(Vertices[PageRank])</f>
        <v>0.327834</v>
      </c>
      <c r="Q2" s="39">
        <f>COUNTIF(Vertices[PageRank],"&gt;= "&amp;P2)-COUNTIF(Vertices[PageRank],"&gt;="&amp;P3)</f>
        <v>9</v>
      </c>
      <c r="R2" s="38">
        <f>MIN(Vertices[Clustering Coefficient])</f>
        <v>0</v>
      </c>
      <c r="S2" s="44">
        <f>COUNTIF(Vertices[Clustering Coefficient],"&gt;= "&amp;R2)-COUNTIF(Vertices[Clustering Coefficient],"&gt;="&amp;R3)</f>
        <v>41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8"/>
      <c r="B3" s="118"/>
      <c r="D3" s="33">
        <f aca="true" t="shared" si="1" ref="D3:D35">D2+($D$36-$D$2)/BinDivisor</f>
        <v>0</v>
      </c>
      <c r="E3" s="3">
        <f>COUNTIF(Vertices[Degree],"&gt;= "&amp;D3)-COUNTIF(Vertices[Degree],"&gt;="&amp;D4)</f>
        <v>0</v>
      </c>
      <c r="F3" s="40">
        <f aca="true" t="shared" si="2" ref="F3:F35">F2+($F$36-$F$2)/BinDivisor</f>
        <v>1.1470588235294117</v>
      </c>
      <c r="G3" s="41">
        <f>COUNTIF(Vertices[In-Degree],"&gt;= "&amp;F3)-COUNTIF(Vertices[In-Degree],"&gt;="&amp;F4)</f>
        <v>1</v>
      </c>
      <c r="H3" s="40">
        <f aca="true" t="shared" si="3" ref="H3:H35">H2+($H$36-$H$2)/BinDivisor</f>
        <v>0.17647058823529413</v>
      </c>
      <c r="I3" s="41">
        <f>COUNTIF(Vertices[Out-Degree],"&gt;= "&amp;H3)-COUNTIF(Vertices[Out-Degree],"&gt;="&amp;H4)</f>
        <v>0</v>
      </c>
      <c r="J3" s="40">
        <f aca="true" t="shared" si="4" ref="J3:J35">J2+($J$36-$J$2)/BinDivisor</f>
        <v>21.03921567647059</v>
      </c>
      <c r="K3" s="41">
        <f>COUNTIF(Vertices[Betweenness Centrality],"&gt;= "&amp;J3)-COUNTIF(Vertices[Betweenness Centrality],"&gt;="&amp;J4)</f>
        <v>0</v>
      </c>
      <c r="L3" s="40">
        <f aca="true" t="shared" si="5" ref="L3:L35">L2+($L$36-$L$2)/BinDivisor</f>
        <v>0.0067773823529411765</v>
      </c>
      <c r="M3" s="41">
        <f>COUNTIF(Vertices[Closeness Centrality],"&gt;= "&amp;L3)-COUNTIF(Vertices[Closeness Centrality],"&gt;="&amp;L4)</f>
        <v>0</v>
      </c>
      <c r="N3" s="40">
        <f aca="true" t="shared" si="6" ref="N3:N35">N2+($N$36-$N$2)/BinDivisor</f>
        <v>0.0036873823529411766</v>
      </c>
      <c r="O3" s="41">
        <f>COUNTIF(Vertices[Eigenvector Centrality],"&gt;= "&amp;N3)-COUNTIF(Vertices[Eigenvector Centrality],"&gt;="&amp;N4)</f>
        <v>0</v>
      </c>
      <c r="P3" s="40">
        <f aca="true" t="shared" si="7" ref="P3:P35">P2+($P$36-$P$2)/BinDivisor</f>
        <v>0.5013332352941177</v>
      </c>
      <c r="Q3" s="41">
        <f>COUNTIF(Vertices[PageRank],"&gt;= "&amp;P3)-COUNTIF(Vertices[PageRank],"&gt;="&amp;P4)</f>
        <v>12</v>
      </c>
      <c r="R3" s="40">
        <f aca="true" t="shared" si="8" ref="R3:R35">R2+($R$36-$R$2)/BinDivisor</f>
        <v>0.008823529411764706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51</v>
      </c>
      <c r="D4" s="33">
        <f t="shared" si="1"/>
        <v>0</v>
      </c>
      <c r="E4" s="3">
        <f>COUNTIF(Vertices[Degree],"&gt;= "&amp;D4)-COUNTIF(Vertices[Degree],"&gt;="&amp;D5)</f>
        <v>0</v>
      </c>
      <c r="F4" s="38">
        <f t="shared" si="2"/>
        <v>2.2941176470588234</v>
      </c>
      <c r="G4" s="39">
        <f>COUNTIF(Vertices[In-Degree],"&gt;= "&amp;F4)-COUNTIF(Vertices[In-Degree],"&gt;="&amp;F5)</f>
        <v>0</v>
      </c>
      <c r="H4" s="38">
        <f t="shared" si="3"/>
        <v>0.35294117647058826</v>
      </c>
      <c r="I4" s="39">
        <f>COUNTIF(Vertices[Out-Degree],"&gt;= "&amp;H4)-COUNTIF(Vertices[Out-Degree],"&gt;="&amp;H5)</f>
        <v>0</v>
      </c>
      <c r="J4" s="38">
        <f t="shared" si="4"/>
        <v>42.07843135294118</v>
      </c>
      <c r="K4" s="39">
        <f>COUNTIF(Vertices[Betweenness Centrality],"&gt;= "&amp;J4)-COUNTIF(Vertices[Betweenness Centrality],"&gt;="&amp;J5)</f>
        <v>1</v>
      </c>
      <c r="L4" s="38">
        <f t="shared" si="5"/>
        <v>0.007060764705882353</v>
      </c>
      <c r="M4" s="39">
        <f>COUNTIF(Vertices[Closeness Centrality],"&gt;= "&amp;L4)-COUNTIF(Vertices[Closeness Centrality],"&gt;="&amp;L5)</f>
        <v>0</v>
      </c>
      <c r="N4" s="38">
        <f t="shared" si="6"/>
        <v>0.005772764705882353</v>
      </c>
      <c r="O4" s="39">
        <f>COUNTIF(Vertices[Eigenvector Centrality],"&gt;= "&amp;N4)-COUNTIF(Vertices[Eigenvector Centrality],"&gt;="&amp;N5)</f>
        <v>0</v>
      </c>
      <c r="P4" s="38">
        <f t="shared" si="7"/>
        <v>0.6748324705882354</v>
      </c>
      <c r="Q4" s="39">
        <f>COUNTIF(Vertices[PageRank],"&gt;= "&amp;P4)-COUNTIF(Vertices[PageRank],"&gt;="&amp;P5)</f>
        <v>23</v>
      </c>
      <c r="R4" s="38">
        <f t="shared" si="8"/>
        <v>0.01764705882352941</v>
      </c>
      <c r="S4" s="44">
        <f>COUNTIF(Vertices[Clustering Coefficient],"&gt;= "&amp;R4)-COUNTIF(Vertices[Clustering Coefficient],"&gt;="&amp;R5)</f>
        <v>1</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3.441176470588235</v>
      </c>
      <c r="G5" s="41">
        <f>COUNTIF(Vertices[In-Degree],"&gt;= "&amp;F5)-COUNTIF(Vertices[In-Degree],"&gt;="&amp;F6)</f>
        <v>0</v>
      </c>
      <c r="H5" s="40">
        <f t="shared" si="3"/>
        <v>0.5294117647058824</v>
      </c>
      <c r="I5" s="41">
        <f>COUNTIF(Vertices[Out-Degree],"&gt;= "&amp;H5)-COUNTIF(Vertices[Out-Degree],"&gt;="&amp;H6)</f>
        <v>0</v>
      </c>
      <c r="J5" s="40">
        <f t="shared" si="4"/>
        <v>63.11764702941177</v>
      </c>
      <c r="K5" s="41">
        <f>COUNTIF(Vertices[Betweenness Centrality],"&gt;= "&amp;J5)-COUNTIF(Vertices[Betweenness Centrality],"&gt;="&amp;J6)</f>
        <v>0</v>
      </c>
      <c r="L5" s="40">
        <f t="shared" si="5"/>
        <v>0.00734414705882353</v>
      </c>
      <c r="M5" s="41">
        <f>COUNTIF(Vertices[Closeness Centrality],"&gt;= "&amp;L5)-COUNTIF(Vertices[Closeness Centrality],"&gt;="&amp;L6)</f>
        <v>0</v>
      </c>
      <c r="N5" s="40">
        <f t="shared" si="6"/>
        <v>0.007858147058823529</v>
      </c>
      <c r="O5" s="41">
        <f>COUNTIF(Vertices[Eigenvector Centrality],"&gt;= "&amp;N5)-COUNTIF(Vertices[Eigenvector Centrality],"&gt;="&amp;N6)</f>
        <v>0</v>
      </c>
      <c r="P5" s="40">
        <f t="shared" si="7"/>
        <v>0.848331705882353</v>
      </c>
      <c r="Q5" s="41">
        <f>COUNTIF(Vertices[PageRank],"&gt;= "&amp;P5)-COUNTIF(Vertices[PageRank],"&gt;="&amp;P6)</f>
        <v>3</v>
      </c>
      <c r="R5" s="40">
        <f t="shared" si="8"/>
        <v>0.026470588235294117</v>
      </c>
      <c r="S5" s="45">
        <f>COUNTIF(Vertices[Clustering Coefficient],"&gt;= "&amp;R5)-COUNTIF(Vertices[Clustering Coefficient],"&gt;="&amp;R6)</f>
        <v>0</v>
      </c>
      <c r="T5" s="40" t="e">
        <f ca="1" t="shared" si="9"/>
        <v>#REF!</v>
      </c>
      <c r="U5" s="41" t="e">
        <f ca="1" t="shared" si="0"/>
        <v>#REF!</v>
      </c>
    </row>
    <row r="6" spans="1:21" ht="15">
      <c r="A6" s="35" t="s">
        <v>148</v>
      </c>
      <c r="B6" s="35">
        <v>137</v>
      </c>
      <c r="D6" s="33">
        <f t="shared" si="1"/>
        <v>0</v>
      </c>
      <c r="E6" s="3">
        <f>COUNTIF(Vertices[Degree],"&gt;= "&amp;D6)-COUNTIF(Vertices[Degree],"&gt;="&amp;D7)</f>
        <v>0</v>
      </c>
      <c r="F6" s="38">
        <f t="shared" si="2"/>
        <v>4.588235294117647</v>
      </c>
      <c r="G6" s="39">
        <f>COUNTIF(Vertices[In-Degree],"&gt;= "&amp;F6)-COUNTIF(Vertices[In-Degree],"&gt;="&amp;F7)</f>
        <v>0</v>
      </c>
      <c r="H6" s="38">
        <f t="shared" si="3"/>
        <v>0.7058823529411765</v>
      </c>
      <c r="I6" s="39">
        <f>COUNTIF(Vertices[Out-Degree],"&gt;= "&amp;H6)-COUNTIF(Vertices[Out-Degree],"&gt;="&amp;H7)</f>
        <v>0</v>
      </c>
      <c r="J6" s="38">
        <f t="shared" si="4"/>
        <v>84.15686270588236</v>
      </c>
      <c r="K6" s="39">
        <f>COUNTIF(Vertices[Betweenness Centrality],"&gt;= "&amp;J6)-COUNTIF(Vertices[Betweenness Centrality],"&gt;="&amp;J7)</f>
        <v>9</v>
      </c>
      <c r="L6" s="38">
        <f t="shared" si="5"/>
        <v>0.007627529411764707</v>
      </c>
      <c r="M6" s="39">
        <f>COUNTIF(Vertices[Closeness Centrality],"&gt;= "&amp;L6)-COUNTIF(Vertices[Closeness Centrality],"&gt;="&amp;L7)</f>
        <v>0</v>
      </c>
      <c r="N6" s="38">
        <f t="shared" si="6"/>
        <v>0.009943529411764705</v>
      </c>
      <c r="O6" s="39">
        <f>COUNTIF(Vertices[Eigenvector Centrality],"&gt;= "&amp;N6)-COUNTIF(Vertices[Eigenvector Centrality],"&gt;="&amp;N7)</f>
        <v>0</v>
      </c>
      <c r="P6" s="38">
        <f t="shared" si="7"/>
        <v>1.0218309411764706</v>
      </c>
      <c r="Q6" s="39">
        <f>COUNTIF(Vertices[PageRank],"&gt;= "&amp;P6)-COUNTIF(Vertices[PageRank],"&gt;="&amp;P7)</f>
        <v>0</v>
      </c>
      <c r="R6" s="38">
        <f t="shared" si="8"/>
        <v>0.03529411764705882</v>
      </c>
      <c r="S6" s="44">
        <f>COUNTIF(Vertices[Clustering Coefficient],"&gt;= "&amp;R6)-COUNTIF(Vertices[Clustering Coefficient],"&gt;="&amp;R7)</f>
        <v>0</v>
      </c>
      <c r="T6" s="38" t="e">
        <f ca="1" t="shared" si="9"/>
        <v>#REF!</v>
      </c>
      <c r="U6" s="39" t="e">
        <f ca="1" t="shared" si="0"/>
        <v>#REF!</v>
      </c>
    </row>
    <row r="7" spans="1:21" ht="15">
      <c r="A7" s="35" t="s">
        <v>149</v>
      </c>
      <c r="B7" s="35">
        <v>16</v>
      </c>
      <c r="D7" s="33">
        <f t="shared" si="1"/>
        <v>0</v>
      </c>
      <c r="E7" s="3">
        <f>COUNTIF(Vertices[Degree],"&gt;= "&amp;D7)-COUNTIF(Vertices[Degree],"&gt;="&amp;D8)</f>
        <v>0</v>
      </c>
      <c r="F7" s="40">
        <f t="shared" si="2"/>
        <v>5.735294117647058</v>
      </c>
      <c r="G7" s="41">
        <f>COUNTIF(Vertices[In-Degree],"&gt;= "&amp;F7)-COUNTIF(Vertices[In-Degree],"&gt;="&amp;F8)</f>
        <v>0</v>
      </c>
      <c r="H7" s="40">
        <f t="shared" si="3"/>
        <v>0.8823529411764707</v>
      </c>
      <c r="I7" s="41">
        <f>COUNTIF(Vertices[Out-Degree],"&gt;= "&amp;H7)-COUNTIF(Vertices[Out-Degree],"&gt;="&amp;H8)</f>
        <v>1</v>
      </c>
      <c r="J7" s="40">
        <f t="shared" si="4"/>
        <v>105.19607838235295</v>
      </c>
      <c r="K7" s="41">
        <f>COUNTIF(Vertices[Betweenness Centrality],"&gt;= "&amp;J7)-COUNTIF(Vertices[Betweenness Centrality],"&gt;="&amp;J8)</f>
        <v>0</v>
      </c>
      <c r="L7" s="40">
        <f t="shared" si="5"/>
        <v>0.007910911764705883</v>
      </c>
      <c r="M7" s="41">
        <f>COUNTIF(Vertices[Closeness Centrality],"&gt;= "&amp;L7)-COUNTIF(Vertices[Closeness Centrality],"&gt;="&amp;L8)</f>
        <v>1</v>
      </c>
      <c r="N7" s="40">
        <f t="shared" si="6"/>
        <v>0.012028911764705882</v>
      </c>
      <c r="O7" s="41">
        <f>COUNTIF(Vertices[Eigenvector Centrality],"&gt;= "&amp;N7)-COUNTIF(Vertices[Eigenvector Centrality],"&gt;="&amp;N8)</f>
        <v>0</v>
      </c>
      <c r="P7" s="40">
        <f t="shared" si="7"/>
        <v>1.1953301764705881</v>
      </c>
      <c r="Q7" s="41">
        <f>COUNTIF(Vertices[PageRank],"&gt;= "&amp;P7)-COUNTIF(Vertices[PageRank],"&gt;="&amp;P8)</f>
        <v>0</v>
      </c>
      <c r="R7" s="40">
        <f t="shared" si="8"/>
        <v>0.044117647058823525</v>
      </c>
      <c r="S7" s="45">
        <f>COUNTIF(Vertices[Clustering Coefficient],"&gt;= "&amp;R7)-COUNTIF(Vertices[Clustering Coefficient],"&gt;="&amp;R8)</f>
        <v>0</v>
      </c>
      <c r="T7" s="40" t="e">
        <f ca="1" t="shared" si="9"/>
        <v>#REF!</v>
      </c>
      <c r="U7" s="41" t="e">
        <f ca="1" t="shared" si="0"/>
        <v>#REF!</v>
      </c>
    </row>
    <row r="8" spans="1:21" ht="15">
      <c r="A8" s="35" t="s">
        <v>150</v>
      </c>
      <c r="B8" s="35">
        <v>153</v>
      </c>
      <c r="D8" s="33">
        <f t="shared" si="1"/>
        <v>0</v>
      </c>
      <c r="E8" s="3">
        <f>COUNTIF(Vertices[Degree],"&gt;= "&amp;D8)-COUNTIF(Vertices[Degree],"&gt;="&amp;D9)</f>
        <v>0</v>
      </c>
      <c r="F8" s="38">
        <f t="shared" si="2"/>
        <v>6.882352941176469</v>
      </c>
      <c r="G8" s="39">
        <f>COUNTIF(Vertices[In-Degree],"&gt;= "&amp;F8)-COUNTIF(Vertices[In-Degree],"&gt;="&amp;F9)</f>
        <v>0</v>
      </c>
      <c r="H8" s="38">
        <f t="shared" si="3"/>
        <v>1.0588235294117647</v>
      </c>
      <c r="I8" s="39">
        <f>COUNTIF(Vertices[Out-Degree],"&gt;= "&amp;H8)-COUNTIF(Vertices[Out-Degree],"&gt;="&amp;H9)</f>
        <v>0</v>
      </c>
      <c r="J8" s="38">
        <f t="shared" si="4"/>
        <v>126.23529405882354</v>
      </c>
      <c r="K8" s="39">
        <f>COUNTIF(Vertices[Betweenness Centrality],"&gt;= "&amp;J8)-COUNTIF(Vertices[Betweenness Centrality],"&gt;="&amp;J9)</f>
        <v>0</v>
      </c>
      <c r="L8" s="38">
        <f t="shared" si="5"/>
        <v>0.00819429411764706</v>
      </c>
      <c r="M8" s="39">
        <f>COUNTIF(Vertices[Closeness Centrality],"&gt;= "&amp;L8)-COUNTIF(Vertices[Closeness Centrality],"&gt;="&amp;L9)</f>
        <v>0</v>
      </c>
      <c r="N8" s="38">
        <f t="shared" si="6"/>
        <v>0.014114294117647058</v>
      </c>
      <c r="O8" s="39">
        <f>COUNTIF(Vertices[Eigenvector Centrality],"&gt;= "&amp;N8)-COUNTIF(Vertices[Eigenvector Centrality],"&gt;="&amp;N9)</f>
        <v>0</v>
      </c>
      <c r="P8" s="38">
        <f t="shared" si="7"/>
        <v>1.3688294117647057</v>
      </c>
      <c r="Q8" s="39">
        <f>COUNTIF(Vertices[PageRank],"&gt;= "&amp;P8)-COUNTIF(Vertices[PageRank],"&gt;="&amp;P9)</f>
        <v>0</v>
      </c>
      <c r="R8" s="38">
        <f t="shared" si="8"/>
        <v>0.05294117647058823</v>
      </c>
      <c r="S8" s="44">
        <f>COUNTIF(Vertices[Clustering Coefficient],"&gt;= "&amp;R8)-COUNTIF(Vertices[Clustering Coefficient],"&gt;="&amp;R9)</f>
        <v>0</v>
      </c>
      <c r="T8" s="38" t="e">
        <f ca="1" t="shared" si="9"/>
        <v>#REF!</v>
      </c>
      <c r="U8" s="39" t="e">
        <f ca="1" t="shared" si="0"/>
        <v>#REF!</v>
      </c>
    </row>
    <row r="9" spans="1:21" ht="15">
      <c r="A9" s="118"/>
      <c r="B9" s="118"/>
      <c r="D9" s="33">
        <f t="shared" si="1"/>
        <v>0</v>
      </c>
      <c r="E9" s="3">
        <f>COUNTIF(Vertices[Degree],"&gt;= "&amp;D9)-COUNTIF(Vertices[Degree],"&gt;="&amp;D10)</f>
        <v>0</v>
      </c>
      <c r="F9" s="40">
        <f t="shared" si="2"/>
        <v>8.02941176470588</v>
      </c>
      <c r="G9" s="41">
        <f>COUNTIF(Vertices[In-Degree],"&gt;= "&amp;F9)-COUNTIF(Vertices[In-Degree],"&gt;="&amp;F10)</f>
        <v>0</v>
      </c>
      <c r="H9" s="40">
        <f t="shared" si="3"/>
        <v>1.2352941176470589</v>
      </c>
      <c r="I9" s="41">
        <f>COUNTIF(Vertices[Out-Degree],"&gt;= "&amp;H9)-COUNTIF(Vertices[Out-Degree],"&gt;="&amp;H10)</f>
        <v>0</v>
      </c>
      <c r="J9" s="40">
        <f t="shared" si="4"/>
        <v>147.27450973529415</v>
      </c>
      <c r="K9" s="41">
        <f>COUNTIF(Vertices[Betweenness Centrality],"&gt;= "&amp;J9)-COUNTIF(Vertices[Betweenness Centrality],"&gt;="&amp;J10)</f>
        <v>0</v>
      </c>
      <c r="L9" s="40">
        <f t="shared" si="5"/>
        <v>0.008477676470588237</v>
      </c>
      <c r="M9" s="41">
        <f>COUNTIF(Vertices[Closeness Centrality],"&gt;= "&amp;L9)-COUNTIF(Vertices[Closeness Centrality],"&gt;="&amp;L10)</f>
        <v>0</v>
      </c>
      <c r="N9" s="40">
        <f t="shared" si="6"/>
        <v>0.016199676470588235</v>
      </c>
      <c r="O9" s="41">
        <f>COUNTIF(Vertices[Eigenvector Centrality],"&gt;= "&amp;N9)-COUNTIF(Vertices[Eigenvector Centrality],"&gt;="&amp;N10)</f>
        <v>21</v>
      </c>
      <c r="P9" s="40">
        <f t="shared" si="7"/>
        <v>1.5423286470588233</v>
      </c>
      <c r="Q9" s="41">
        <f>COUNTIF(Vertices[PageRank],"&gt;= "&amp;P9)-COUNTIF(Vertices[PageRank],"&gt;="&amp;P10)</f>
        <v>0</v>
      </c>
      <c r="R9" s="40">
        <f t="shared" si="8"/>
        <v>0.06176470588235293</v>
      </c>
      <c r="S9" s="45">
        <f>COUNTIF(Vertices[Clustering Coefficient],"&gt;= "&amp;R9)-COUNTIF(Vertices[Clustering Coefficient],"&gt;="&amp;R10)</f>
        <v>0</v>
      </c>
      <c r="T9" s="40" t="e">
        <f ca="1" t="shared" si="9"/>
        <v>#REF!</v>
      </c>
      <c r="U9" s="41" t="e">
        <f ca="1" t="shared" si="0"/>
        <v>#REF!</v>
      </c>
    </row>
    <row r="10" spans="1:21" ht="15">
      <c r="A10" s="35" t="s">
        <v>151</v>
      </c>
      <c r="B10" s="35">
        <v>1</v>
      </c>
      <c r="D10" s="33">
        <f t="shared" si="1"/>
        <v>0</v>
      </c>
      <c r="E10" s="3">
        <f>COUNTIF(Vertices[Degree],"&gt;= "&amp;D10)-COUNTIF(Vertices[Degree],"&gt;="&amp;D11)</f>
        <v>0</v>
      </c>
      <c r="F10" s="38">
        <f t="shared" si="2"/>
        <v>9.176470588235292</v>
      </c>
      <c r="G10" s="39">
        <f>COUNTIF(Vertices[In-Degree],"&gt;= "&amp;F10)-COUNTIF(Vertices[In-Degree],"&gt;="&amp;F11)</f>
        <v>0</v>
      </c>
      <c r="H10" s="38">
        <f t="shared" si="3"/>
        <v>1.411764705882353</v>
      </c>
      <c r="I10" s="39">
        <f>COUNTIF(Vertices[Out-Degree],"&gt;= "&amp;H10)-COUNTIF(Vertices[Out-Degree],"&gt;="&amp;H11)</f>
        <v>0</v>
      </c>
      <c r="J10" s="38">
        <f t="shared" si="4"/>
        <v>168.31372541176472</v>
      </c>
      <c r="K10" s="39">
        <f>COUNTIF(Vertices[Betweenness Centrality],"&gt;= "&amp;J10)-COUNTIF(Vertices[Betweenness Centrality],"&gt;="&amp;J11)</f>
        <v>0</v>
      </c>
      <c r="L10" s="38">
        <f t="shared" si="5"/>
        <v>0.008761058823529413</v>
      </c>
      <c r="M10" s="39">
        <f>COUNTIF(Vertices[Closeness Centrality],"&gt;= "&amp;L10)-COUNTIF(Vertices[Closeness Centrality],"&gt;="&amp;L11)</f>
        <v>0</v>
      </c>
      <c r="N10" s="38">
        <f t="shared" si="6"/>
        <v>0.01828505882352941</v>
      </c>
      <c r="O10" s="39">
        <f>COUNTIF(Vertices[Eigenvector Centrality],"&gt;= "&amp;N10)-COUNTIF(Vertices[Eigenvector Centrality],"&gt;="&amp;N11)</f>
        <v>2</v>
      </c>
      <c r="P10" s="38">
        <f t="shared" si="7"/>
        <v>1.715827882352941</v>
      </c>
      <c r="Q10" s="39">
        <f>COUNTIF(Vertices[PageRank],"&gt;= "&amp;P10)-COUNTIF(Vertices[PageRank],"&gt;="&amp;P11)</f>
        <v>0</v>
      </c>
      <c r="R10" s="38">
        <f t="shared" si="8"/>
        <v>0.07058823529411763</v>
      </c>
      <c r="S10" s="44">
        <f>COUNTIF(Vertices[Clustering Coefficient],"&gt;= "&amp;R10)-COUNTIF(Vertices[Clustering Coefficient],"&gt;="&amp;R11)</f>
        <v>0</v>
      </c>
      <c r="T10" s="38" t="e">
        <f ca="1" t="shared" si="9"/>
        <v>#REF!</v>
      </c>
      <c r="U10" s="39" t="e">
        <f ca="1" t="shared" si="0"/>
        <v>#REF!</v>
      </c>
    </row>
    <row r="11" spans="1:21" ht="15">
      <c r="A11" s="118"/>
      <c r="B11" s="118"/>
      <c r="D11" s="33">
        <f t="shared" si="1"/>
        <v>0</v>
      </c>
      <c r="E11" s="3">
        <f>COUNTIF(Vertices[Degree],"&gt;= "&amp;D11)-COUNTIF(Vertices[Degree],"&gt;="&amp;D12)</f>
        <v>0</v>
      </c>
      <c r="F11" s="40">
        <f t="shared" si="2"/>
        <v>10.323529411764703</v>
      </c>
      <c r="G11" s="41">
        <f>COUNTIF(Vertices[In-Degree],"&gt;= "&amp;F11)-COUNTIF(Vertices[In-Degree],"&gt;="&amp;F12)</f>
        <v>0</v>
      </c>
      <c r="H11" s="40">
        <f t="shared" si="3"/>
        <v>1.5882352941176472</v>
      </c>
      <c r="I11" s="41">
        <f>COUNTIF(Vertices[Out-Degree],"&gt;= "&amp;H11)-COUNTIF(Vertices[Out-Degree],"&gt;="&amp;H12)</f>
        <v>0</v>
      </c>
      <c r="J11" s="40">
        <f t="shared" si="4"/>
        <v>189.3529410882353</v>
      </c>
      <c r="K11" s="41">
        <f>COUNTIF(Vertices[Betweenness Centrality],"&gt;= "&amp;J11)-COUNTIF(Vertices[Betweenness Centrality],"&gt;="&amp;J12)</f>
        <v>0</v>
      </c>
      <c r="L11" s="40">
        <f t="shared" si="5"/>
        <v>0.00904444117647059</v>
      </c>
      <c r="M11" s="41">
        <f>COUNTIF(Vertices[Closeness Centrality],"&gt;= "&amp;L11)-COUNTIF(Vertices[Closeness Centrality],"&gt;="&amp;L12)</f>
        <v>0</v>
      </c>
      <c r="N11" s="40">
        <f t="shared" si="6"/>
        <v>0.020370441176470588</v>
      </c>
      <c r="O11" s="41">
        <f>COUNTIF(Vertices[Eigenvector Centrality],"&gt;= "&amp;N11)-COUNTIF(Vertices[Eigenvector Centrality],"&gt;="&amp;N12)</f>
        <v>8</v>
      </c>
      <c r="P11" s="40">
        <f t="shared" si="7"/>
        <v>1.8893271176470585</v>
      </c>
      <c r="Q11" s="41">
        <f>COUNTIF(Vertices[PageRank],"&gt;= "&amp;P11)-COUNTIF(Vertices[PageRank],"&gt;="&amp;P12)</f>
        <v>0</v>
      </c>
      <c r="R11" s="40">
        <f t="shared" si="8"/>
        <v>0.07941176470588233</v>
      </c>
      <c r="S11" s="45">
        <f>COUNTIF(Vertices[Clustering Coefficient],"&gt;= "&amp;R11)-COUNTIF(Vertices[Clustering Coefficient],"&gt;="&amp;R12)</f>
        <v>0</v>
      </c>
      <c r="T11" s="40" t="e">
        <f ca="1" t="shared" si="9"/>
        <v>#REF!</v>
      </c>
      <c r="U11" s="41" t="e">
        <f ca="1" t="shared" si="0"/>
        <v>#REF!</v>
      </c>
    </row>
    <row r="12" spans="1:21" ht="15">
      <c r="A12" s="35" t="s">
        <v>170</v>
      </c>
      <c r="B12" s="35">
        <v>0</v>
      </c>
      <c r="D12" s="33">
        <f t="shared" si="1"/>
        <v>0</v>
      </c>
      <c r="E12" s="3">
        <f>COUNTIF(Vertices[Degree],"&gt;= "&amp;D12)-COUNTIF(Vertices[Degree],"&gt;="&amp;D13)</f>
        <v>0</v>
      </c>
      <c r="F12" s="38">
        <f t="shared" si="2"/>
        <v>11.470588235294114</v>
      </c>
      <c r="G12" s="39">
        <f>COUNTIF(Vertices[In-Degree],"&gt;= "&amp;F12)-COUNTIF(Vertices[In-Degree],"&gt;="&amp;F13)</f>
        <v>0</v>
      </c>
      <c r="H12" s="38">
        <f t="shared" si="3"/>
        <v>1.7647058823529413</v>
      </c>
      <c r="I12" s="39">
        <f>COUNTIF(Vertices[Out-Degree],"&gt;= "&amp;H12)-COUNTIF(Vertices[Out-Degree],"&gt;="&amp;H13)</f>
        <v>0</v>
      </c>
      <c r="J12" s="38">
        <f t="shared" si="4"/>
        <v>210.39215676470587</v>
      </c>
      <c r="K12" s="39">
        <f>COUNTIF(Vertices[Betweenness Centrality],"&gt;= "&amp;J12)-COUNTIF(Vertices[Betweenness Centrality],"&gt;="&amp;J13)</f>
        <v>0</v>
      </c>
      <c r="L12" s="38">
        <f t="shared" si="5"/>
        <v>0.009327823529411767</v>
      </c>
      <c r="M12" s="39">
        <f>COUNTIF(Vertices[Closeness Centrality],"&gt;= "&amp;L12)-COUNTIF(Vertices[Closeness Centrality],"&gt;="&amp;L13)</f>
        <v>31</v>
      </c>
      <c r="N12" s="38">
        <f t="shared" si="6"/>
        <v>0.022455823529411764</v>
      </c>
      <c r="O12" s="39">
        <f>COUNTIF(Vertices[Eigenvector Centrality],"&gt;= "&amp;N12)-COUNTIF(Vertices[Eigenvector Centrality],"&gt;="&amp;N13)</f>
        <v>4</v>
      </c>
      <c r="P12" s="38">
        <f t="shared" si="7"/>
        <v>2.062826352941176</v>
      </c>
      <c r="Q12" s="39">
        <f>COUNTIF(Vertices[PageRank],"&gt;= "&amp;P12)-COUNTIF(Vertices[PageRank],"&gt;="&amp;P13)</f>
        <v>0</v>
      </c>
      <c r="R12" s="38">
        <f t="shared" si="8"/>
        <v>0.08823529411764704</v>
      </c>
      <c r="S12" s="44">
        <f>COUNTIF(Vertices[Clustering Coefficient],"&gt;= "&amp;R12)-COUNTIF(Vertices[Clustering Coefficient],"&gt;="&amp;R13)</f>
        <v>0</v>
      </c>
      <c r="T12" s="38" t="e">
        <f ca="1" t="shared" si="9"/>
        <v>#REF!</v>
      </c>
      <c r="U12" s="39" t="e">
        <f ca="1" t="shared" si="0"/>
        <v>#REF!</v>
      </c>
    </row>
    <row r="13" spans="1:21" ht="15">
      <c r="A13" s="35" t="s">
        <v>171</v>
      </c>
      <c r="B13" s="35">
        <v>0</v>
      </c>
      <c r="D13" s="33">
        <f t="shared" si="1"/>
        <v>0</v>
      </c>
      <c r="E13" s="3">
        <f>COUNTIF(Vertices[Degree],"&gt;= "&amp;D13)-COUNTIF(Vertices[Degree],"&gt;="&amp;D14)</f>
        <v>0</v>
      </c>
      <c r="F13" s="40">
        <f t="shared" si="2"/>
        <v>12.617647058823525</v>
      </c>
      <c r="G13" s="41">
        <f>COUNTIF(Vertices[In-Degree],"&gt;= "&amp;F13)-COUNTIF(Vertices[In-Degree],"&gt;="&amp;F14)</f>
        <v>0</v>
      </c>
      <c r="H13" s="40">
        <f t="shared" si="3"/>
        <v>1.9411764705882355</v>
      </c>
      <c r="I13" s="41">
        <f>COUNTIF(Vertices[Out-Degree],"&gt;= "&amp;H13)-COUNTIF(Vertices[Out-Degree],"&gt;="&amp;H14)</f>
        <v>0</v>
      </c>
      <c r="J13" s="40">
        <f t="shared" si="4"/>
        <v>231.43137244117645</v>
      </c>
      <c r="K13" s="41">
        <f>COUNTIF(Vertices[Betweenness Centrality],"&gt;= "&amp;J13)-COUNTIF(Vertices[Betweenness Centrality],"&gt;="&amp;J14)</f>
        <v>0</v>
      </c>
      <c r="L13" s="40">
        <f t="shared" si="5"/>
        <v>0.009611205882352944</v>
      </c>
      <c r="M13" s="41">
        <f>COUNTIF(Vertices[Closeness Centrality],"&gt;= "&amp;L13)-COUNTIF(Vertices[Closeness Centrality],"&gt;="&amp;L14)</f>
        <v>7</v>
      </c>
      <c r="N13" s="40">
        <f t="shared" si="6"/>
        <v>0.02454120588235294</v>
      </c>
      <c r="O13" s="41">
        <f>COUNTIF(Vertices[Eigenvector Centrality],"&gt;= "&amp;N13)-COUNTIF(Vertices[Eigenvector Centrality],"&gt;="&amp;N14)</f>
        <v>3</v>
      </c>
      <c r="P13" s="40">
        <f t="shared" si="7"/>
        <v>2.2363255882352937</v>
      </c>
      <c r="Q13" s="41">
        <f>COUNTIF(Vertices[PageRank],"&gt;= "&amp;P13)-COUNTIF(Vertices[PageRank],"&gt;="&amp;P14)</f>
        <v>1</v>
      </c>
      <c r="R13" s="40">
        <f t="shared" si="8"/>
        <v>0.09705882352941174</v>
      </c>
      <c r="S13" s="45">
        <f>COUNTIF(Vertices[Clustering Coefficient],"&gt;= "&amp;R13)-COUNTIF(Vertices[Clustering Coefficient],"&gt;="&amp;R14)</f>
        <v>0</v>
      </c>
      <c r="T13" s="40" t="e">
        <f ca="1" t="shared" si="9"/>
        <v>#REF!</v>
      </c>
      <c r="U13" s="41" t="e">
        <f ca="1" t="shared" si="0"/>
        <v>#REF!</v>
      </c>
    </row>
    <row r="14" spans="1:21" ht="15">
      <c r="A14" s="118"/>
      <c r="B14" s="118"/>
      <c r="D14" s="33">
        <f t="shared" si="1"/>
        <v>0</v>
      </c>
      <c r="E14" s="3">
        <f>COUNTIF(Vertices[Degree],"&gt;= "&amp;D14)-COUNTIF(Vertices[Degree],"&gt;="&amp;D15)</f>
        <v>0</v>
      </c>
      <c r="F14" s="38">
        <f t="shared" si="2"/>
        <v>13.764705882352937</v>
      </c>
      <c r="G14" s="39">
        <f>COUNTIF(Vertices[In-Degree],"&gt;= "&amp;F14)-COUNTIF(Vertices[In-Degree],"&gt;="&amp;F15)</f>
        <v>0</v>
      </c>
      <c r="H14" s="38">
        <f t="shared" si="3"/>
        <v>2.1176470588235294</v>
      </c>
      <c r="I14" s="39">
        <f>COUNTIF(Vertices[Out-Degree],"&gt;= "&amp;H14)-COUNTIF(Vertices[Out-Degree],"&gt;="&amp;H15)</f>
        <v>0</v>
      </c>
      <c r="J14" s="38">
        <f t="shared" si="4"/>
        <v>252.47058811764703</v>
      </c>
      <c r="K14" s="39">
        <f>COUNTIF(Vertices[Betweenness Centrality],"&gt;= "&amp;J14)-COUNTIF(Vertices[Betweenness Centrality],"&gt;="&amp;J15)</f>
        <v>0</v>
      </c>
      <c r="L14" s="38">
        <f t="shared" si="5"/>
        <v>0.00989458823529412</v>
      </c>
      <c r="M14" s="39">
        <f>COUNTIF(Vertices[Closeness Centrality],"&gt;= "&amp;L14)-COUNTIF(Vertices[Closeness Centrality],"&gt;="&amp;L15)</f>
        <v>0</v>
      </c>
      <c r="N14" s="38">
        <f t="shared" si="6"/>
        <v>0.026626588235294117</v>
      </c>
      <c r="O14" s="39">
        <f>COUNTIF(Vertices[Eigenvector Centrality],"&gt;= "&amp;N14)-COUNTIF(Vertices[Eigenvector Centrality],"&gt;="&amp;N15)</f>
        <v>0</v>
      </c>
      <c r="P14" s="38">
        <f t="shared" si="7"/>
        <v>2.4098248235294113</v>
      </c>
      <c r="Q14" s="39">
        <f>COUNTIF(Vertices[PageRank],"&gt;= "&amp;P14)-COUNTIF(Vertices[PageRank],"&gt;="&amp;P15)</f>
        <v>0</v>
      </c>
      <c r="R14" s="38">
        <f t="shared" si="8"/>
        <v>0.10588235294117644</v>
      </c>
      <c r="S14" s="44">
        <f>COUNTIF(Vertices[Clustering Coefficient],"&gt;= "&amp;R14)-COUNTIF(Vertices[Clustering Coefficient],"&gt;="&amp;R15)</f>
        <v>0</v>
      </c>
      <c r="T14" s="38" t="e">
        <f ca="1" t="shared" si="9"/>
        <v>#REF!</v>
      </c>
      <c r="U14" s="39" t="e">
        <f ca="1" t="shared" si="0"/>
        <v>#REF!</v>
      </c>
    </row>
    <row r="15" spans="1:21" ht="15">
      <c r="A15" s="35" t="s">
        <v>152</v>
      </c>
      <c r="B15" s="35">
        <v>1</v>
      </c>
      <c r="D15" s="33">
        <f t="shared" si="1"/>
        <v>0</v>
      </c>
      <c r="E15" s="3">
        <f>COUNTIF(Vertices[Degree],"&gt;= "&amp;D15)-COUNTIF(Vertices[Degree],"&gt;="&amp;D16)</f>
        <v>0</v>
      </c>
      <c r="F15" s="40">
        <f t="shared" si="2"/>
        <v>14.911764705882348</v>
      </c>
      <c r="G15" s="41">
        <f>COUNTIF(Vertices[In-Degree],"&gt;= "&amp;F15)-COUNTIF(Vertices[In-Degree],"&gt;="&amp;F16)</f>
        <v>1</v>
      </c>
      <c r="H15" s="40">
        <f t="shared" si="3"/>
        <v>2.2941176470588234</v>
      </c>
      <c r="I15" s="41">
        <f>COUNTIF(Vertices[Out-Degree],"&gt;= "&amp;H15)-COUNTIF(Vertices[Out-Degree],"&gt;="&amp;H16)</f>
        <v>0</v>
      </c>
      <c r="J15" s="40">
        <f t="shared" si="4"/>
        <v>273.5098037941176</v>
      </c>
      <c r="K15" s="41">
        <f>COUNTIF(Vertices[Betweenness Centrality],"&gt;= "&amp;J15)-COUNTIF(Vertices[Betweenness Centrality],"&gt;="&amp;J16)</f>
        <v>0</v>
      </c>
      <c r="L15" s="40">
        <f t="shared" si="5"/>
        <v>0.010177970588235297</v>
      </c>
      <c r="M15" s="41">
        <f>COUNTIF(Vertices[Closeness Centrality],"&gt;= "&amp;L15)-COUNTIF(Vertices[Closeness Centrality],"&gt;="&amp;L16)</f>
        <v>0</v>
      </c>
      <c r="N15" s="40">
        <f t="shared" si="6"/>
        <v>0.028711970588235294</v>
      </c>
      <c r="O15" s="41">
        <f>COUNTIF(Vertices[Eigenvector Centrality],"&gt;= "&amp;N15)-COUNTIF(Vertices[Eigenvector Centrality],"&gt;="&amp;N16)</f>
        <v>1</v>
      </c>
      <c r="P15" s="40">
        <f t="shared" si="7"/>
        <v>2.583324058823529</v>
      </c>
      <c r="Q15" s="41">
        <f>COUNTIF(Vertices[PageRank],"&gt;= "&amp;P15)-COUNTIF(Vertices[PageRank],"&gt;="&amp;P16)</f>
        <v>0</v>
      </c>
      <c r="R15" s="40">
        <f t="shared" si="8"/>
        <v>0.11470588235294114</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16.05882352941176</v>
      </c>
      <c r="G16" s="39">
        <f>COUNTIF(Vertices[In-Degree],"&gt;= "&amp;F16)-COUNTIF(Vertices[In-Degree],"&gt;="&amp;F17)</f>
        <v>0</v>
      </c>
      <c r="H16" s="38">
        <f t="shared" si="3"/>
        <v>2.4705882352941173</v>
      </c>
      <c r="I16" s="39">
        <f>COUNTIF(Vertices[Out-Degree],"&gt;= "&amp;H16)-COUNTIF(Vertices[Out-Degree],"&gt;="&amp;H17)</f>
        <v>0</v>
      </c>
      <c r="J16" s="38">
        <f t="shared" si="4"/>
        <v>294.5490194705882</v>
      </c>
      <c r="K16" s="39">
        <f>COUNTIF(Vertices[Betweenness Centrality],"&gt;= "&amp;J16)-COUNTIF(Vertices[Betweenness Centrality],"&gt;="&amp;J17)</f>
        <v>0</v>
      </c>
      <c r="L16" s="38">
        <f t="shared" si="5"/>
        <v>0.010461352941176474</v>
      </c>
      <c r="M16" s="39">
        <f>COUNTIF(Vertices[Closeness Centrality],"&gt;= "&amp;L16)-COUNTIF(Vertices[Closeness Centrality],"&gt;="&amp;L17)</f>
        <v>0</v>
      </c>
      <c r="N16" s="38">
        <f t="shared" si="6"/>
        <v>0.03079735294117647</v>
      </c>
      <c r="O16" s="39">
        <f>COUNTIF(Vertices[Eigenvector Centrality],"&gt;= "&amp;N16)-COUNTIF(Vertices[Eigenvector Centrality],"&gt;="&amp;N17)</f>
        <v>0</v>
      </c>
      <c r="P16" s="38">
        <f t="shared" si="7"/>
        <v>2.7568232941176465</v>
      </c>
      <c r="Q16" s="39">
        <f>COUNTIF(Vertices[PageRank],"&gt;= "&amp;P16)-COUNTIF(Vertices[PageRank],"&gt;="&amp;P17)</f>
        <v>0</v>
      </c>
      <c r="R16" s="38">
        <f t="shared" si="8"/>
        <v>0.12352941176470585</v>
      </c>
      <c r="S16" s="44">
        <f>COUNTIF(Vertices[Clustering Coefficient],"&gt;= "&amp;R16)-COUNTIF(Vertices[Clustering Coefficient],"&gt;="&amp;R17)</f>
        <v>0</v>
      </c>
      <c r="T16" s="38" t="e">
        <f ca="1" t="shared" si="9"/>
        <v>#REF!</v>
      </c>
      <c r="U16" s="39" t="e">
        <f ca="1" t="shared" si="0"/>
        <v>#REF!</v>
      </c>
    </row>
    <row r="17" spans="1:21" ht="15">
      <c r="A17" s="35" t="s">
        <v>154</v>
      </c>
      <c r="B17" s="35">
        <v>51</v>
      </c>
      <c r="D17" s="33">
        <f t="shared" si="1"/>
        <v>0</v>
      </c>
      <c r="E17" s="3">
        <f>COUNTIF(Vertices[Degree],"&gt;= "&amp;D17)-COUNTIF(Vertices[Degree],"&gt;="&amp;D18)</f>
        <v>0</v>
      </c>
      <c r="F17" s="40">
        <f t="shared" si="2"/>
        <v>17.205882352941174</v>
      </c>
      <c r="G17" s="41">
        <f>COUNTIF(Vertices[In-Degree],"&gt;= "&amp;F17)-COUNTIF(Vertices[In-Degree],"&gt;="&amp;F18)</f>
        <v>0</v>
      </c>
      <c r="H17" s="40">
        <f t="shared" si="3"/>
        <v>2.6470588235294112</v>
      </c>
      <c r="I17" s="41">
        <f>COUNTIF(Vertices[Out-Degree],"&gt;= "&amp;H17)-COUNTIF(Vertices[Out-Degree],"&gt;="&amp;H18)</f>
        <v>0</v>
      </c>
      <c r="J17" s="40">
        <f t="shared" si="4"/>
        <v>315.58823514705875</v>
      </c>
      <c r="K17" s="41">
        <f>COUNTIF(Vertices[Betweenness Centrality],"&gt;= "&amp;J17)-COUNTIF(Vertices[Betweenness Centrality],"&gt;="&amp;J18)</f>
        <v>0</v>
      </c>
      <c r="L17" s="40">
        <f t="shared" si="5"/>
        <v>0.01074473529411765</v>
      </c>
      <c r="M17" s="41">
        <f>COUNTIF(Vertices[Closeness Centrality],"&gt;= "&amp;L17)-COUNTIF(Vertices[Closeness Centrality],"&gt;="&amp;L18)</f>
        <v>0</v>
      </c>
      <c r="N17" s="40">
        <f t="shared" si="6"/>
        <v>0.03288273529411764</v>
      </c>
      <c r="O17" s="41">
        <f>COUNTIF(Vertices[Eigenvector Centrality],"&gt;= "&amp;N17)-COUNTIF(Vertices[Eigenvector Centrality],"&gt;="&amp;N18)</f>
        <v>0</v>
      </c>
      <c r="P17" s="40">
        <f t="shared" si="7"/>
        <v>2.930322529411764</v>
      </c>
      <c r="Q17" s="41">
        <f>COUNTIF(Vertices[PageRank],"&gt;= "&amp;P17)-COUNTIF(Vertices[PageRank],"&gt;="&amp;P18)</f>
        <v>0</v>
      </c>
      <c r="R17" s="40">
        <f t="shared" si="8"/>
        <v>0.13235294117647056</v>
      </c>
      <c r="S17" s="45">
        <f>COUNTIF(Vertices[Clustering Coefficient],"&gt;= "&amp;R17)-COUNTIF(Vertices[Clustering Coefficient],"&gt;="&amp;R18)</f>
        <v>0</v>
      </c>
      <c r="T17" s="40" t="e">
        <f ca="1" t="shared" si="9"/>
        <v>#REF!</v>
      </c>
      <c r="U17" s="41" t="e">
        <f ca="1" t="shared" si="0"/>
        <v>#REF!</v>
      </c>
    </row>
    <row r="18" spans="1:21" ht="15">
      <c r="A18" s="35" t="s">
        <v>155</v>
      </c>
      <c r="B18" s="35">
        <v>153</v>
      </c>
      <c r="D18" s="33">
        <f t="shared" si="1"/>
        <v>0</v>
      </c>
      <c r="E18" s="3">
        <f>COUNTIF(Vertices[Degree],"&gt;= "&amp;D18)-COUNTIF(Vertices[Degree],"&gt;="&amp;D19)</f>
        <v>0</v>
      </c>
      <c r="F18" s="38">
        <f t="shared" si="2"/>
        <v>18.352941176470587</v>
      </c>
      <c r="G18" s="39">
        <f>COUNTIF(Vertices[In-Degree],"&gt;= "&amp;F18)-COUNTIF(Vertices[In-Degree],"&gt;="&amp;F19)</f>
        <v>0</v>
      </c>
      <c r="H18" s="38">
        <f t="shared" si="3"/>
        <v>2.823529411764705</v>
      </c>
      <c r="I18" s="39">
        <f>COUNTIF(Vertices[Out-Degree],"&gt;= "&amp;H18)-COUNTIF(Vertices[Out-Degree],"&gt;="&amp;H19)</f>
        <v>0</v>
      </c>
      <c r="J18" s="38">
        <f t="shared" si="4"/>
        <v>336.62745082352933</v>
      </c>
      <c r="K18" s="39">
        <f>COUNTIF(Vertices[Betweenness Centrality],"&gt;= "&amp;J18)-COUNTIF(Vertices[Betweenness Centrality],"&gt;="&amp;J19)</f>
        <v>0</v>
      </c>
      <c r="L18" s="38">
        <f t="shared" si="5"/>
        <v>0.011028117647058827</v>
      </c>
      <c r="M18" s="39">
        <f>COUNTIF(Vertices[Closeness Centrality],"&gt;= "&amp;L18)-COUNTIF(Vertices[Closeness Centrality],"&gt;="&amp;L19)</f>
        <v>0</v>
      </c>
      <c r="N18" s="38">
        <f t="shared" si="6"/>
        <v>0.034968117647058816</v>
      </c>
      <c r="O18" s="39">
        <f>COUNTIF(Vertices[Eigenvector Centrality],"&gt;= "&amp;N18)-COUNTIF(Vertices[Eigenvector Centrality],"&gt;="&amp;N19)</f>
        <v>0</v>
      </c>
      <c r="P18" s="38">
        <f t="shared" si="7"/>
        <v>3.1038217647058817</v>
      </c>
      <c r="Q18" s="39">
        <f>COUNTIF(Vertices[PageRank],"&gt;= "&amp;P18)-COUNTIF(Vertices[PageRank],"&gt;="&amp;P19)</f>
        <v>0</v>
      </c>
      <c r="R18" s="38">
        <f t="shared" si="8"/>
        <v>0.14117647058823526</v>
      </c>
      <c r="S18" s="44">
        <f>COUNTIF(Vertices[Clustering Coefficient],"&gt;= "&amp;R18)-COUNTIF(Vertices[Clustering Coefficient],"&gt;="&amp;R19)</f>
        <v>0</v>
      </c>
      <c r="T18" s="38" t="e">
        <f ca="1" t="shared" si="9"/>
        <v>#REF!</v>
      </c>
      <c r="U18" s="39" t="e">
        <f ca="1" t="shared" si="0"/>
        <v>#REF!</v>
      </c>
    </row>
    <row r="19" spans="1:21" ht="15">
      <c r="A19" s="118"/>
      <c r="B19" s="118"/>
      <c r="D19" s="33">
        <f t="shared" si="1"/>
        <v>0</v>
      </c>
      <c r="E19" s="3">
        <f>COUNTIF(Vertices[Degree],"&gt;= "&amp;D19)-COUNTIF(Vertices[Degree],"&gt;="&amp;D20)</f>
        <v>0</v>
      </c>
      <c r="F19" s="40">
        <f t="shared" si="2"/>
        <v>19.5</v>
      </c>
      <c r="G19" s="41">
        <f>COUNTIF(Vertices[In-Degree],"&gt;= "&amp;F19)-COUNTIF(Vertices[In-Degree],"&gt;="&amp;F20)</f>
        <v>0</v>
      </c>
      <c r="H19" s="40">
        <f t="shared" si="3"/>
        <v>2.999999999999999</v>
      </c>
      <c r="I19" s="41">
        <f>COUNTIF(Vertices[Out-Degree],"&gt;= "&amp;H19)-COUNTIF(Vertices[Out-Degree],"&gt;="&amp;H20)</f>
        <v>13</v>
      </c>
      <c r="J19" s="40">
        <f t="shared" si="4"/>
        <v>357.6666664999999</v>
      </c>
      <c r="K19" s="41">
        <f>COUNTIF(Vertices[Betweenness Centrality],"&gt;= "&amp;J19)-COUNTIF(Vertices[Betweenness Centrality],"&gt;="&amp;J20)</f>
        <v>0</v>
      </c>
      <c r="L19" s="40">
        <f t="shared" si="5"/>
        <v>0.011311500000000004</v>
      </c>
      <c r="M19" s="41">
        <f>COUNTIF(Vertices[Closeness Centrality],"&gt;= "&amp;L19)-COUNTIF(Vertices[Closeness Centrality],"&gt;="&amp;L20)</f>
        <v>0</v>
      </c>
      <c r="N19" s="40">
        <f t="shared" si="6"/>
        <v>0.03705349999999999</v>
      </c>
      <c r="O19" s="41">
        <f>COUNTIF(Vertices[Eigenvector Centrality],"&gt;= "&amp;N19)-COUNTIF(Vertices[Eigenvector Centrality],"&gt;="&amp;N20)</f>
        <v>0</v>
      </c>
      <c r="P19" s="40">
        <f t="shared" si="7"/>
        <v>3.2773209999999993</v>
      </c>
      <c r="Q19" s="41">
        <f>COUNTIF(Vertices[PageRank],"&gt;= "&amp;P19)-COUNTIF(Vertices[PageRank],"&gt;="&amp;P20)</f>
        <v>0</v>
      </c>
      <c r="R19" s="40">
        <f t="shared" si="8"/>
        <v>0.14999999999999997</v>
      </c>
      <c r="S19" s="45">
        <f>COUNTIF(Vertices[Clustering Coefficient],"&gt;= "&amp;R19)-COUNTIF(Vertices[Clustering Coefficient],"&gt;="&amp;R20)</f>
        <v>0</v>
      </c>
      <c r="T19" s="40" t="e">
        <f ca="1" t="shared" si="9"/>
        <v>#REF!</v>
      </c>
      <c r="U19" s="41" t="e">
        <f ca="1" t="shared" si="0"/>
        <v>#REF!</v>
      </c>
    </row>
    <row r="20" spans="1:21" ht="15">
      <c r="A20" s="35" t="s">
        <v>156</v>
      </c>
      <c r="B20" s="35">
        <v>4</v>
      </c>
      <c r="D20" s="33">
        <f t="shared" si="1"/>
        <v>0</v>
      </c>
      <c r="E20" s="3">
        <f>COUNTIF(Vertices[Degree],"&gt;= "&amp;D20)-COUNTIF(Vertices[Degree],"&gt;="&amp;D21)</f>
        <v>0</v>
      </c>
      <c r="F20" s="38">
        <f t="shared" si="2"/>
        <v>20.647058823529413</v>
      </c>
      <c r="G20" s="39">
        <f>COUNTIF(Vertices[In-Degree],"&gt;= "&amp;F20)-COUNTIF(Vertices[In-Degree],"&gt;="&amp;F21)</f>
        <v>0</v>
      </c>
      <c r="H20" s="38">
        <f t="shared" si="3"/>
        <v>3.176470588235293</v>
      </c>
      <c r="I20" s="39">
        <f>COUNTIF(Vertices[Out-Degree],"&gt;= "&amp;H20)-COUNTIF(Vertices[Out-Degree],"&gt;="&amp;H21)</f>
        <v>0</v>
      </c>
      <c r="J20" s="38">
        <f t="shared" si="4"/>
        <v>378.7058821764705</v>
      </c>
      <c r="K20" s="39">
        <f>COUNTIF(Vertices[Betweenness Centrality],"&gt;= "&amp;J20)-COUNTIF(Vertices[Betweenness Centrality],"&gt;="&amp;J21)</f>
        <v>0</v>
      </c>
      <c r="L20" s="38">
        <f t="shared" si="5"/>
        <v>0.01159488235294118</v>
      </c>
      <c r="M20" s="39">
        <f>COUNTIF(Vertices[Closeness Centrality],"&gt;= "&amp;L20)-COUNTIF(Vertices[Closeness Centrality],"&gt;="&amp;L21)</f>
        <v>0</v>
      </c>
      <c r="N20" s="38">
        <f t="shared" si="6"/>
        <v>0.03913888235294116</v>
      </c>
      <c r="O20" s="39">
        <f>COUNTIF(Vertices[Eigenvector Centrality],"&gt;= "&amp;N20)-COUNTIF(Vertices[Eigenvector Centrality],"&gt;="&amp;N21)</f>
        <v>0</v>
      </c>
      <c r="P20" s="38">
        <f t="shared" si="7"/>
        <v>3.450820235294117</v>
      </c>
      <c r="Q20" s="39">
        <f>COUNTIF(Vertices[PageRank],"&gt;= "&amp;P20)-COUNTIF(Vertices[PageRank],"&gt;="&amp;P21)</f>
        <v>0</v>
      </c>
      <c r="R20" s="38">
        <f t="shared" si="8"/>
        <v>0.15882352941176467</v>
      </c>
      <c r="S20" s="44">
        <f>COUNTIF(Vertices[Clustering Coefficient],"&gt;= "&amp;R20)-COUNTIF(Vertices[Clustering Coefficient],"&gt;="&amp;R21)</f>
        <v>0</v>
      </c>
      <c r="T20" s="38" t="e">
        <f ca="1" t="shared" si="9"/>
        <v>#REF!</v>
      </c>
      <c r="U20" s="39" t="e">
        <f ca="1" t="shared" si="0"/>
        <v>#REF!</v>
      </c>
    </row>
    <row r="21" spans="1:21" ht="15">
      <c r="A21" s="35" t="s">
        <v>157</v>
      </c>
      <c r="B21" s="35">
        <v>2.193003</v>
      </c>
      <c r="D21" s="33">
        <f t="shared" si="1"/>
        <v>0</v>
      </c>
      <c r="E21" s="3">
        <f>COUNTIF(Vertices[Degree],"&gt;= "&amp;D21)-COUNTIF(Vertices[Degree],"&gt;="&amp;D22)</f>
        <v>0</v>
      </c>
      <c r="F21" s="40">
        <f t="shared" si="2"/>
        <v>21.794117647058826</v>
      </c>
      <c r="G21" s="41">
        <f>COUNTIF(Vertices[In-Degree],"&gt;= "&amp;F21)-COUNTIF(Vertices[In-Degree],"&gt;="&amp;F22)</f>
        <v>0</v>
      </c>
      <c r="H21" s="40">
        <f t="shared" si="3"/>
        <v>3.352941176470587</v>
      </c>
      <c r="I21" s="41">
        <f>COUNTIF(Vertices[Out-Degree],"&gt;= "&amp;H21)-COUNTIF(Vertices[Out-Degree],"&gt;="&amp;H22)</f>
        <v>0</v>
      </c>
      <c r="J21" s="40">
        <f t="shared" si="4"/>
        <v>399.74509785294106</v>
      </c>
      <c r="K21" s="41">
        <f>COUNTIF(Vertices[Betweenness Centrality],"&gt;= "&amp;J21)-COUNTIF(Vertices[Betweenness Centrality],"&gt;="&amp;J22)</f>
        <v>0</v>
      </c>
      <c r="L21" s="40">
        <f t="shared" si="5"/>
        <v>0.011878264705882357</v>
      </c>
      <c r="M21" s="41">
        <f>COUNTIF(Vertices[Closeness Centrality],"&gt;= "&amp;L21)-COUNTIF(Vertices[Closeness Centrality],"&gt;="&amp;L22)</f>
        <v>0</v>
      </c>
      <c r="N21" s="40">
        <f t="shared" si="6"/>
        <v>0.041224264705882335</v>
      </c>
      <c r="O21" s="41">
        <f>COUNTIF(Vertices[Eigenvector Centrality],"&gt;= "&amp;N21)-COUNTIF(Vertices[Eigenvector Centrality],"&gt;="&amp;N22)</f>
        <v>0</v>
      </c>
      <c r="P21" s="40">
        <f t="shared" si="7"/>
        <v>3.6243194705882344</v>
      </c>
      <c r="Q21" s="41">
        <f>COUNTIF(Vertices[PageRank],"&gt;= "&amp;P21)-COUNTIF(Vertices[PageRank],"&gt;="&amp;P22)</f>
        <v>0</v>
      </c>
      <c r="R21" s="40">
        <f t="shared" si="8"/>
        <v>0.16764705882352937</v>
      </c>
      <c r="S21" s="45">
        <f>COUNTIF(Vertices[Clustering Coefficient],"&gt;= "&amp;R21)-COUNTIF(Vertices[Clustering Coefficient],"&gt;="&amp;R22)</f>
        <v>0</v>
      </c>
      <c r="T21" s="40" t="e">
        <f ca="1" t="shared" si="9"/>
        <v>#REF!</v>
      </c>
      <c r="U21" s="41" t="e">
        <f ca="1" t="shared" si="0"/>
        <v>#REF!</v>
      </c>
    </row>
    <row r="22" spans="1:21" ht="15">
      <c r="A22" s="118"/>
      <c r="B22" s="118"/>
      <c r="D22" s="33">
        <f t="shared" si="1"/>
        <v>0</v>
      </c>
      <c r="E22" s="3">
        <f>COUNTIF(Vertices[Degree],"&gt;= "&amp;D22)-COUNTIF(Vertices[Degree],"&gt;="&amp;D23)</f>
        <v>0</v>
      </c>
      <c r="F22" s="38">
        <f t="shared" si="2"/>
        <v>22.94117647058824</v>
      </c>
      <c r="G22" s="39">
        <f>COUNTIF(Vertices[In-Degree],"&gt;= "&amp;F22)-COUNTIF(Vertices[In-Degree],"&gt;="&amp;F23)</f>
        <v>0</v>
      </c>
      <c r="H22" s="38">
        <f t="shared" si="3"/>
        <v>3.529411764705881</v>
      </c>
      <c r="I22" s="39">
        <f>COUNTIF(Vertices[Out-Degree],"&gt;= "&amp;H22)-COUNTIF(Vertices[Out-Degree],"&gt;="&amp;H23)</f>
        <v>0</v>
      </c>
      <c r="J22" s="38">
        <f t="shared" si="4"/>
        <v>420.78431352941163</v>
      </c>
      <c r="K22" s="39">
        <f>COUNTIF(Vertices[Betweenness Centrality],"&gt;= "&amp;J22)-COUNTIF(Vertices[Betweenness Centrality],"&gt;="&amp;J23)</f>
        <v>0</v>
      </c>
      <c r="L22" s="38">
        <f t="shared" si="5"/>
        <v>0.012161647058823534</v>
      </c>
      <c r="M22" s="39">
        <f>COUNTIF(Vertices[Closeness Centrality],"&gt;= "&amp;L22)-COUNTIF(Vertices[Closeness Centrality],"&gt;="&amp;L23)</f>
        <v>0</v>
      </c>
      <c r="N22" s="38">
        <f t="shared" si="6"/>
        <v>0.04330964705882351</v>
      </c>
      <c r="O22" s="39">
        <f>COUNTIF(Vertices[Eigenvector Centrality],"&gt;= "&amp;N22)-COUNTIF(Vertices[Eigenvector Centrality],"&gt;="&amp;N23)</f>
        <v>0</v>
      </c>
      <c r="P22" s="38">
        <f t="shared" si="7"/>
        <v>3.797818705882352</v>
      </c>
      <c r="Q22" s="39">
        <f>COUNTIF(Vertices[PageRank],"&gt;= "&amp;P22)-COUNTIF(Vertices[PageRank],"&gt;="&amp;P23)</f>
        <v>0</v>
      </c>
      <c r="R22" s="38">
        <f t="shared" si="8"/>
        <v>0.17647058823529407</v>
      </c>
      <c r="S22" s="44">
        <f>COUNTIF(Vertices[Clustering Coefficient],"&gt;= "&amp;R22)-COUNTIF(Vertices[Clustering Coefficient],"&gt;="&amp;R23)</f>
        <v>0</v>
      </c>
      <c r="T22" s="38" t="e">
        <f ca="1" t="shared" si="9"/>
        <v>#REF!</v>
      </c>
      <c r="U22" s="39" t="e">
        <f ca="1" t="shared" si="0"/>
        <v>#REF!</v>
      </c>
    </row>
    <row r="23" spans="1:21" ht="15">
      <c r="A23" s="35" t="s">
        <v>158</v>
      </c>
      <c r="B23" s="35">
        <v>0.05647058823529412</v>
      </c>
      <c r="D23" s="33">
        <f t="shared" si="1"/>
        <v>0</v>
      </c>
      <c r="E23" s="3">
        <f>COUNTIF(Vertices[Degree],"&gt;= "&amp;D23)-COUNTIF(Vertices[Degree],"&gt;="&amp;D24)</f>
        <v>0</v>
      </c>
      <c r="F23" s="40">
        <f t="shared" si="2"/>
        <v>24.088235294117652</v>
      </c>
      <c r="G23" s="41">
        <f>COUNTIF(Vertices[In-Degree],"&gt;= "&amp;F23)-COUNTIF(Vertices[In-Degree],"&gt;="&amp;F24)</f>
        <v>0</v>
      </c>
      <c r="H23" s="40">
        <f t="shared" si="3"/>
        <v>3.705882352941175</v>
      </c>
      <c r="I23" s="41">
        <f>COUNTIF(Vertices[Out-Degree],"&gt;= "&amp;H23)-COUNTIF(Vertices[Out-Degree],"&gt;="&amp;H24)</f>
        <v>0</v>
      </c>
      <c r="J23" s="40">
        <f t="shared" si="4"/>
        <v>441.8235292058822</v>
      </c>
      <c r="K23" s="41">
        <f>COUNTIF(Vertices[Betweenness Centrality],"&gt;= "&amp;J23)-COUNTIF(Vertices[Betweenness Centrality],"&gt;="&amp;J24)</f>
        <v>0</v>
      </c>
      <c r="L23" s="40">
        <f t="shared" si="5"/>
        <v>0.01244502941176471</v>
      </c>
      <c r="M23" s="41">
        <f>COUNTIF(Vertices[Closeness Centrality],"&gt;= "&amp;L23)-COUNTIF(Vertices[Closeness Centrality],"&gt;="&amp;L24)</f>
        <v>0</v>
      </c>
      <c r="N23" s="40">
        <f t="shared" si="6"/>
        <v>0.04539502941176468</v>
      </c>
      <c r="O23" s="41">
        <f>COUNTIF(Vertices[Eigenvector Centrality],"&gt;= "&amp;N23)-COUNTIF(Vertices[Eigenvector Centrality],"&gt;="&amp;N24)</f>
        <v>0</v>
      </c>
      <c r="P23" s="40">
        <f t="shared" si="7"/>
        <v>3.9713179411764696</v>
      </c>
      <c r="Q23" s="41">
        <f>COUNTIF(Vertices[PageRank],"&gt;= "&amp;P23)-COUNTIF(Vertices[PageRank],"&gt;="&amp;P24)</f>
        <v>0</v>
      </c>
      <c r="R23" s="40">
        <f t="shared" si="8"/>
        <v>0.18529411764705878</v>
      </c>
      <c r="S23" s="45">
        <f>COUNTIF(Vertices[Clustering Coefficient],"&gt;= "&amp;R23)-COUNTIF(Vertices[Clustering Coefficient],"&gt;="&amp;R24)</f>
        <v>0</v>
      </c>
      <c r="T23" s="40" t="e">
        <f ca="1" t="shared" si="9"/>
        <v>#REF!</v>
      </c>
      <c r="U23" s="41" t="e">
        <f ca="1" t="shared" si="0"/>
        <v>#REF!</v>
      </c>
    </row>
    <row r="24" spans="1:21" ht="15">
      <c r="A24" s="35" t="s">
        <v>981</v>
      </c>
      <c r="B24" s="35">
        <v>0.141046</v>
      </c>
      <c r="D24" s="33">
        <f t="shared" si="1"/>
        <v>0</v>
      </c>
      <c r="E24" s="3">
        <f>COUNTIF(Vertices[Degree],"&gt;= "&amp;D24)-COUNTIF(Vertices[Degree],"&gt;="&amp;D25)</f>
        <v>0</v>
      </c>
      <c r="F24" s="38">
        <f t="shared" si="2"/>
        <v>25.235294117647065</v>
      </c>
      <c r="G24" s="39">
        <f>COUNTIF(Vertices[In-Degree],"&gt;= "&amp;F24)-COUNTIF(Vertices[In-Degree],"&gt;="&amp;F25)</f>
        <v>0</v>
      </c>
      <c r="H24" s="38">
        <f t="shared" si="3"/>
        <v>3.882352941176469</v>
      </c>
      <c r="I24" s="39">
        <f>COUNTIF(Vertices[Out-Degree],"&gt;= "&amp;H24)-COUNTIF(Vertices[Out-Degree],"&gt;="&amp;H25)</f>
        <v>21</v>
      </c>
      <c r="J24" s="38">
        <f t="shared" si="4"/>
        <v>462.8627448823528</v>
      </c>
      <c r="K24" s="39">
        <f>COUNTIF(Vertices[Betweenness Centrality],"&gt;= "&amp;J24)-COUNTIF(Vertices[Betweenness Centrality],"&gt;="&amp;J25)</f>
        <v>0</v>
      </c>
      <c r="L24" s="38">
        <f t="shared" si="5"/>
        <v>0.012728411764705887</v>
      </c>
      <c r="M24" s="39">
        <f>COUNTIF(Vertices[Closeness Centrality],"&gt;= "&amp;L24)-COUNTIF(Vertices[Closeness Centrality],"&gt;="&amp;L25)</f>
        <v>0</v>
      </c>
      <c r="N24" s="38">
        <f t="shared" si="6"/>
        <v>0.047480411764705854</v>
      </c>
      <c r="O24" s="39">
        <f>COUNTIF(Vertices[Eigenvector Centrality],"&gt;= "&amp;N24)-COUNTIF(Vertices[Eigenvector Centrality],"&gt;="&amp;N25)</f>
        <v>0</v>
      </c>
      <c r="P24" s="38">
        <f t="shared" si="7"/>
        <v>4.144817176470587</v>
      </c>
      <c r="Q24" s="39">
        <f>COUNTIF(Vertices[PageRank],"&gt;= "&amp;P24)-COUNTIF(Vertices[PageRank],"&gt;="&amp;P25)</f>
        <v>0</v>
      </c>
      <c r="R24" s="38">
        <f t="shared" si="8"/>
        <v>0.19411764705882348</v>
      </c>
      <c r="S24" s="44">
        <f>COUNTIF(Vertices[Clustering Coefficient],"&gt;= "&amp;R24)-COUNTIF(Vertices[Clustering Coefficient],"&gt;="&amp;R25)</f>
        <v>4</v>
      </c>
      <c r="T24" s="38" t="e">
        <f ca="1" t="shared" si="9"/>
        <v>#REF!</v>
      </c>
      <c r="U24" s="39" t="e">
        <f ca="1" t="shared" si="0"/>
        <v>#REF!</v>
      </c>
    </row>
    <row r="25" spans="1:21" ht="15">
      <c r="A25" s="118"/>
      <c r="B25" s="118"/>
      <c r="D25" s="33">
        <f t="shared" si="1"/>
        <v>0</v>
      </c>
      <c r="E25" s="3">
        <f>COUNTIF(Vertices[Degree],"&gt;= "&amp;D25)-COUNTIF(Vertices[Degree],"&gt;="&amp;D26)</f>
        <v>0</v>
      </c>
      <c r="F25" s="40">
        <f t="shared" si="2"/>
        <v>26.382352941176478</v>
      </c>
      <c r="G25" s="41">
        <f>COUNTIF(Vertices[In-Degree],"&gt;= "&amp;F25)-COUNTIF(Vertices[In-Degree],"&gt;="&amp;F26)</f>
        <v>0</v>
      </c>
      <c r="H25" s="40">
        <f t="shared" si="3"/>
        <v>4.058823529411763</v>
      </c>
      <c r="I25" s="41">
        <f>COUNTIF(Vertices[Out-Degree],"&gt;= "&amp;H25)-COUNTIF(Vertices[Out-Degree],"&gt;="&amp;H26)</f>
        <v>0</v>
      </c>
      <c r="J25" s="40">
        <f t="shared" si="4"/>
        <v>483.90196055882336</v>
      </c>
      <c r="K25" s="41">
        <f>COUNTIF(Vertices[Betweenness Centrality],"&gt;= "&amp;J25)-COUNTIF(Vertices[Betweenness Centrality],"&gt;="&amp;J26)</f>
        <v>0</v>
      </c>
      <c r="L25" s="40">
        <f t="shared" si="5"/>
        <v>0.013011794117647064</v>
      </c>
      <c r="M25" s="41">
        <f>COUNTIF(Vertices[Closeness Centrality],"&gt;= "&amp;L25)-COUNTIF(Vertices[Closeness Centrality],"&gt;="&amp;L26)</f>
        <v>0</v>
      </c>
      <c r="N25" s="40">
        <f t="shared" si="6"/>
        <v>0.04956579411764703</v>
      </c>
      <c r="O25" s="41">
        <f>COUNTIF(Vertices[Eigenvector Centrality],"&gt;= "&amp;N25)-COUNTIF(Vertices[Eigenvector Centrality],"&gt;="&amp;N26)</f>
        <v>0</v>
      </c>
      <c r="P25" s="40">
        <f t="shared" si="7"/>
        <v>4.318316411764705</v>
      </c>
      <c r="Q25" s="41">
        <f>COUNTIF(Vertices[PageRank],"&gt;= "&amp;P25)-COUNTIF(Vertices[PageRank],"&gt;="&amp;P26)</f>
        <v>0</v>
      </c>
      <c r="R25" s="40">
        <f t="shared" si="8"/>
        <v>0.20294117647058818</v>
      </c>
      <c r="S25" s="45">
        <f>COUNTIF(Vertices[Clustering Coefficient],"&gt;= "&amp;R25)-COUNTIF(Vertices[Clustering Coefficient],"&gt;="&amp;R26)</f>
        <v>0</v>
      </c>
      <c r="T25" s="40" t="e">
        <f ca="1" t="shared" si="9"/>
        <v>#REF!</v>
      </c>
      <c r="U25" s="41" t="e">
        <f ca="1" t="shared" si="0"/>
        <v>#REF!</v>
      </c>
    </row>
    <row r="26" spans="1:21" ht="15">
      <c r="A26" s="35" t="s">
        <v>982</v>
      </c>
      <c r="B26" s="35" t="s">
        <v>997</v>
      </c>
      <c r="D26" s="33">
        <f t="shared" si="1"/>
        <v>0</v>
      </c>
      <c r="E26" s="3">
        <f>COUNTIF(Vertices[Degree],"&gt;= "&amp;D26)-COUNTIF(Vertices[Degree],"&gt;="&amp;D27)</f>
        <v>0</v>
      </c>
      <c r="F26" s="38">
        <f t="shared" si="2"/>
        <v>27.52941176470589</v>
      </c>
      <c r="G26" s="39">
        <f>COUNTIF(Vertices[In-Degree],"&gt;= "&amp;F26)-COUNTIF(Vertices[In-Degree],"&gt;="&amp;F27)</f>
        <v>0</v>
      </c>
      <c r="H26" s="38">
        <f t="shared" si="3"/>
        <v>4.235294117647057</v>
      </c>
      <c r="I26" s="39">
        <f>COUNTIF(Vertices[Out-Degree],"&gt;= "&amp;H26)-COUNTIF(Vertices[Out-Degree],"&gt;="&amp;H27)</f>
        <v>0</v>
      </c>
      <c r="J26" s="38">
        <f t="shared" si="4"/>
        <v>504.94117623529394</v>
      </c>
      <c r="K26" s="39">
        <f>COUNTIF(Vertices[Betweenness Centrality],"&gt;= "&amp;J26)-COUNTIF(Vertices[Betweenness Centrality],"&gt;="&amp;J27)</f>
        <v>0</v>
      </c>
      <c r="L26" s="38">
        <f t="shared" si="5"/>
        <v>0.01329517647058824</v>
      </c>
      <c r="M26" s="39">
        <f>COUNTIF(Vertices[Closeness Centrality],"&gt;= "&amp;L26)-COUNTIF(Vertices[Closeness Centrality],"&gt;="&amp;L27)</f>
        <v>0</v>
      </c>
      <c r="N26" s="38">
        <f t="shared" si="6"/>
        <v>0.0516511764705882</v>
      </c>
      <c r="O26" s="39">
        <f>COUNTIF(Vertices[Eigenvector Centrality],"&gt;= "&amp;N26)-COUNTIF(Vertices[Eigenvector Centrality],"&gt;="&amp;N27)</f>
        <v>0</v>
      </c>
      <c r="P26" s="38">
        <f t="shared" si="7"/>
        <v>4.491815647058823</v>
      </c>
      <c r="Q26" s="39">
        <f>COUNTIF(Vertices[PageRank],"&gt;= "&amp;P26)-COUNTIF(Vertices[PageRank],"&gt;="&amp;P27)</f>
        <v>0</v>
      </c>
      <c r="R26" s="38">
        <f t="shared" si="8"/>
        <v>0.21176470588235288</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8"/>
      <c r="B27" s="118"/>
      <c r="D27" s="33">
        <f t="shared" si="1"/>
        <v>0</v>
      </c>
      <c r="E27" s="3">
        <f>COUNTIF(Vertices[Degree],"&gt;= "&amp;D27)-COUNTIF(Vertices[Degree],"&gt;="&amp;D28)</f>
        <v>0</v>
      </c>
      <c r="F27" s="40">
        <f t="shared" si="2"/>
        <v>28.676470588235304</v>
      </c>
      <c r="G27" s="41">
        <f>COUNTIF(Vertices[In-Degree],"&gt;= "&amp;F27)-COUNTIF(Vertices[In-Degree],"&gt;="&amp;F28)</f>
        <v>0</v>
      </c>
      <c r="H27" s="40">
        <f t="shared" si="3"/>
        <v>4.4117647058823515</v>
      </c>
      <c r="I27" s="41">
        <f>COUNTIF(Vertices[Out-Degree],"&gt;= "&amp;H27)-COUNTIF(Vertices[Out-Degree],"&gt;="&amp;H28)</f>
        <v>0</v>
      </c>
      <c r="J27" s="40">
        <f t="shared" si="4"/>
        <v>525.9803919117645</v>
      </c>
      <c r="K27" s="41">
        <f>COUNTIF(Vertices[Betweenness Centrality],"&gt;= "&amp;J27)-COUNTIF(Vertices[Betweenness Centrality],"&gt;="&amp;J28)</f>
        <v>0</v>
      </c>
      <c r="L27" s="40">
        <f t="shared" si="5"/>
        <v>0.013578558823529418</v>
      </c>
      <c r="M27" s="41">
        <f>COUNTIF(Vertices[Closeness Centrality],"&gt;= "&amp;L27)-COUNTIF(Vertices[Closeness Centrality],"&gt;="&amp;L28)</f>
        <v>0</v>
      </c>
      <c r="N27" s="40">
        <f t="shared" si="6"/>
        <v>0.05373655882352937</v>
      </c>
      <c r="O27" s="41">
        <f>COUNTIF(Vertices[Eigenvector Centrality],"&gt;= "&amp;N27)-COUNTIF(Vertices[Eigenvector Centrality],"&gt;="&amp;N28)</f>
        <v>0</v>
      </c>
      <c r="P27" s="40">
        <f t="shared" si="7"/>
        <v>4.665314882352941</v>
      </c>
      <c r="Q27" s="41">
        <f>COUNTIF(Vertices[PageRank],"&gt;= "&amp;P27)-COUNTIF(Vertices[PageRank],"&gt;="&amp;P28)</f>
        <v>0</v>
      </c>
      <c r="R27" s="40">
        <f t="shared" si="8"/>
        <v>0.22058823529411759</v>
      </c>
      <c r="S27" s="45">
        <f>COUNTIF(Vertices[Clustering Coefficient],"&gt;= "&amp;R27)-COUNTIF(Vertices[Clustering Coefficient],"&gt;="&amp;R28)</f>
        <v>0</v>
      </c>
      <c r="T27" s="40" t="e">
        <f ca="1" t="shared" si="9"/>
        <v>#REF!</v>
      </c>
      <c r="U27" s="41" t="e">
        <f ca="1" t="shared" si="10"/>
        <v>#REF!</v>
      </c>
    </row>
    <row r="28" spans="1:21" ht="15">
      <c r="A28" s="35" t="s">
        <v>983</v>
      </c>
      <c r="B28" s="35" t="s">
        <v>1025</v>
      </c>
      <c r="D28" s="33">
        <f t="shared" si="1"/>
        <v>0</v>
      </c>
      <c r="E28" s="3">
        <f>COUNTIF(Vertices[Degree],"&gt;= "&amp;D28)-COUNTIF(Vertices[Degree],"&gt;="&amp;D29)</f>
        <v>0</v>
      </c>
      <c r="F28" s="38">
        <f t="shared" si="2"/>
        <v>29.823529411764717</v>
      </c>
      <c r="G28" s="39">
        <f>COUNTIF(Vertices[In-Degree],"&gt;= "&amp;F28)-COUNTIF(Vertices[In-Degree],"&gt;="&amp;F29)</f>
        <v>0</v>
      </c>
      <c r="H28" s="38">
        <f t="shared" si="3"/>
        <v>4.588235294117646</v>
      </c>
      <c r="I28" s="39">
        <f>COUNTIF(Vertices[Out-Degree],"&gt;= "&amp;H28)-COUNTIF(Vertices[Out-Degree],"&gt;="&amp;H29)</f>
        <v>0</v>
      </c>
      <c r="J28" s="38">
        <f t="shared" si="4"/>
        <v>547.0196075882351</v>
      </c>
      <c r="K28" s="39">
        <f>COUNTIF(Vertices[Betweenness Centrality],"&gt;= "&amp;J28)-COUNTIF(Vertices[Betweenness Centrality],"&gt;="&amp;J29)</f>
        <v>0</v>
      </c>
      <c r="L28" s="38">
        <f t="shared" si="5"/>
        <v>0.013861941176470594</v>
      </c>
      <c r="M28" s="39">
        <f>COUNTIF(Vertices[Closeness Centrality],"&gt;= "&amp;L28)-COUNTIF(Vertices[Closeness Centrality],"&gt;="&amp;L29)</f>
        <v>0</v>
      </c>
      <c r="N28" s="38">
        <f t="shared" si="6"/>
        <v>0.055821941176470546</v>
      </c>
      <c r="O28" s="39">
        <f>COUNTIF(Vertices[Eigenvector Centrality],"&gt;= "&amp;N28)-COUNTIF(Vertices[Eigenvector Centrality],"&gt;="&amp;N29)</f>
        <v>0</v>
      </c>
      <c r="P28" s="38">
        <f t="shared" si="7"/>
        <v>4.838814117647059</v>
      </c>
      <c r="Q28" s="39">
        <f>COUNTIF(Vertices[PageRank],"&gt;= "&amp;P28)-COUNTIF(Vertices[PageRank],"&gt;="&amp;P29)</f>
        <v>0</v>
      </c>
      <c r="R28" s="38">
        <f t="shared" si="8"/>
        <v>0.2294117647058823</v>
      </c>
      <c r="S28" s="44">
        <f>COUNTIF(Vertices[Clustering Coefficient],"&gt;= "&amp;R28)-COUNTIF(Vertices[Clustering Coefficient],"&gt;="&amp;R29)</f>
        <v>0</v>
      </c>
      <c r="T28" s="38" t="e">
        <f ca="1" t="shared" si="9"/>
        <v>#REF!</v>
      </c>
      <c r="U28" s="39" t="e">
        <f ca="1" t="shared" si="10"/>
        <v>#REF!</v>
      </c>
    </row>
    <row r="29" spans="1:21" ht="15">
      <c r="A29" s="35" t="s">
        <v>984</v>
      </c>
      <c r="B29" s="35" t="s">
        <v>1026</v>
      </c>
      <c r="D29" s="33">
        <f t="shared" si="1"/>
        <v>0</v>
      </c>
      <c r="E29" s="3">
        <f>COUNTIF(Vertices[Degree],"&gt;= "&amp;D29)-COUNTIF(Vertices[Degree],"&gt;="&amp;D30)</f>
        <v>0</v>
      </c>
      <c r="F29" s="40">
        <f t="shared" si="2"/>
        <v>30.97058823529413</v>
      </c>
      <c r="G29" s="41">
        <f>COUNTIF(Vertices[In-Degree],"&gt;= "&amp;F29)-COUNTIF(Vertices[In-Degree],"&gt;="&amp;F30)</f>
        <v>0</v>
      </c>
      <c r="H29" s="40">
        <f t="shared" si="3"/>
        <v>4.76470588235294</v>
      </c>
      <c r="I29" s="41">
        <f>COUNTIF(Vertices[Out-Degree],"&gt;= "&amp;H29)-COUNTIF(Vertices[Out-Degree],"&gt;="&amp;H30)</f>
        <v>0</v>
      </c>
      <c r="J29" s="40">
        <f t="shared" si="4"/>
        <v>568.0588232647057</v>
      </c>
      <c r="K29" s="41">
        <f>COUNTIF(Vertices[Betweenness Centrality],"&gt;= "&amp;J29)-COUNTIF(Vertices[Betweenness Centrality],"&gt;="&amp;J30)</f>
        <v>0</v>
      </c>
      <c r="L29" s="40">
        <f t="shared" si="5"/>
        <v>0.014145323529411771</v>
      </c>
      <c r="M29" s="41">
        <f>COUNTIF(Vertices[Closeness Centrality],"&gt;= "&amp;L29)-COUNTIF(Vertices[Closeness Centrality],"&gt;="&amp;L30)</f>
        <v>0</v>
      </c>
      <c r="N29" s="40">
        <f t="shared" si="6"/>
        <v>0.05790732352941172</v>
      </c>
      <c r="O29" s="41">
        <f>COUNTIF(Vertices[Eigenvector Centrality],"&gt;= "&amp;N29)-COUNTIF(Vertices[Eigenvector Centrality],"&gt;="&amp;N30)</f>
        <v>0</v>
      </c>
      <c r="P29" s="40">
        <f t="shared" si="7"/>
        <v>5.012313352941177</v>
      </c>
      <c r="Q29" s="41">
        <f>COUNTIF(Vertices[PageRank],"&gt;= "&amp;P29)-COUNTIF(Vertices[PageRank],"&gt;="&amp;P30)</f>
        <v>0</v>
      </c>
      <c r="R29" s="40">
        <f t="shared" si="8"/>
        <v>0.238235294117647</v>
      </c>
      <c r="S29" s="45">
        <f>COUNTIF(Vertices[Clustering Coefficient],"&gt;= "&amp;R29)-COUNTIF(Vertices[Clustering Coefficient],"&gt;="&amp;R30)</f>
        <v>0</v>
      </c>
      <c r="T29" s="40" t="e">
        <f ca="1" t="shared" si="9"/>
        <v>#REF!</v>
      </c>
      <c r="U29" s="41" t="e">
        <f ca="1" t="shared" si="10"/>
        <v>#REF!</v>
      </c>
    </row>
    <row r="30" spans="1:21" ht="15">
      <c r="A30" s="118"/>
      <c r="B30" s="118"/>
      <c r="D30" s="33">
        <f t="shared" si="1"/>
        <v>0</v>
      </c>
      <c r="E30" s="3">
        <f>COUNTIF(Vertices[Degree],"&gt;= "&amp;D30)-COUNTIF(Vertices[Degree],"&gt;="&amp;D31)</f>
        <v>0</v>
      </c>
      <c r="F30" s="38">
        <f t="shared" si="2"/>
        <v>32.11764705882354</v>
      </c>
      <c r="G30" s="39">
        <f>COUNTIF(Vertices[In-Degree],"&gt;= "&amp;F30)-COUNTIF(Vertices[In-Degree],"&gt;="&amp;F31)</f>
        <v>0</v>
      </c>
      <c r="H30" s="38">
        <f t="shared" si="3"/>
        <v>4.941176470588235</v>
      </c>
      <c r="I30" s="39">
        <f>COUNTIF(Vertices[Out-Degree],"&gt;= "&amp;H30)-COUNTIF(Vertices[Out-Degree],"&gt;="&amp;H31)</f>
        <v>3</v>
      </c>
      <c r="J30" s="38">
        <f t="shared" si="4"/>
        <v>589.0980389411762</v>
      </c>
      <c r="K30" s="39">
        <f>COUNTIF(Vertices[Betweenness Centrality],"&gt;= "&amp;J30)-COUNTIF(Vertices[Betweenness Centrality],"&gt;="&amp;J31)</f>
        <v>0</v>
      </c>
      <c r="L30" s="38">
        <f t="shared" si="5"/>
        <v>0.014428705882352948</v>
      </c>
      <c r="M30" s="39">
        <f>COUNTIF(Vertices[Closeness Centrality],"&gt;= "&amp;L30)-COUNTIF(Vertices[Closeness Centrality],"&gt;="&amp;L31)</f>
        <v>0</v>
      </c>
      <c r="N30" s="38">
        <f t="shared" si="6"/>
        <v>0.05999270588235289</v>
      </c>
      <c r="O30" s="39">
        <f>COUNTIF(Vertices[Eigenvector Centrality],"&gt;= "&amp;N30)-COUNTIF(Vertices[Eigenvector Centrality],"&gt;="&amp;N31)</f>
        <v>0</v>
      </c>
      <c r="P30" s="38">
        <f t="shared" si="7"/>
        <v>5.1858125882352955</v>
      </c>
      <c r="Q30" s="39">
        <f>COUNTIF(Vertices[PageRank],"&gt;= "&amp;P30)-COUNTIF(Vertices[PageRank],"&gt;="&amp;P31)</f>
        <v>0</v>
      </c>
      <c r="R30" s="38">
        <f t="shared" si="8"/>
        <v>0.2470588235294117</v>
      </c>
      <c r="S30" s="44">
        <f>COUNTIF(Vertices[Clustering Coefficient],"&gt;= "&amp;R30)-COUNTIF(Vertices[Clustering Coefficient],"&gt;="&amp;R31)</f>
        <v>2</v>
      </c>
      <c r="T30" s="38" t="e">
        <f ca="1" t="shared" si="9"/>
        <v>#REF!</v>
      </c>
      <c r="U30" s="39" t="e">
        <f ca="1" t="shared" si="10"/>
        <v>#REF!</v>
      </c>
    </row>
    <row r="31" spans="1:21" ht="15">
      <c r="A31" s="35" t="s">
        <v>985</v>
      </c>
      <c r="B31" s="35" t="s">
        <v>1020</v>
      </c>
      <c r="D31" s="33">
        <f t="shared" si="1"/>
        <v>0</v>
      </c>
      <c r="E31" s="3">
        <f>COUNTIF(Vertices[Degree],"&gt;= "&amp;D31)-COUNTIF(Vertices[Degree],"&gt;="&amp;D32)</f>
        <v>0</v>
      </c>
      <c r="F31" s="40">
        <f t="shared" si="2"/>
        <v>33.264705882352956</v>
      </c>
      <c r="G31" s="41">
        <f>COUNTIF(Vertices[In-Degree],"&gt;= "&amp;F31)-COUNTIF(Vertices[In-Degree],"&gt;="&amp;F32)</f>
        <v>0</v>
      </c>
      <c r="H31" s="40">
        <f t="shared" si="3"/>
        <v>5.117647058823529</v>
      </c>
      <c r="I31" s="41">
        <f>COUNTIF(Vertices[Out-Degree],"&gt;= "&amp;H31)-COUNTIF(Vertices[Out-Degree],"&gt;="&amp;H32)</f>
        <v>0</v>
      </c>
      <c r="J31" s="40">
        <f t="shared" si="4"/>
        <v>610.1372546176468</v>
      </c>
      <c r="K31" s="41">
        <f>COUNTIF(Vertices[Betweenness Centrality],"&gt;= "&amp;J31)-COUNTIF(Vertices[Betweenness Centrality],"&gt;="&amp;J32)</f>
        <v>0</v>
      </c>
      <c r="L31" s="40">
        <f t="shared" si="5"/>
        <v>0.014712088235294124</v>
      </c>
      <c r="M31" s="41">
        <f>COUNTIF(Vertices[Closeness Centrality],"&gt;= "&amp;L31)-COUNTIF(Vertices[Closeness Centrality],"&gt;="&amp;L32)</f>
        <v>0</v>
      </c>
      <c r="N31" s="40">
        <f t="shared" si="6"/>
        <v>0.062078088235294066</v>
      </c>
      <c r="O31" s="41">
        <f>COUNTIF(Vertices[Eigenvector Centrality],"&gt;= "&amp;N31)-COUNTIF(Vertices[Eigenvector Centrality],"&gt;="&amp;N32)</f>
        <v>0</v>
      </c>
      <c r="P31" s="40">
        <f t="shared" si="7"/>
        <v>5.3593118235294135</v>
      </c>
      <c r="Q31" s="41">
        <f>COUNTIF(Vertices[PageRank],"&gt;= "&amp;P31)-COUNTIF(Vertices[PageRank],"&gt;="&amp;P32)</f>
        <v>0</v>
      </c>
      <c r="R31" s="40">
        <f t="shared" si="8"/>
        <v>0.2558823529411764</v>
      </c>
      <c r="S31" s="45">
        <f>COUNTIF(Vertices[Clustering Coefficient],"&gt;= "&amp;R31)-COUNTIF(Vertices[Clustering Coefficient],"&gt;="&amp;R32)</f>
        <v>0</v>
      </c>
      <c r="T31" s="40" t="e">
        <f ca="1" t="shared" si="9"/>
        <v>#REF!</v>
      </c>
      <c r="U31" s="41" t="e">
        <f ca="1" t="shared" si="10"/>
        <v>#REF!</v>
      </c>
    </row>
    <row r="32" spans="1:21" ht="15">
      <c r="A32" s="35" t="s">
        <v>986</v>
      </c>
      <c r="B32" s="35" t="s">
        <v>1021</v>
      </c>
      <c r="D32" s="33">
        <f t="shared" si="1"/>
        <v>0</v>
      </c>
      <c r="E32" s="3">
        <f>COUNTIF(Vertices[Degree],"&gt;= "&amp;D32)-COUNTIF(Vertices[Degree],"&gt;="&amp;D33)</f>
        <v>0</v>
      </c>
      <c r="F32" s="38">
        <f t="shared" si="2"/>
        <v>34.41176470588237</v>
      </c>
      <c r="G32" s="39">
        <f>COUNTIF(Vertices[In-Degree],"&gt;= "&amp;F32)-COUNTIF(Vertices[In-Degree],"&gt;="&amp;F33)</f>
        <v>0</v>
      </c>
      <c r="H32" s="38">
        <f t="shared" si="3"/>
        <v>5.294117647058823</v>
      </c>
      <c r="I32" s="39">
        <f>COUNTIF(Vertices[Out-Degree],"&gt;= "&amp;H32)-COUNTIF(Vertices[Out-Degree],"&gt;="&amp;H33)</f>
        <v>0</v>
      </c>
      <c r="J32" s="38">
        <f t="shared" si="4"/>
        <v>631.1764702941174</v>
      </c>
      <c r="K32" s="39">
        <f>COUNTIF(Vertices[Betweenness Centrality],"&gt;= "&amp;J32)-COUNTIF(Vertices[Betweenness Centrality],"&gt;="&amp;J33)</f>
        <v>0</v>
      </c>
      <c r="L32" s="38">
        <f t="shared" si="5"/>
        <v>0.014995470588235301</v>
      </c>
      <c r="M32" s="39">
        <f>COUNTIF(Vertices[Closeness Centrality],"&gt;= "&amp;L32)-COUNTIF(Vertices[Closeness Centrality],"&gt;="&amp;L33)</f>
        <v>0</v>
      </c>
      <c r="N32" s="38">
        <f t="shared" si="6"/>
        <v>0.06416347058823524</v>
      </c>
      <c r="O32" s="39">
        <f>COUNTIF(Vertices[Eigenvector Centrality],"&gt;= "&amp;N32)-COUNTIF(Vertices[Eigenvector Centrality],"&gt;="&amp;N33)</f>
        <v>2</v>
      </c>
      <c r="P32" s="38">
        <f t="shared" si="7"/>
        <v>5.5328110588235315</v>
      </c>
      <c r="Q32" s="39">
        <f>COUNTIF(Vertices[PageRank],"&gt;= "&amp;P32)-COUNTIF(Vertices[PageRank],"&gt;="&amp;P33)</f>
        <v>0</v>
      </c>
      <c r="R32" s="38">
        <f t="shared" si="8"/>
        <v>0.2647058823529411</v>
      </c>
      <c r="S32" s="44">
        <f>COUNTIF(Vertices[Clustering Coefficient],"&gt;= "&amp;R32)-COUNTIF(Vertices[Clustering Coefficient],"&gt;="&amp;R33)</f>
        <v>0</v>
      </c>
      <c r="T32" s="38" t="e">
        <f ca="1" t="shared" si="9"/>
        <v>#REF!</v>
      </c>
      <c r="U32" s="39" t="e">
        <f ca="1" t="shared" si="10"/>
        <v>#REF!</v>
      </c>
    </row>
    <row r="33" spans="1:21" ht="409.5">
      <c r="A33" s="35" t="s">
        <v>987</v>
      </c>
      <c r="B33" s="54" t="s">
        <v>1022</v>
      </c>
      <c r="D33" s="33">
        <f t="shared" si="1"/>
        <v>0</v>
      </c>
      <c r="E33" s="3">
        <f>COUNTIF(Vertices[Degree],"&gt;= "&amp;D33)-COUNTIF(Vertices[Degree],"&gt;="&amp;D34)</f>
        <v>0</v>
      </c>
      <c r="F33" s="40">
        <f t="shared" si="2"/>
        <v>35.55882352941178</v>
      </c>
      <c r="G33" s="41">
        <f>COUNTIF(Vertices[In-Degree],"&gt;= "&amp;F33)-COUNTIF(Vertices[In-Degree],"&gt;="&amp;F34)</f>
        <v>0</v>
      </c>
      <c r="H33" s="40">
        <f t="shared" si="3"/>
        <v>5.470588235294118</v>
      </c>
      <c r="I33" s="41">
        <f>COUNTIF(Vertices[Out-Degree],"&gt;= "&amp;H33)-COUNTIF(Vertices[Out-Degree],"&gt;="&amp;H34)</f>
        <v>0</v>
      </c>
      <c r="J33" s="40">
        <f t="shared" si="4"/>
        <v>652.215685970588</v>
      </c>
      <c r="K33" s="41">
        <f>COUNTIF(Vertices[Betweenness Centrality],"&gt;= "&amp;J33)-COUNTIF(Vertices[Betweenness Centrality],"&gt;="&amp;J34)</f>
        <v>0</v>
      </c>
      <c r="L33" s="40">
        <f t="shared" si="5"/>
        <v>0.015278852941176478</v>
      </c>
      <c r="M33" s="41">
        <f>COUNTIF(Vertices[Closeness Centrality],"&gt;= "&amp;L33)-COUNTIF(Vertices[Closeness Centrality],"&gt;="&amp;L34)</f>
        <v>0</v>
      </c>
      <c r="N33" s="40">
        <f t="shared" si="6"/>
        <v>0.06624885294117641</v>
      </c>
      <c r="O33" s="41">
        <f>COUNTIF(Vertices[Eigenvector Centrality],"&gt;= "&amp;N33)-COUNTIF(Vertices[Eigenvector Centrality],"&gt;="&amp;N34)</f>
        <v>0</v>
      </c>
      <c r="P33" s="40">
        <f t="shared" si="7"/>
        <v>5.70631029411765</v>
      </c>
      <c r="Q33" s="41">
        <f>COUNTIF(Vertices[PageRank],"&gt;= "&amp;P33)-COUNTIF(Vertices[PageRank],"&gt;="&amp;P34)</f>
        <v>0</v>
      </c>
      <c r="R33" s="40">
        <f t="shared" si="8"/>
        <v>0.27352941176470585</v>
      </c>
      <c r="S33" s="45">
        <f>COUNTIF(Vertices[Clustering Coefficient],"&gt;= "&amp;R33)-COUNTIF(Vertices[Clustering Coefficient],"&gt;="&amp;R34)</f>
        <v>0</v>
      </c>
      <c r="T33" s="40" t="e">
        <f ca="1" t="shared" si="9"/>
        <v>#REF!</v>
      </c>
      <c r="U33" s="41" t="e">
        <f ca="1" t="shared" si="10"/>
        <v>#REF!</v>
      </c>
    </row>
    <row r="34" spans="1:21" ht="15">
      <c r="A34" s="35" t="s">
        <v>988</v>
      </c>
      <c r="B34" s="35" t="s">
        <v>1023</v>
      </c>
      <c r="D34" s="33">
        <f t="shared" si="1"/>
        <v>0</v>
      </c>
      <c r="E34" s="3">
        <f>COUNTIF(Vertices[Degree],"&gt;= "&amp;D34)-COUNTIF(Vertices[Degree],"&gt;="&amp;D35)</f>
        <v>0</v>
      </c>
      <c r="F34" s="38">
        <f t="shared" si="2"/>
        <v>36.705882352941195</v>
      </c>
      <c r="G34" s="39">
        <f>COUNTIF(Vertices[In-Degree],"&gt;= "&amp;F34)-COUNTIF(Vertices[In-Degree],"&gt;="&amp;F35)</f>
        <v>0</v>
      </c>
      <c r="H34" s="38">
        <f t="shared" si="3"/>
        <v>5.647058823529412</v>
      </c>
      <c r="I34" s="39">
        <f>COUNTIF(Vertices[Out-Degree],"&gt;= "&amp;H34)-COUNTIF(Vertices[Out-Degree],"&gt;="&amp;H35)</f>
        <v>0</v>
      </c>
      <c r="J34" s="38">
        <f t="shared" si="4"/>
        <v>673.2549016470585</v>
      </c>
      <c r="K34" s="39">
        <f>COUNTIF(Vertices[Betweenness Centrality],"&gt;= "&amp;J34)-COUNTIF(Vertices[Betweenness Centrality],"&gt;="&amp;J35)</f>
        <v>0</v>
      </c>
      <c r="L34" s="38">
        <f t="shared" si="5"/>
        <v>0.015562235294117654</v>
      </c>
      <c r="M34" s="39">
        <f>COUNTIF(Vertices[Closeness Centrality],"&gt;= "&amp;L34)-COUNTIF(Vertices[Closeness Centrality],"&gt;="&amp;L35)</f>
        <v>0</v>
      </c>
      <c r="N34" s="38">
        <f t="shared" si="6"/>
        <v>0.06833423529411758</v>
      </c>
      <c r="O34" s="39">
        <f>COUNTIF(Vertices[Eigenvector Centrality],"&gt;= "&amp;N34)-COUNTIF(Vertices[Eigenvector Centrality],"&gt;="&amp;N35)</f>
        <v>0</v>
      </c>
      <c r="P34" s="38">
        <f t="shared" si="7"/>
        <v>5.879809529411768</v>
      </c>
      <c r="Q34" s="39">
        <f>COUNTIF(Vertices[PageRank],"&gt;= "&amp;P34)-COUNTIF(Vertices[PageRank],"&gt;="&amp;P35)</f>
        <v>0</v>
      </c>
      <c r="R34" s="38">
        <f t="shared" si="8"/>
        <v>0.2823529411764706</v>
      </c>
      <c r="S34" s="44">
        <f>COUNTIF(Vertices[Clustering Coefficient],"&gt;= "&amp;R34)-COUNTIF(Vertices[Clustering Coefficient],"&gt;="&amp;R35)</f>
        <v>0</v>
      </c>
      <c r="T34" s="38" t="e">
        <f ca="1" t="shared" si="9"/>
        <v>#REF!</v>
      </c>
      <c r="U34" s="39" t="e">
        <f ca="1" t="shared" si="10"/>
        <v>#REF!</v>
      </c>
    </row>
    <row r="35" spans="1:21" ht="15">
      <c r="A35" s="35" t="s">
        <v>989</v>
      </c>
      <c r="B35" s="35" t="s">
        <v>1024</v>
      </c>
      <c r="D35" s="33">
        <f t="shared" si="1"/>
        <v>0</v>
      </c>
      <c r="E35" s="3">
        <f>COUNTIF(Vertices[Degree],"&gt;= "&amp;D35)-COUNTIF(Vertices[Degree],"&gt;="&amp;D36)</f>
        <v>0</v>
      </c>
      <c r="F35" s="40">
        <f t="shared" si="2"/>
        <v>37.85294117647061</v>
      </c>
      <c r="G35" s="41">
        <f>COUNTIF(Vertices[In-Degree],"&gt;= "&amp;F35)-COUNTIF(Vertices[In-Degree],"&gt;="&amp;F36)</f>
        <v>2</v>
      </c>
      <c r="H35" s="40">
        <f t="shared" si="3"/>
        <v>5.8235294117647065</v>
      </c>
      <c r="I35" s="41">
        <f>COUNTIF(Vertices[Out-Degree],"&gt;= "&amp;H35)-COUNTIF(Vertices[Out-Degree],"&gt;="&amp;H36)</f>
        <v>0</v>
      </c>
      <c r="J35" s="40">
        <f t="shared" si="4"/>
        <v>694.2941173235291</v>
      </c>
      <c r="K35" s="41">
        <f>COUNTIF(Vertices[Betweenness Centrality],"&gt;= "&amp;J35)-COUNTIF(Vertices[Betweenness Centrality],"&gt;="&amp;J36)</f>
        <v>0</v>
      </c>
      <c r="L35" s="40">
        <f t="shared" si="5"/>
        <v>0.01584561764705883</v>
      </c>
      <c r="M35" s="41">
        <f>COUNTIF(Vertices[Closeness Centrality],"&gt;= "&amp;L35)-COUNTIF(Vertices[Closeness Centrality],"&gt;="&amp;L36)</f>
        <v>0</v>
      </c>
      <c r="N35" s="40">
        <f t="shared" si="6"/>
        <v>0.07041961764705876</v>
      </c>
      <c r="O35" s="41">
        <f>COUNTIF(Vertices[Eigenvector Centrality],"&gt;= "&amp;N35)-COUNTIF(Vertices[Eigenvector Centrality],"&gt;="&amp;N36)</f>
        <v>0</v>
      </c>
      <c r="P35" s="40">
        <f t="shared" si="7"/>
        <v>6.053308764705886</v>
      </c>
      <c r="Q35" s="41">
        <f>COUNTIF(Vertices[PageRank],"&gt;= "&amp;P35)-COUNTIF(Vertices[PageRank],"&gt;="&amp;P36)</f>
        <v>2</v>
      </c>
      <c r="R35" s="40">
        <f t="shared" si="8"/>
        <v>0.2911764705882353</v>
      </c>
      <c r="S35" s="45">
        <f>COUNTIF(Vertices[Clustering Coefficient],"&gt;= "&amp;R35)-COUNTIF(Vertices[Clustering Coefficient],"&gt;="&amp;R36)</f>
        <v>0</v>
      </c>
      <c r="T35" s="40" t="e">
        <f ca="1" t="shared" si="9"/>
        <v>#REF!</v>
      </c>
      <c r="U35" s="41" t="e">
        <f ca="1" t="shared" si="10"/>
        <v>#REF!</v>
      </c>
    </row>
    <row r="36" spans="1:21" ht="15">
      <c r="A36" s="35" t="s">
        <v>990</v>
      </c>
      <c r="B36" s="35" t="s">
        <v>704</v>
      </c>
      <c r="D36" s="33">
        <f>MAX(Vertices[Degree])</f>
        <v>0</v>
      </c>
      <c r="E36" s="3">
        <f>COUNTIF(Vertices[Degree],"&gt;= "&amp;D36)-COUNTIF(Vertices[Degree],"&gt;="&amp;#REF!)</f>
        <v>0</v>
      </c>
      <c r="F36" s="42">
        <f>MAX(Vertices[In-Degree])</f>
        <v>39</v>
      </c>
      <c r="G36" s="43">
        <f>COUNTIF(Vertices[In-Degree],"&gt;= "&amp;F36)-COUNTIF(Vertices[In-Degree],"&gt;="&amp;#REF!)</f>
        <v>1</v>
      </c>
      <c r="H36" s="42">
        <f>MAX(Vertices[Out-Degree])</f>
        <v>6</v>
      </c>
      <c r="I36" s="43">
        <f>COUNTIF(Vertices[Out-Degree],"&gt;= "&amp;H36)-COUNTIF(Vertices[Out-Degree],"&gt;="&amp;#REF!)</f>
        <v>1</v>
      </c>
      <c r="J36" s="42">
        <f>MAX(Vertices[Betweenness Centrality])</f>
        <v>715.333333</v>
      </c>
      <c r="K36" s="43">
        <f>COUNTIF(Vertices[Betweenness Centrality],"&gt;= "&amp;J36)-COUNTIF(Vertices[Betweenness Centrality],"&gt;="&amp;#REF!)</f>
        <v>3</v>
      </c>
      <c r="L36" s="42">
        <f>MAX(Vertices[Closeness Centrality])</f>
        <v>0.016129</v>
      </c>
      <c r="M36" s="43">
        <f>COUNTIF(Vertices[Closeness Centrality],"&gt;= "&amp;L36)-COUNTIF(Vertices[Closeness Centrality],"&gt;="&amp;#REF!)</f>
        <v>3</v>
      </c>
      <c r="N36" s="42">
        <f>MAX(Vertices[Eigenvector Centrality])</f>
        <v>0.072505</v>
      </c>
      <c r="O36" s="43">
        <f>COUNTIF(Vertices[Eigenvector Centrality],"&gt;= "&amp;N36)-COUNTIF(Vertices[Eigenvector Centrality],"&gt;="&amp;#REF!)</f>
        <v>1</v>
      </c>
      <c r="P36" s="42">
        <f>MAX(Vertices[PageRank])</f>
        <v>6.226808</v>
      </c>
      <c r="Q36" s="43">
        <f>COUNTIF(Vertices[PageRank],"&gt;= "&amp;P36)-COUNTIF(Vertices[PageRank],"&gt;="&amp;#REF!)</f>
        <v>1</v>
      </c>
      <c r="R36" s="42">
        <f>MAX(Vertices[Clustering Coefficient])</f>
        <v>0.3</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991</v>
      </c>
      <c r="B37" s="35" t="s">
        <v>704</v>
      </c>
    </row>
    <row r="38" spans="1:2" ht="15">
      <c r="A38" s="35" t="s">
        <v>992</v>
      </c>
      <c r="B38" s="35" t="s">
        <v>704</v>
      </c>
    </row>
    <row r="39" spans="1:2" ht="15">
      <c r="A39" s="35" t="s">
        <v>993</v>
      </c>
      <c r="B39" s="35" t="s">
        <v>466</v>
      </c>
    </row>
    <row r="40" spans="1:2" ht="15">
      <c r="A40" s="35" t="s">
        <v>21</v>
      </c>
      <c r="B40" s="35"/>
    </row>
    <row r="41" spans="1:2" ht="15">
      <c r="A41" s="35" t="s">
        <v>994</v>
      </c>
      <c r="B41" s="35" t="s">
        <v>466</v>
      </c>
    </row>
    <row r="42" spans="1:2" ht="15">
      <c r="A42" s="35" t="s">
        <v>995</v>
      </c>
      <c r="B42" s="35"/>
    </row>
    <row r="43" spans="1:2" ht="15">
      <c r="A43" s="35" t="s">
        <v>996</v>
      </c>
      <c r="B43"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39</v>
      </c>
    </row>
    <row r="83" spans="1:2" ht="15">
      <c r="A83" s="34" t="s">
        <v>90</v>
      </c>
      <c r="B83" s="48">
        <f>_xlfn.IFERROR(AVERAGE(Vertices[In-Degree]),NoMetricMessage)</f>
        <v>2.843137254901961</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6</v>
      </c>
    </row>
    <row r="97" spans="1:2" ht="15">
      <c r="A97" s="34" t="s">
        <v>96</v>
      </c>
      <c r="B97" s="48">
        <f>_xlfn.IFERROR(AVERAGE(Vertices[Out-Degree]),NoMetricMessage)</f>
        <v>2.843137254901961</v>
      </c>
    </row>
    <row r="98" spans="1:2" ht="15">
      <c r="A98" s="34" t="s">
        <v>97</v>
      </c>
      <c r="B98" s="48">
        <f>_xlfn.IFERROR(MEDIAN(Vertices[Out-Degree]),NoMetricMessage)</f>
        <v>3</v>
      </c>
    </row>
    <row r="109" spans="1:2" ht="15">
      <c r="A109" s="34" t="s">
        <v>100</v>
      </c>
      <c r="B109" s="48">
        <f>IF(COUNT(Vertices[Betweenness Centrality])&gt;0,J2,NoMetricMessage)</f>
        <v>0</v>
      </c>
    </row>
    <row r="110" spans="1:2" ht="15">
      <c r="A110" s="34" t="s">
        <v>101</v>
      </c>
      <c r="B110" s="48">
        <f>IF(COUNT(Vertices[Betweenness Centrality])&gt;0,J36,NoMetricMessage)</f>
        <v>715.333333</v>
      </c>
    </row>
    <row r="111" spans="1:2" ht="15">
      <c r="A111" s="34" t="s">
        <v>102</v>
      </c>
      <c r="B111" s="48">
        <f>_xlfn.IFERROR(AVERAGE(Vertices[Betweenness Centrality]),NoMetricMessage)</f>
        <v>61.843137235294016</v>
      </c>
    </row>
    <row r="112" spans="1:2" ht="15">
      <c r="A112" s="34" t="s">
        <v>103</v>
      </c>
      <c r="B112" s="48">
        <f>_xlfn.IFERROR(MEDIAN(Vertices[Betweenness Centrality]),NoMetricMessage)</f>
        <v>4.824561</v>
      </c>
    </row>
    <row r="123" spans="1:2" ht="15">
      <c r="A123" s="34" t="s">
        <v>106</v>
      </c>
      <c r="B123" s="48">
        <f>IF(COUNT(Vertices[Closeness Centrality])&gt;0,L2,NoMetricMessage)</f>
        <v>0.006494</v>
      </c>
    </row>
    <row r="124" spans="1:2" ht="15">
      <c r="A124" s="34" t="s">
        <v>107</v>
      </c>
      <c r="B124" s="48">
        <f>IF(COUNT(Vertices[Closeness Centrality])&gt;0,L36,NoMetricMessage)</f>
        <v>0.016129</v>
      </c>
    </row>
    <row r="125" spans="1:2" ht="15">
      <c r="A125" s="34" t="s">
        <v>108</v>
      </c>
      <c r="B125" s="48">
        <f>_xlfn.IFERROR(AVERAGE(Vertices[Closeness Centrality]),NoMetricMessage)</f>
        <v>0.009319313725490195</v>
      </c>
    </row>
    <row r="126" spans="1:2" ht="15">
      <c r="A126" s="34" t="s">
        <v>109</v>
      </c>
      <c r="B126" s="48">
        <f>_xlfn.IFERROR(MEDIAN(Vertices[Closeness Centrality]),NoMetricMessage)</f>
        <v>0.009524</v>
      </c>
    </row>
    <row r="137" spans="1:2" ht="15">
      <c r="A137" s="34" t="s">
        <v>112</v>
      </c>
      <c r="B137" s="48">
        <f>IF(COUNT(Vertices[Eigenvector Centrality])&gt;0,N2,NoMetricMessage)</f>
        <v>0.001602</v>
      </c>
    </row>
    <row r="138" spans="1:2" ht="15">
      <c r="A138" s="34" t="s">
        <v>113</v>
      </c>
      <c r="B138" s="48">
        <f>IF(COUNT(Vertices[Eigenvector Centrality])&gt;0,N36,NoMetricMessage)</f>
        <v>0.072505</v>
      </c>
    </row>
    <row r="139" spans="1:2" ht="15">
      <c r="A139" s="34" t="s">
        <v>114</v>
      </c>
      <c r="B139" s="48">
        <f>_xlfn.IFERROR(AVERAGE(Vertices[Eigenvector Centrality]),NoMetricMessage)</f>
        <v>0.019607960784313726</v>
      </c>
    </row>
    <row r="140" spans="1:2" ht="15">
      <c r="A140" s="34" t="s">
        <v>115</v>
      </c>
      <c r="B140" s="48">
        <f>_xlfn.IFERROR(MEDIAN(Vertices[Eigenvector Centrality]),NoMetricMessage)</f>
        <v>0.018226</v>
      </c>
    </row>
    <row r="151" spans="1:2" ht="15">
      <c r="A151" s="34" t="s">
        <v>140</v>
      </c>
      <c r="B151" s="48">
        <f>IF(COUNT(Vertices[PageRank])&gt;0,P2,NoMetricMessage)</f>
        <v>0.327834</v>
      </c>
    </row>
    <row r="152" spans="1:2" ht="15">
      <c r="A152" s="34" t="s">
        <v>141</v>
      </c>
      <c r="B152" s="48">
        <f>IF(COUNT(Vertices[PageRank])&gt;0,P36,NoMetricMessage)</f>
        <v>6.226808</v>
      </c>
    </row>
    <row r="153" spans="1:2" ht="15">
      <c r="A153" s="34" t="s">
        <v>142</v>
      </c>
      <c r="B153" s="48">
        <f>_xlfn.IFERROR(AVERAGE(Vertices[PageRank]),NoMetricMessage)</f>
        <v>0.999990470588236</v>
      </c>
    </row>
    <row r="154" spans="1:2" ht="15">
      <c r="A154" s="34" t="s">
        <v>143</v>
      </c>
      <c r="B154" s="48">
        <f>_xlfn.IFERROR(MEDIAN(Vertices[PageRank]),NoMetricMessage)</f>
        <v>0.688056</v>
      </c>
    </row>
    <row r="165" spans="1:2" ht="15">
      <c r="A165" s="34" t="s">
        <v>118</v>
      </c>
      <c r="B165" s="48">
        <f>IF(COUNT(Vertices[Clustering Coefficient])&gt;0,R2,NoMetricMessage)</f>
        <v>0</v>
      </c>
    </row>
    <row r="166" spans="1:2" ht="15">
      <c r="A166" s="34" t="s">
        <v>119</v>
      </c>
      <c r="B166" s="48">
        <f>IF(COUNT(Vertices[Clustering Coefficient])&gt;0,R36,NoMetricMessage)</f>
        <v>0.3</v>
      </c>
    </row>
    <row r="167" spans="1:2" ht="15">
      <c r="A167" s="34" t="s">
        <v>120</v>
      </c>
      <c r="B167" s="48">
        <f>_xlfn.IFERROR(AVERAGE(Vertices[Clustering Coefficient]),NoMetricMessage)</f>
        <v>0.04385513332881755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65" t="s">
        <v>196</v>
      </c>
    </row>
    <row r="9" spans="1:11" ht="409.5">
      <c r="A9"/>
      <c r="B9">
        <v>3</v>
      </c>
      <c r="C9">
        <v>4</v>
      </c>
      <c r="D9" t="s">
        <v>62</v>
      </c>
      <c r="E9" t="s">
        <v>62</v>
      </c>
      <c r="H9" t="s">
        <v>74</v>
      </c>
      <c r="J9" t="s">
        <v>176</v>
      </c>
      <c r="K9" s="13" t="s">
        <v>197</v>
      </c>
    </row>
    <row r="10" spans="1:11" ht="15">
      <c r="A10"/>
      <c r="B10">
        <v>4</v>
      </c>
      <c r="D10" t="s">
        <v>63</v>
      </c>
      <c r="E10" t="s">
        <v>63</v>
      </c>
      <c r="H10" t="s">
        <v>75</v>
      </c>
      <c r="J10" t="s">
        <v>177</v>
      </c>
      <c r="K10" t="s">
        <v>198</v>
      </c>
    </row>
    <row r="11" spans="1:11" ht="15">
      <c r="A11"/>
      <c r="B11">
        <v>5</v>
      </c>
      <c r="D11" t="s">
        <v>46</v>
      </c>
      <c r="E11">
        <v>1</v>
      </c>
      <c r="H11" t="s">
        <v>76</v>
      </c>
      <c r="J11" t="s">
        <v>178</v>
      </c>
      <c r="K11" t="s">
        <v>199</v>
      </c>
    </row>
    <row r="12" spans="1:11" ht="15">
      <c r="A12"/>
      <c r="B12"/>
      <c r="D12" t="s">
        <v>64</v>
      </c>
      <c r="E12">
        <v>2</v>
      </c>
      <c r="H12">
        <v>0</v>
      </c>
      <c r="J12" t="s">
        <v>179</v>
      </c>
      <c r="K12" t="s">
        <v>200</v>
      </c>
    </row>
    <row r="13" spans="1:11" ht="15">
      <c r="A13"/>
      <c r="B13"/>
      <c r="D13">
        <v>1</v>
      </c>
      <c r="E13">
        <v>3</v>
      </c>
      <c r="H13">
        <v>1</v>
      </c>
      <c r="J13" t="s">
        <v>180</v>
      </c>
      <c r="K13" t="s">
        <v>201</v>
      </c>
    </row>
    <row r="14" spans="4:11" ht="15">
      <c r="D14">
        <v>2</v>
      </c>
      <c r="E14">
        <v>4</v>
      </c>
      <c r="H14">
        <v>2</v>
      </c>
      <c r="J14" t="s">
        <v>181</v>
      </c>
      <c r="K14" t="s">
        <v>202</v>
      </c>
    </row>
    <row r="15" spans="4:11" ht="15">
      <c r="D15">
        <v>3</v>
      </c>
      <c r="E15">
        <v>5</v>
      </c>
      <c r="H15">
        <v>3</v>
      </c>
      <c r="J15" t="s">
        <v>182</v>
      </c>
      <c r="K15" t="s">
        <v>203</v>
      </c>
    </row>
    <row r="16" spans="4:11" ht="15">
      <c r="D16">
        <v>4</v>
      </c>
      <c r="E16">
        <v>6</v>
      </c>
      <c r="H16">
        <v>4</v>
      </c>
      <c r="J16" t="s">
        <v>183</v>
      </c>
      <c r="K16" t="s">
        <v>204</v>
      </c>
    </row>
    <row r="17" spans="4:11" ht="15">
      <c r="D17">
        <v>5</v>
      </c>
      <c r="E17">
        <v>7</v>
      </c>
      <c r="H17">
        <v>5</v>
      </c>
      <c r="J17" t="s">
        <v>184</v>
      </c>
      <c r="K17" t="s">
        <v>205</v>
      </c>
    </row>
    <row r="18" spans="4:11" ht="15">
      <c r="D18">
        <v>6</v>
      </c>
      <c r="E18">
        <v>8</v>
      </c>
      <c r="H18">
        <v>6</v>
      </c>
      <c r="J18" t="s">
        <v>185</v>
      </c>
      <c r="K18" t="s">
        <v>206</v>
      </c>
    </row>
    <row r="19" spans="4:11" ht="15">
      <c r="D19">
        <v>7</v>
      </c>
      <c r="E19">
        <v>9</v>
      </c>
      <c r="H19">
        <v>7</v>
      </c>
      <c r="J19" t="s">
        <v>186</v>
      </c>
      <c r="K19" t="s">
        <v>207</v>
      </c>
    </row>
    <row r="20" spans="4:11" ht="409.5">
      <c r="D20">
        <v>8</v>
      </c>
      <c r="H20">
        <v>8</v>
      </c>
      <c r="J20" t="s">
        <v>187</v>
      </c>
      <c r="K20" s="13" t="s">
        <v>208</v>
      </c>
    </row>
    <row r="21" spans="4:11" ht="409.5">
      <c r="D21">
        <v>9</v>
      </c>
      <c r="H21">
        <v>9</v>
      </c>
      <c r="J21" t="s">
        <v>188</v>
      </c>
      <c r="K21" s="13" t="s">
        <v>1019</v>
      </c>
    </row>
    <row r="22" spans="4:11" ht="409.5">
      <c r="D22">
        <v>10</v>
      </c>
      <c r="J22" t="s">
        <v>189</v>
      </c>
      <c r="K22" s="13" t="s">
        <v>190</v>
      </c>
    </row>
    <row r="23" spans="4:11" ht="15">
      <c r="D23">
        <v>11</v>
      </c>
      <c r="J23" t="s">
        <v>191</v>
      </c>
      <c r="K23">
        <v>18</v>
      </c>
    </row>
    <row r="24" spans="10:11" ht="15">
      <c r="J24" t="s">
        <v>209</v>
      </c>
      <c r="K24" t="s">
        <v>1016</v>
      </c>
    </row>
    <row r="25" spans="10:11" ht="409.5">
      <c r="J25" t="s">
        <v>210</v>
      </c>
      <c r="K25" s="13" t="s">
        <v>1018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74A65-52E9-4456-8A9D-E7FF390772A0}">
  <dimension ref="A1:J73"/>
  <sheetViews>
    <sheetView workbookViewId="0" topLeftCell="A1"/>
  </sheetViews>
  <sheetFormatPr defaultColWidth="9.140625" defaultRowHeight="15"/>
  <cols>
    <col min="1" max="1" width="39.57421875" style="0" customWidth="1"/>
    <col min="2" max="2" width="17.421875" style="0" bestFit="1" customWidth="1"/>
    <col min="3" max="3" width="29.57421875" style="0" customWidth="1"/>
    <col min="4" max="4" width="10.00390625" style="0" bestFit="1" customWidth="1"/>
    <col min="5" max="5" width="29.57421875" style="0" customWidth="1"/>
    <col min="6" max="6" width="10.00390625" style="0" bestFit="1" customWidth="1"/>
    <col min="7" max="7" width="29.57421875" style="0" customWidth="1"/>
    <col min="8" max="8" width="10.00390625" style="0" bestFit="1" customWidth="1"/>
    <col min="9" max="9" width="29.57421875" style="0" customWidth="1"/>
    <col min="10" max="10" width="10.00390625" style="0" bestFit="1" customWidth="1"/>
  </cols>
  <sheetData>
    <row r="1" spans="1:10" ht="15" customHeight="1">
      <c r="A1" s="13" t="s">
        <v>716</v>
      </c>
      <c r="B1" s="13" t="s">
        <v>719</v>
      </c>
      <c r="C1" s="13" t="s">
        <v>720</v>
      </c>
      <c r="D1" s="13" t="s">
        <v>722</v>
      </c>
      <c r="E1" s="81" t="s">
        <v>721</v>
      </c>
      <c r="F1" s="81" t="s">
        <v>724</v>
      </c>
      <c r="G1" s="13" t="s">
        <v>723</v>
      </c>
      <c r="H1" s="13" t="s">
        <v>726</v>
      </c>
      <c r="I1" s="81" t="s">
        <v>725</v>
      </c>
      <c r="J1" s="81" t="s">
        <v>727</v>
      </c>
    </row>
    <row r="2" spans="1:10" ht="15">
      <c r="A2" s="87" t="s">
        <v>717</v>
      </c>
      <c r="B2" s="81">
        <v>1</v>
      </c>
      <c r="C2" s="87" t="s">
        <v>718</v>
      </c>
      <c r="D2" s="81">
        <v>1</v>
      </c>
      <c r="E2" s="81"/>
      <c r="F2" s="81"/>
      <c r="G2" s="87" t="s">
        <v>717</v>
      </c>
      <c r="H2" s="81">
        <v>1</v>
      </c>
      <c r="I2" s="81"/>
      <c r="J2" s="81"/>
    </row>
    <row r="3" spans="1:10" ht="15">
      <c r="A3" s="85" t="s">
        <v>718</v>
      </c>
      <c r="B3" s="81">
        <v>1</v>
      </c>
      <c r="C3" s="81"/>
      <c r="D3" s="81"/>
      <c r="E3" s="81"/>
      <c r="F3" s="81"/>
      <c r="G3" s="81"/>
      <c r="H3" s="81"/>
      <c r="I3" s="81"/>
      <c r="J3" s="81"/>
    </row>
    <row r="6" spans="1:10" ht="15" customHeight="1">
      <c r="A6" s="13" t="s">
        <v>729</v>
      </c>
      <c r="B6" s="13" t="s">
        <v>719</v>
      </c>
      <c r="C6" s="13" t="s">
        <v>730</v>
      </c>
      <c r="D6" s="13" t="s">
        <v>722</v>
      </c>
      <c r="E6" s="81" t="s">
        <v>731</v>
      </c>
      <c r="F6" s="81" t="s">
        <v>724</v>
      </c>
      <c r="G6" s="13" t="s">
        <v>732</v>
      </c>
      <c r="H6" s="13" t="s">
        <v>726</v>
      </c>
      <c r="I6" s="81" t="s">
        <v>733</v>
      </c>
      <c r="J6" s="81" t="s">
        <v>727</v>
      </c>
    </row>
    <row r="7" spans="1:10" ht="15">
      <c r="A7" s="81" t="s">
        <v>345</v>
      </c>
      <c r="B7" s="81">
        <v>2</v>
      </c>
      <c r="C7" s="81" t="s">
        <v>345</v>
      </c>
      <c r="D7" s="81">
        <v>1</v>
      </c>
      <c r="E7" s="81"/>
      <c r="F7" s="81"/>
      <c r="G7" s="81" t="s">
        <v>345</v>
      </c>
      <c r="H7" s="81">
        <v>1</v>
      </c>
      <c r="I7" s="81"/>
      <c r="J7" s="81"/>
    </row>
    <row r="10" spans="1:10" ht="15" customHeight="1">
      <c r="A10" s="13" t="s">
        <v>735</v>
      </c>
      <c r="B10" s="13" t="s">
        <v>719</v>
      </c>
      <c r="C10" s="13" t="s">
        <v>736</v>
      </c>
      <c r="D10" s="13" t="s">
        <v>722</v>
      </c>
      <c r="E10" s="13" t="s">
        <v>737</v>
      </c>
      <c r="F10" s="13" t="s">
        <v>724</v>
      </c>
      <c r="G10" s="81" t="s">
        <v>738</v>
      </c>
      <c r="H10" s="81" t="s">
        <v>726</v>
      </c>
      <c r="I10" s="81" t="s">
        <v>739</v>
      </c>
      <c r="J10" s="81" t="s">
        <v>727</v>
      </c>
    </row>
    <row r="11" spans="1:10" ht="15">
      <c r="A11" s="81" t="s">
        <v>348</v>
      </c>
      <c r="B11" s="81">
        <v>1</v>
      </c>
      <c r="C11" s="81" t="s">
        <v>346</v>
      </c>
      <c r="D11" s="81">
        <v>1</v>
      </c>
      <c r="E11" s="81" t="s">
        <v>348</v>
      </c>
      <c r="F11" s="81">
        <v>1</v>
      </c>
      <c r="G11" s="81"/>
      <c r="H11" s="81"/>
      <c r="I11" s="81"/>
      <c r="J11" s="81"/>
    </row>
    <row r="12" spans="1:10" ht="15">
      <c r="A12" s="82" t="s">
        <v>347</v>
      </c>
      <c r="B12" s="81">
        <v>1</v>
      </c>
      <c r="C12" s="81"/>
      <c r="D12" s="81"/>
      <c r="E12" s="81" t="s">
        <v>347</v>
      </c>
      <c r="F12" s="81">
        <v>1</v>
      </c>
      <c r="G12" s="81"/>
      <c r="H12" s="81"/>
      <c r="I12" s="81"/>
      <c r="J12" s="81"/>
    </row>
    <row r="13" spans="1:10" ht="15">
      <c r="A13" s="82" t="s">
        <v>346</v>
      </c>
      <c r="B13" s="81">
        <v>1</v>
      </c>
      <c r="C13" s="81"/>
      <c r="D13" s="81"/>
      <c r="E13" s="81"/>
      <c r="F13" s="81"/>
      <c r="G13" s="81"/>
      <c r="H13" s="81"/>
      <c r="I13" s="81"/>
      <c r="J13" s="81"/>
    </row>
    <row r="16" spans="1:10" ht="15" customHeight="1">
      <c r="A16" s="13" t="s">
        <v>742</v>
      </c>
      <c r="B16" s="13" t="s">
        <v>719</v>
      </c>
      <c r="C16" s="13" t="s">
        <v>749</v>
      </c>
      <c r="D16" s="13" t="s">
        <v>722</v>
      </c>
      <c r="E16" s="13" t="s">
        <v>753</v>
      </c>
      <c r="F16" s="13" t="s">
        <v>724</v>
      </c>
      <c r="G16" s="13" t="s">
        <v>757</v>
      </c>
      <c r="H16" s="13" t="s">
        <v>726</v>
      </c>
      <c r="I16" s="81" t="s">
        <v>758</v>
      </c>
      <c r="J16" s="81" t="s">
        <v>727</v>
      </c>
    </row>
    <row r="17" spans="1:10" ht="15">
      <c r="A17" s="90" t="s">
        <v>291</v>
      </c>
      <c r="B17" s="90">
        <v>41</v>
      </c>
      <c r="C17" s="90" t="s">
        <v>291</v>
      </c>
      <c r="D17" s="90">
        <v>27</v>
      </c>
      <c r="E17" s="90" t="s">
        <v>289</v>
      </c>
      <c r="F17" s="90">
        <v>11</v>
      </c>
      <c r="G17" s="90" t="s">
        <v>745</v>
      </c>
      <c r="H17" s="90">
        <v>4</v>
      </c>
      <c r="I17" s="90"/>
      <c r="J17" s="90"/>
    </row>
    <row r="18" spans="1:10" ht="15">
      <c r="A18" s="86" t="s">
        <v>289</v>
      </c>
      <c r="B18" s="90">
        <v>40</v>
      </c>
      <c r="C18" s="90" t="s">
        <v>289</v>
      </c>
      <c r="D18" s="90">
        <v>26</v>
      </c>
      <c r="E18" s="90" t="s">
        <v>292</v>
      </c>
      <c r="F18" s="90">
        <v>11</v>
      </c>
      <c r="G18" s="90" t="s">
        <v>289</v>
      </c>
      <c r="H18" s="90">
        <v>2</v>
      </c>
      <c r="I18" s="90"/>
      <c r="J18" s="90"/>
    </row>
    <row r="19" spans="1:10" ht="15">
      <c r="A19" s="86" t="s">
        <v>290</v>
      </c>
      <c r="B19" s="90">
        <v>40</v>
      </c>
      <c r="C19" s="90" t="s">
        <v>290</v>
      </c>
      <c r="D19" s="90">
        <v>26</v>
      </c>
      <c r="E19" s="90" t="s">
        <v>291</v>
      </c>
      <c r="F19" s="90">
        <v>11</v>
      </c>
      <c r="G19" s="90" t="s">
        <v>293</v>
      </c>
      <c r="H19" s="90">
        <v>2</v>
      </c>
      <c r="I19" s="90"/>
      <c r="J19" s="90"/>
    </row>
    <row r="20" spans="1:10" ht="15">
      <c r="A20" s="86" t="s">
        <v>292</v>
      </c>
      <c r="B20" s="90">
        <v>15</v>
      </c>
      <c r="C20" s="90" t="s">
        <v>743</v>
      </c>
      <c r="D20" s="90">
        <v>6</v>
      </c>
      <c r="E20" s="90" t="s">
        <v>290</v>
      </c>
      <c r="F20" s="90">
        <v>11</v>
      </c>
      <c r="G20" s="90" t="s">
        <v>291</v>
      </c>
      <c r="H20" s="90">
        <v>2</v>
      </c>
      <c r="I20" s="90"/>
      <c r="J20" s="90"/>
    </row>
    <row r="21" spans="1:10" ht="15">
      <c r="A21" s="86" t="s">
        <v>743</v>
      </c>
      <c r="B21" s="90">
        <v>7</v>
      </c>
      <c r="C21" s="90" t="s">
        <v>744</v>
      </c>
      <c r="D21" s="90">
        <v>6</v>
      </c>
      <c r="E21" s="90" t="s">
        <v>754</v>
      </c>
      <c r="F21" s="90">
        <v>2</v>
      </c>
      <c r="G21" s="90" t="s">
        <v>290</v>
      </c>
      <c r="H21" s="90">
        <v>2</v>
      </c>
      <c r="I21" s="90"/>
      <c r="J21" s="90"/>
    </row>
    <row r="22" spans="1:10" ht="15">
      <c r="A22" s="86" t="s">
        <v>744</v>
      </c>
      <c r="B22" s="90">
        <v>6</v>
      </c>
      <c r="C22" s="90" t="s">
        <v>292</v>
      </c>
      <c r="D22" s="90">
        <v>4</v>
      </c>
      <c r="E22" s="90" t="s">
        <v>755</v>
      </c>
      <c r="F22" s="90">
        <v>2</v>
      </c>
      <c r="G22" s="90" t="s">
        <v>748</v>
      </c>
      <c r="H22" s="90">
        <v>2</v>
      </c>
      <c r="I22" s="90"/>
      <c r="J22" s="90"/>
    </row>
    <row r="23" spans="1:10" ht="15">
      <c r="A23" s="86" t="s">
        <v>745</v>
      </c>
      <c r="B23" s="90">
        <v>6</v>
      </c>
      <c r="C23" s="90" t="s">
        <v>746</v>
      </c>
      <c r="D23" s="90">
        <v>4</v>
      </c>
      <c r="E23" s="90" t="s">
        <v>747</v>
      </c>
      <c r="F23" s="90">
        <v>2</v>
      </c>
      <c r="G23" s="90"/>
      <c r="H23" s="90"/>
      <c r="I23" s="90"/>
      <c r="J23" s="90"/>
    </row>
    <row r="24" spans="1:10" ht="15">
      <c r="A24" s="86" t="s">
        <v>746</v>
      </c>
      <c r="B24" s="90">
        <v>5</v>
      </c>
      <c r="C24" s="90" t="s">
        <v>750</v>
      </c>
      <c r="D24" s="90">
        <v>3</v>
      </c>
      <c r="E24" s="90" t="s">
        <v>274</v>
      </c>
      <c r="F24" s="90">
        <v>2</v>
      </c>
      <c r="G24" s="90"/>
      <c r="H24" s="90"/>
      <c r="I24" s="90"/>
      <c r="J24" s="90"/>
    </row>
    <row r="25" spans="1:10" ht="15">
      <c r="A25" s="86" t="s">
        <v>747</v>
      </c>
      <c r="B25" s="90">
        <v>4</v>
      </c>
      <c r="C25" s="90" t="s">
        <v>751</v>
      </c>
      <c r="D25" s="90">
        <v>2</v>
      </c>
      <c r="E25" s="90" t="s">
        <v>756</v>
      </c>
      <c r="F25" s="90">
        <v>2</v>
      </c>
      <c r="G25" s="90"/>
      <c r="H25" s="90"/>
      <c r="I25" s="90"/>
      <c r="J25" s="90"/>
    </row>
    <row r="26" spans="1:10" ht="15">
      <c r="A26" s="86" t="s">
        <v>748</v>
      </c>
      <c r="B26" s="90">
        <v>4</v>
      </c>
      <c r="C26" s="90" t="s">
        <v>752</v>
      </c>
      <c r="D26" s="90">
        <v>2</v>
      </c>
      <c r="E26" s="90"/>
      <c r="F26" s="90"/>
      <c r="G26" s="90"/>
      <c r="H26" s="90"/>
      <c r="I26" s="90"/>
      <c r="J26" s="90"/>
    </row>
    <row r="29" spans="1:10" ht="15" customHeight="1">
      <c r="A29" s="13" t="s">
        <v>763</v>
      </c>
      <c r="B29" s="13" t="s">
        <v>719</v>
      </c>
      <c r="C29" s="13" t="s">
        <v>774</v>
      </c>
      <c r="D29" s="13" t="s">
        <v>722</v>
      </c>
      <c r="E29" s="13" t="s">
        <v>776</v>
      </c>
      <c r="F29" s="13" t="s">
        <v>724</v>
      </c>
      <c r="G29" s="13" t="s">
        <v>778</v>
      </c>
      <c r="H29" s="13" t="s">
        <v>726</v>
      </c>
      <c r="I29" s="81" t="s">
        <v>781</v>
      </c>
      <c r="J29" s="81" t="s">
        <v>727</v>
      </c>
    </row>
    <row r="30" spans="1:10" ht="15">
      <c r="A30" s="90" t="s">
        <v>764</v>
      </c>
      <c r="B30" s="90">
        <v>40</v>
      </c>
      <c r="C30" s="90" t="s">
        <v>764</v>
      </c>
      <c r="D30" s="90">
        <v>26</v>
      </c>
      <c r="E30" s="90" t="s">
        <v>765</v>
      </c>
      <c r="F30" s="90">
        <v>11</v>
      </c>
      <c r="G30" s="90" t="s">
        <v>779</v>
      </c>
      <c r="H30" s="90">
        <v>2</v>
      </c>
      <c r="I30" s="90"/>
      <c r="J30" s="90"/>
    </row>
    <row r="31" spans="1:10" ht="15">
      <c r="A31" s="86" t="s">
        <v>765</v>
      </c>
      <c r="B31" s="90">
        <v>15</v>
      </c>
      <c r="C31" s="90" t="s">
        <v>767</v>
      </c>
      <c r="D31" s="90">
        <v>12</v>
      </c>
      <c r="E31" s="90" t="s">
        <v>766</v>
      </c>
      <c r="F31" s="90">
        <v>11</v>
      </c>
      <c r="G31" s="90" t="s">
        <v>780</v>
      </c>
      <c r="H31" s="90">
        <v>2</v>
      </c>
      <c r="I31" s="90"/>
      <c r="J31" s="90"/>
    </row>
    <row r="32" spans="1:10" ht="15">
      <c r="A32" s="86" t="s">
        <v>766</v>
      </c>
      <c r="B32" s="90">
        <v>15</v>
      </c>
      <c r="C32" s="90" t="s">
        <v>768</v>
      </c>
      <c r="D32" s="90">
        <v>6</v>
      </c>
      <c r="E32" s="90" t="s">
        <v>764</v>
      </c>
      <c r="F32" s="90">
        <v>11</v>
      </c>
      <c r="G32" s="90" t="s">
        <v>764</v>
      </c>
      <c r="H32" s="90">
        <v>2</v>
      </c>
      <c r="I32" s="90"/>
      <c r="J32" s="90"/>
    </row>
    <row r="33" spans="1:10" ht="15">
      <c r="A33" s="86" t="s">
        <v>767</v>
      </c>
      <c r="B33" s="90">
        <v>12</v>
      </c>
      <c r="C33" s="90" t="s">
        <v>765</v>
      </c>
      <c r="D33" s="90">
        <v>4</v>
      </c>
      <c r="E33" s="90" t="s">
        <v>777</v>
      </c>
      <c r="F33" s="90">
        <v>2</v>
      </c>
      <c r="G33" s="90" t="s">
        <v>771</v>
      </c>
      <c r="H33" s="90">
        <v>2</v>
      </c>
      <c r="I33" s="90"/>
      <c r="J33" s="90"/>
    </row>
    <row r="34" spans="1:10" ht="15">
      <c r="A34" s="86" t="s">
        <v>768</v>
      </c>
      <c r="B34" s="90">
        <v>6</v>
      </c>
      <c r="C34" s="90" t="s">
        <v>766</v>
      </c>
      <c r="D34" s="90">
        <v>4</v>
      </c>
      <c r="E34" s="90"/>
      <c r="F34" s="90"/>
      <c r="G34" s="90"/>
      <c r="H34" s="90"/>
      <c r="I34" s="90"/>
      <c r="J34" s="90"/>
    </row>
    <row r="35" spans="1:10" ht="15">
      <c r="A35" s="86" t="s">
        <v>769</v>
      </c>
      <c r="B35" s="90">
        <v>3</v>
      </c>
      <c r="C35" s="90" t="s">
        <v>770</v>
      </c>
      <c r="D35" s="90">
        <v>3</v>
      </c>
      <c r="E35" s="90"/>
      <c r="F35" s="90"/>
      <c r="G35" s="90"/>
      <c r="H35" s="90"/>
      <c r="I35" s="90"/>
      <c r="J35" s="90"/>
    </row>
    <row r="36" spans="1:10" ht="15">
      <c r="A36" s="86" t="s">
        <v>770</v>
      </c>
      <c r="B36" s="90">
        <v>3</v>
      </c>
      <c r="C36" s="90" t="s">
        <v>769</v>
      </c>
      <c r="D36" s="90">
        <v>2</v>
      </c>
      <c r="E36" s="90"/>
      <c r="F36" s="90"/>
      <c r="G36" s="90"/>
      <c r="H36" s="90"/>
      <c r="I36" s="90"/>
      <c r="J36" s="90"/>
    </row>
    <row r="37" spans="1:10" ht="15">
      <c r="A37" s="86" t="s">
        <v>771</v>
      </c>
      <c r="B37" s="90">
        <v>3</v>
      </c>
      <c r="C37" s="90" t="s">
        <v>772</v>
      </c>
      <c r="D37" s="90">
        <v>2</v>
      </c>
      <c r="E37" s="90"/>
      <c r="F37" s="90"/>
      <c r="G37" s="90"/>
      <c r="H37" s="90"/>
      <c r="I37" s="90"/>
      <c r="J37" s="90"/>
    </row>
    <row r="38" spans="1:10" ht="15">
      <c r="A38" s="86" t="s">
        <v>772</v>
      </c>
      <c r="B38" s="90">
        <v>2</v>
      </c>
      <c r="C38" s="90" t="s">
        <v>773</v>
      </c>
      <c r="D38" s="90">
        <v>2</v>
      </c>
      <c r="E38" s="90"/>
      <c r="F38" s="90"/>
      <c r="G38" s="90"/>
      <c r="H38" s="90"/>
      <c r="I38" s="90"/>
      <c r="J38" s="90"/>
    </row>
    <row r="39" spans="1:10" ht="15">
      <c r="A39" s="86" t="s">
        <v>773</v>
      </c>
      <c r="B39" s="90">
        <v>2</v>
      </c>
      <c r="C39" s="90" t="s">
        <v>775</v>
      </c>
      <c r="D39" s="90">
        <v>2</v>
      </c>
      <c r="E39" s="90"/>
      <c r="F39" s="90"/>
      <c r="G39" s="90"/>
      <c r="H39" s="90"/>
      <c r="I39" s="90"/>
      <c r="J39" s="90"/>
    </row>
    <row r="42" spans="1:10" ht="15" customHeight="1">
      <c r="A42" s="13" t="s">
        <v>786</v>
      </c>
      <c r="B42" s="13" t="s">
        <v>719</v>
      </c>
      <c r="C42" s="13" t="s">
        <v>788</v>
      </c>
      <c r="D42" s="13" t="s">
        <v>722</v>
      </c>
      <c r="E42" s="13" t="s">
        <v>789</v>
      </c>
      <c r="F42" s="13" t="s">
        <v>724</v>
      </c>
      <c r="G42" s="13" t="s">
        <v>792</v>
      </c>
      <c r="H42" s="13" t="s">
        <v>726</v>
      </c>
      <c r="I42" s="13" t="s">
        <v>794</v>
      </c>
      <c r="J42" s="13" t="s">
        <v>727</v>
      </c>
    </row>
    <row r="43" spans="1:10" ht="15">
      <c r="A43" s="81" t="s">
        <v>289</v>
      </c>
      <c r="B43" s="81">
        <v>36</v>
      </c>
      <c r="C43" s="81" t="s">
        <v>289</v>
      </c>
      <c r="D43" s="81">
        <v>26</v>
      </c>
      <c r="E43" s="81" t="s">
        <v>289</v>
      </c>
      <c r="F43" s="81">
        <v>7</v>
      </c>
      <c r="G43" s="81" t="s">
        <v>289</v>
      </c>
      <c r="H43" s="81">
        <v>2</v>
      </c>
      <c r="I43" s="81" t="s">
        <v>289</v>
      </c>
      <c r="J43" s="81">
        <v>1</v>
      </c>
    </row>
    <row r="44" spans="1:10" ht="15">
      <c r="A44" s="82" t="s">
        <v>272</v>
      </c>
      <c r="B44" s="81">
        <v>1</v>
      </c>
      <c r="C44" s="81"/>
      <c r="D44" s="81"/>
      <c r="E44" s="81" t="s">
        <v>272</v>
      </c>
      <c r="F44" s="81">
        <v>1</v>
      </c>
      <c r="G44" s="81"/>
      <c r="H44" s="81"/>
      <c r="I44" s="81"/>
      <c r="J44" s="81"/>
    </row>
    <row r="45" spans="1:10" ht="15">
      <c r="A45" s="82" t="s">
        <v>269</v>
      </c>
      <c r="B45" s="81">
        <v>1</v>
      </c>
      <c r="C45" s="81"/>
      <c r="D45" s="81"/>
      <c r="E45" s="81" t="s">
        <v>269</v>
      </c>
      <c r="F45" s="81">
        <v>1</v>
      </c>
      <c r="G45" s="81"/>
      <c r="H45" s="81"/>
      <c r="I45" s="81"/>
      <c r="J45" s="81"/>
    </row>
    <row r="46" spans="1:10" ht="15">
      <c r="A46" s="82" t="s">
        <v>274</v>
      </c>
      <c r="B46" s="81">
        <v>1</v>
      </c>
      <c r="C46" s="81"/>
      <c r="D46" s="81"/>
      <c r="E46" s="81" t="s">
        <v>274</v>
      </c>
      <c r="F46" s="81">
        <v>1</v>
      </c>
      <c r="G46" s="81"/>
      <c r="H46" s="81"/>
      <c r="I46" s="81"/>
      <c r="J46" s="81"/>
    </row>
    <row r="47" spans="1:10" ht="15">
      <c r="A47" s="82" t="s">
        <v>275</v>
      </c>
      <c r="B47" s="81">
        <v>1</v>
      </c>
      <c r="C47" s="81"/>
      <c r="D47" s="81"/>
      <c r="E47" s="81" t="s">
        <v>275</v>
      </c>
      <c r="F47" s="81">
        <v>1</v>
      </c>
      <c r="G47" s="81"/>
      <c r="H47" s="81"/>
      <c r="I47" s="81"/>
      <c r="J47" s="81"/>
    </row>
    <row r="50" spans="1:10" ht="15" customHeight="1">
      <c r="A50" s="13" t="s">
        <v>787</v>
      </c>
      <c r="B50" s="13" t="s">
        <v>719</v>
      </c>
      <c r="C50" s="13" t="s">
        <v>790</v>
      </c>
      <c r="D50" s="13" t="s">
        <v>722</v>
      </c>
      <c r="E50" s="13" t="s">
        <v>791</v>
      </c>
      <c r="F50" s="13" t="s">
        <v>724</v>
      </c>
      <c r="G50" s="13" t="s">
        <v>793</v>
      </c>
      <c r="H50" s="13" t="s">
        <v>726</v>
      </c>
      <c r="I50" s="13" t="s">
        <v>795</v>
      </c>
      <c r="J50" s="13" t="s">
        <v>727</v>
      </c>
    </row>
    <row r="51" spans="1:10" ht="15">
      <c r="A51" s="81" t="s">
        <v>291</v>
      </c>
      <c r="B51" s="81">
        <v>40</v>
      </c>
      <c r="C51" s="81" t="s">
        <v>291</v>
      </c>
      <c r="D51" s="81">
        <v>26</v>
      </c>
      <c r="E51" s="81" t="s">
        <v>292</v>
      </c>
      <c r="F51" s="81">
        <v>11</v>
      </c>
      <c r="G51" s="81" t="s">
        <v>293</v>
      </c>
      <c r="H51" s="81">
        <v>2</v>
      </c>
      <c r="I51" s="81" t="s">
        <v>301</v>
      </c>
      <c r="J51" s="81">
        <v>1</v>
      </c>
    </row>
    <row r="52" spans="1:10" ht="15">
      <c r="A52" s="82" t="s">
        <v>290</v>
      </c>
      <c r="B52" s="81">
        <v>40</v>
      </c>
      <c r="C52" s="81" t="s">
        <v>290</v>
      </c>
      <c r="D52" s="81">
        <v>26</v>
      </c>
      <c r="E52" s="81" t="s">
        <v>291</v>
      </c>
      <c r="F52" s="81">
        <v>11</v>
      </c>
      <c r="G52" s="81" t="s">
        <v>291</v>
      </c>
      <c r="H52" s="81">
        <v>2</v>
      </c>
      <c r="I52" s="81" t="s">
        <v>291</v>
      </c>
      <c r="J52" s="81">
        <v>1</v>
      </c>
    </row>
    <row r="53" spans="1:10" ht="15">
      <c r="A53" s="82" t="s">
        <v>292</v>
      </c>
      <c r="B53" s="81">
        <v>15</v>
      </c>
      <c r="C53" s="81" t="s">
        <v>292</v>
      </c>
      <c r="D53" s="81">
        <v>4</v>
      </c>
      <c r="E53" s="81" t="s">
        <v>290</v>
      </c>
      <c r="F53" s="81">
        <v>11</v>
      </c>
      <c r="G53" s="81" t="s">
        <v>290</v>
      </c>
      <c r="H53" s="81">
        <v>2</v>
      </c>
      <c r="I53" s="81" t="s">
        <v>290</v>
      </c>
      <c r="J53" s="81">
        <v>1</v>
      </c>
    </row>
    <row r="54" spans="1:10" ht="15">
      <c r="A54" s="82" t="s">
        <v>289</v>
      </c>
      <c r="B54" s="81">
        <v>4</v>
      </c>
      <c r="C54" s="81" t="s">
        <v>300</v>
      </c>
      <c r="D54" s="81">
        <v>2</v>
      </c>
      <c r="E54" s="81" t="s">
        <v>289</v>
      </c>
      <c r="F54" s="81">
        <v>4</v>
      </c>
      <c r="G54" s="81"/>
      <c r="H54" s="81"/>
      <c r="I54" s="81"/>
      <c r="J54" s="81"/>
    </row>
    <row r="55" spans="1:10" ht="15">
      <c r="A55" s="82" t="s">
        <v>300</v>
      </c>
      <c r="B55" s="81">
        <v>2</v>
      </c>
      <c r="C55" s="81" t="s">
        <v>299</v>
      </c>
      <c r="D55" s="81">
        <v>1</v>
      </c>
      <c r="E55" s="81" t="s">
        <v>274</v>
      </c>
      <c r="F55" s="81">
        <v>1</v>
      </c>
      <c r="G55" s="81"/>
      <c r="H55" s="81"/>
      <c r="I55" s="81"/>
      <c r="J55" s="81"/>
    </row>
    <row r="56" spans="1:10" ht="15">
      <c r="A56" s="82" t="s">
        <v>293</v>
      </c>
      <c r="B56" s="81">
        <v>2</v>
      </c>
      <c r="C56" s="81" t="s">
        <v>298</v>
      </c>
      <c r="D56" s="81">
        <v>1</v>
      </c>
      <c r="E56" s="81"/>
      <c r="F56" s="81"/>
      <c r="G56" s="81"/>
      <c r="H56" s="81"/>
      <c r="I56" s="81"/>
      <c r="J56" s="81"/>
    </row>
    <row r="57" spans="1:10" ht="15">
      <c r="A57" s="82" t="s">
        <v>299</v>
      </c>
      <c r="B57" s="81">
        <v>1</v>
      </c>
      <c r="C57" s="81" t="s">
        <v>297</v>
      </c>
      <c r="D57" s="81">
        <v>1</v>
      </c>
      <c r="E57" s="81"/>
      <c r="F57" s="81"/>
      <c r="G57" s="81"/>
      <c r="H57" s="81"/>
      <c r="I57" s="81"/>
      <c r="J57" s="81"/>
    </row>
    <row r="58" spans="1:10" ht="15">
      <c r="A58" s="82" t="s">
        <v>298</v>
      </c>
      <c r="B58" s="81">
        <v>1</v>
      </c>
      <c r="C58" s="81" t="s">
        <v>296</v>
      </c>
      <c r="D58" s="81">
        <v>1</v>
      </c>
      <c r="E58" s="81"/>
      <c r="F58" s="81"/>
      <c r="G58" s="81"/>
      <c r="H58" s="81"/>
      <c r="I58" s="81"/>
      <c r="J58" s="81"/>
    </row>
    <row r="59" spans="1:10" ht="15">
      <c r="A59" s="82" t="s">
        <v>297</v>
      </c>
      <c r="B59" s="81">
        <v>1</v>
      </c>
      <c r="C59" s="81" t="s">
        <v>295</v>
      </c>
      <c r="D59" s="81">
        <v>1</v>
      </c>
      <c r="E59" s="81"/>
      <c r="F59" s="81"/>
      <c r="G59" s="81"/>
      <c r="H59" s="81"/>
      <c r="I59" s="81"/>
      <c r="J59" s="81"/>
    </row>
    <row r="60" spans="1:10" ht="15">
      <c r="A60" s="82" t="s">
        <v>296</v>
      </c>
      <c r="B60" s="81">
        <v>1</v>
      </c>
      <c r="C60" s="81" t="s">
        <v>294</v>
      </c>
      <c r="D60" s="81">
        <v>1</v>
      </c>
      <c r="E60" s="81"/>
      <c r="F60" s="81"/>
      <c r="G60" s="81"/>
      <c r="H60" s="81"/>
      <c r="I60" s="81"/>
      <c r="J60" s="81"/>
    </row>
    <row r="63" spans="1:10" ht="15" customHeight="1">
      <c r="A63" s="13" t="s">
        <v>803</v>
      </c>
      <c r="B63" s="13" t="s">
        <v>719</v>
      </c>
      <c r="C63" s="13" t="s">
        <v>804</v>
      </c>
      <c r="D63" s="13" t="s">
        <v>722</v>
      </c>
      <c r="E63" s="13" t="s">
        <v>805</v>
      </c>
      <c r="F63" s="13" t="s">
        <v>724</v>
      </c>
      <c r="G63" s="13" t="s">
        <v>806</v>
      </c>
      <c r="H63" s="13" t="s">
        <v>726</v>
      </c>
      <c r="I63" s="13" t="s">
        <v>807</v>
      </c>
      <c r="J63" s="13" t="s">
        <v>727</v>
      </c>
    </row>
    <row r="64" spans="1:10" ht="15">
      <c r="A64" s="107" t="s">
        <v>299</v>
      </c>
      <c r="B64" s="81">
        <v>227868</v>
      </c>
      <c r="C64" s="107" t="s">
        <v>299</v>
      </c>
      <c r="D64" s="81">
        <v>227868</v>
      </c>
      <c r="E64" s="107" t="s">
        <v>263</v>
      </c>
      <c r="F64" s="81">
        <v>48264</v>
      </c>
      <c r="G64" s="107" t="s">
        <v>293</v>
      </c>
      <c r="H64" s="81">
        <v>72348</v>
      </c>
      <c r="I64" s="107" t="s">
        <v>301</v>
      </c>
      <c r="J64" s="81">
        <v>109701</v>
      </c>
    </row>
    <row r="65" spans="1:10" ht="15">
      <c r="A65" s="110" t="s">
        <v>281</v>
      </c>
      <c r="B65" s="81">
        <v>196007</v>
      </c>
      <c r="C65" s="107" t="s">
        <v>281</v>
      </c>
      <c r="D65" s="81">
        <v>196007</v>
      </c>
      <c r="E65" s="107" t="s">
        <v>272</v>
      </c>
      <c r="F65" s="81">
        <v>45111</v>
      </c>
      <c r="G65" s="107" t="s">
        <v>264</v>
      </c>
      <c r="H65" s="81">
        <v>31241</v>
      </c>
      <c r="I65" s="107" t="s">
        <v>251</v>
      </c>
      <c r="J65" s="81">
        <v>65768</v>
      </c>
    </row>
    <row r="66" spans="1:10" ht="15">
      <c r="A66" s="110" t="s">
        <v>300</v>
      </c>
      <c r="B66" s="81">
        <v>140945</v>
      </c>
      <c r="C66" s="107" t="s">
        <v>300</v>
      </c>
      <c r="D66" s="81">
        <v>140945</v>
      </c>
      <c r="E66" s="107" t="s">
        <v>262</v>
      </c>
      <c r="F66" s="81">
        <v>35285</v>
      </c>
      <c r="G66" s="107"/>
      <c r="H66" s="81"/>
      <c r="I66" s="107"/>
      <c r="J66" s="81"/>
    </row>
    <row r="67" spans="1:10" ht="15">
      <c r="A67" s="110" t="s">
        <v>301</v>
      </c>
      <c r="B67" s="81">
        <v>109701</v>
      </c>
      <c r="C67" s="107" t="s">
        <v>286</v>
      </c>
      <c r="D67" s="81">
        <v>105570</v>
      </c>
      <c r="E67" s="107" t="s">
        <v>292</v>
      </c>
      <c r="F67" s="81">
        <v>31430</v>
      </c>
      <c r="G67" s="107"/>
      <c r="H67" s="81"/>
      <c r="I67" s="107"/>
      <c r="J67" s="81"/>
    </row>
    <row r="68" spans="1:10" ht="15">
      <c r="A68" s="110" t="s">
        <v>286</v>
      </c>
      <c r="B68" s="81">
        <v>105570</v>
      </c>
      <c r="C68" s="107" t="s">
        <v>297</v>
      </c>
      <c r="D68" s="81">
        <v>104197</v>
      </c>
      <c r="E68" s="107" t="s">
        <v>274</v>
      </c>
      <c r="F68" s="81">
        <v>22722</v>
      </c>
      <c r="G68" s="107"/>
      <c r="H68" s="81"/>
      <c r="I68" s="107"/>
      <c r="J68" s="81"/>
    </row>
    <row r="69" spans="1:10" ht="15">
      <c r="A69" s="110" t="s">
        <v>297</v>
      </c>
      <c r="B69" s="81">
        <v>104197</v>
      </c>
      <c r="C69" s="107" t="s">
        <v>267</v>
      </c>
      <c r="D69" s="81">
        <v>77071</v>
      </c>
      <c r="E69" s="107" t="s">
        <v>275</v>
      </c>
      <c r="F69" s="81">
        <v>19141</v>
      </c>
      <c r="G69" s="107"/>
      <c r="H69" s="81"/>
      <c r="I69" s="107"/>
      <c r="J69" s="81"/>
    </row>
    <row r="70" spans="1:10" ht="15">
      <c r="A70" s="110" t="s">
        <v>267</v>
      </c>
      <c r="B70" s="81">
        <v>77071</v>
      </c>
      <c r="C70" s="107" t="s">
        <v>261</v>
      </c>
      <c r="D70" s="81">
        <v>54450</v>
      </c>
      <c r="E70" s="107" t="s">
        <v>258</v>
      </c>
      <c r="F70" s="81">
        <v>11816</v>
      </c>
      <c r="G70" s="107"/>
      <c r="H70" s="81"/>
      <c r="I70" s="107"/>
      <c r="J70" s="81"/>
    </row>
    <row r="71" spans="1:10" ht="15">
      <c r="A71" s="110" t="s">
        <v>293</v>
      </c>
      <c r="B71" s="81">
        <v>72348</v>
      </c>
      <c r="C71" s="107" t="s">
        <v>298</v>
      </c>
      <c r="D71" s="81">
        <v>47530</v>
      </c>
      <c r="E71" s="107" t="s">
        <v>269</v>
      </c>
      <c r="F71" s="81">
        <v>8044</v>
      </c>
      <c r="G71" s="107"/>
      <c r="H71" s="81"/>
      <c r="I71" s="107"/>
      <c r="J71" s="81"/>
    </row>
    <row r="72" spans="1:10" ht="15">
      <c r="A72" s="110" t="s">
        <v>251</v>
      </c>
      <c r="B72" s="81">
        <v>65768</v>
      </c>
      <c r="C72" s="107" t="s">
        <v>259</v>
      </c>
      <c r="D72" s="81">
        <v>46071</v>
      </c>
      <c r="E72" s="107" t="s">
        <v>287</v>
      </c>
      <c r="F72" s="81">
        <v>4065</v>
      </c>
      <c r="G72" s="107"/>
      <c r="H72" s="81"/>
      <c r="I72" s="107"/>
      <c r="J72" s="81"/>
    </row>
    <row r="73" spans="1:10" ht="15">
      <c r="A73" s="110" t="s">
        <v>261</v>
      </c>
      <c r="B73" s="81">
        <v>54450</v>
      </c>
      <c r="C73" s="107" t="s">
        <v>288</v>
      </c>
      <c r="D73" s="81">
        <v>39226</v>
      </c>
      <c r="E73" s="107" t="s">
        <v>252</v>
      </c>
      <c r="F73" s="81">
        <v>3388</v>
      </c>
      <c r="G73" s="107"/>
      <c r="H73" s="81"/>
      <c r="I73" s="107"/>
      <c r="J73" s="81"/>
    </row>
  </sheetData>
  <hyperlinks>
    <hyperlink ref="A2" r:id="rId1" display="https://twitter.com/PlanetZuma/status/1448577058943143937"/>
    <hyperlink ref="A3" r:id="rId2" display="https://twitter.com/PearnSR/status/1448827515565486092?s=20"/>
    <hyperlink ref="C2" r:id="rId3" display="https://twitter.com/PearnSR/status/1448827515565486092?s=20"/>
    <hyperlink ref="G2" r:id="rId4" display="https://twitter.com/PlanetZuma/status/1448577058943143937"/>
  </hyperlinks>
  <printOptions/>
  <pageMargins left="0.7" right="0.7" top="0.75" bottom="0.75" header="0.3" footer="0.3"/>
  <pageSetup orientation="portrait" paperSize="9"/>
  <tableParts>
    <tablePart r:id="rId11"/>
    <tablePart r:id="rId10"/>
    <tablePart r:id="rId9"/>
    <tablePart r:id="rId8"/>
    <tablePart r:id="rId5"/>
    <tablePart r:id="rId7"/>
    <tablePart r:id="rId6"/>
    <tablePart r:id="rId1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D11C1-3B27-4054-A8E5-D8C9D4BCCF66}">
  <dimension ref="A1:G108"/>
  <sheetViews>
    <sheetView workbookViewId="0" topLeftCell="A1"/>
  </sheetViews>
  <sheetFormatPr defaultColWidth="9.140625" defaultRowHeight="15"/>
  <cols>
    <col min="1" max="1" width="7.140625" style="0" bestFit="1" customWidth="1"/>
    <col min="2" max="2" width="7.421875" style="0" bestFit="1" customWidth="1"/>
    <col min="3" max="3" width="8.8515625" style="0" bestFit="1" customWidth="1"/>
    <col min="4" max="4" width="7.57421875" style="0" bestFit="1" customWidth="1"/>
    <col min="5" max="7" width="27.57421875" style="0" bestFit="1" customWidth="1"/>
  </cols>
  <sheetData>
    <row r="1" spans="1:7" ht="15" customHeight="1">
      <c r="A1" s="13" t="s">
        <v>903</v>
      </c>
      <c r="B1" s="13" t="s">
        <v>948</v>
      </c>
      <c r="C1" s="13" t="s">
        <v>952</v>
      </c>
      <c r="D1" s="13" t="s">
        <v>144</v>
      </c>
      <c r="E1" s="13" t="s">
        <v>954</v>
      </c>
      <c r="F1" s="13" t="s">
        <v>955</v>
      </c>
      <c r="G1" s="13" t="s">
        <v>956</v>
      </c>
    </row>
    <row r="2" spans="1:7" ht="15">
      <c r="A2" s="81" t="s">
        <v>904</v>
      </c>
      <c r="B2" s="81" t="s">
        <v>949</v>
      </c>
      <c r="C2" s="113"/>
      <c r="D2" s="81"/>
      <c r="E2" s="81"/>
      <c r="F2" s="81"/>
      <c r="G2" s="81"/>
    </row>
    <row r="3" spans="1:7" ht="15">
      <c r="A3" s="82" t="s">
        <v>905</v>
      </c>
      <c r="B3" s="81" t="s">
        <v>950</v>
      </c>
      <c r="C3" s="113"/>
      <c r="D3" s="81"/>
      <c r="E3" s="81"/>
      <c r="F3" s="81"/>
      <c r="G3" s="81"/>
    </row>
    <row r="4" spans="1:7" ht="15">
      <c r="A4" s="82" t="s">
        <v>906</v>
      </c>
      <c r="B4" s="81" t="s">
        <v>951</v>
      </c>
      <c r="C4" s="113"/>
      <c r="D4" s="81"/>
      <c r="E4" s="81"/>
      <c r="F4" s="81"/>
      <c r="G4" s="81"/>
    </row>
    <row r="5" spans="1:7" ht="15">
      <c r="A5" s="82" t="s">
        <v>907</v>
      </c>
      <c r="B5" s="81">
        <v>13</v>
      </c>
      <c r="C5" s="113">
        <v>0.01694915254237288</v>
      </c>
      <c r="D5" s="81"/>
      <c r="E5" s="81"/>
      <c r="F5" s="81"/>
      <c r="G5" s="81"/>
    </row>
    <row r="6" spans="1:7" ht="15">
      <c r="A6" s="82" t="s">
        <v>908</v>
      </c>
      <c r="B6" s="81">
        <v>26</v>
      </c>
      <c r="C6" s="113">
        <v>0.03389830508474576</v>
      </c>
      <c r="D6" s="81"/>
      <c r="E6" s="81"/>
      <c r="F6" s="81"/>
      <c r="G6" s="81"/>
    </row>
    <row r="7" spans="1:7" ht="15">
      <c r="A7" s="82" t="s">
        <v>909</v>
      </c>
      <c r="B7" s="81">
        <v>0</v>
      </c>
      <c r="C7" s="113">
        <v>0</v>
      </c>
      <c r="D7" s="81"/>
      <c r="E7" s="81"/>
      <c r="F7" s="81"/>
      <c r="G7" s="81"/>
    </row>
    <row r="8" spans="1:7" ht="15">
      <c r="A8" s="82" t="s">
        <v>910</v>
      </c>
      <c r="B8" s="81">
        <v>728</v>
      </c>
      <c r="C8" s="113">
        <v>0.9491525423728814</v>
      </c>
      <c r="D8" s="81"/>
      <c r="E8" s="81"/>
      <c r="F8" s="81"/>
      <c r="G8" s="81"/>
    </row>
    <row r="9" spans="1:7" ht="15">
      <c r="A9" s="82" t="s">
        <v>911</v>
      </c>
      <c r="B9" s="81">
        <v>767</v>
      </c>
      <c r="C9" s="113">
        <v>1</v>
      </c>
      <c r="D9" s="81"/>
      <c r="E9" s="81"/>
      <c r="F9" s="81"/>
      <c r="G9" s="81"/>
    </row>
    <row r="10" spans="1:7" ht="15">
      <c r="A10" s="86" t="s">
        <v>291</v>
      </c>
      <c r="B10" s="90">
        <v>41</v>
      </c>
      <c r="C10" s="114">
        <v>0.0009374807698564941</v>
      </c>
      <c r="D10" s="90" t="s">
        <v>953</v>
      </c>
      <c r="E10" s="90" t="b">
        <v>0</v>
      </c>
      <c r="F10" s="90" t="b">
        <v>0</v>
      </c>
      <c r="G10" s="90" t="b">
        <v>0</v>
      </c>
    </row>
    <row r="11" spans="1:7" ht="15">
      <c r="A11" s="86" t="s">
        <v>289</v>
      </c>
      <c r="B11" s="90">
        <v>40</v>
      </c>
      <c r="C11" s="114">
        <v>0.0009146153852258479</v>
      </c>
      <c r="D11" s="90" t="s">
        <v>953</v>
      </c>
      <c r="E11" s="90" t="b">
        <v>0</v>
      </c>
      <c r="F11" s="90" t="b">
        <v>0</v>
      </c>
      <c r="G11" s="90" t="b">
        <v>0</v>
      </c>
    </row>
    <row r="12" spans="1:7" ht="15">
      <c r="A12" s="86" t="s">
        <v>290</v>
      </c>
      <c r="B12" s="90">
        <v>40</v>
      </c>
      <c r="C12" s="114">
        <v>0.0009146153852258479</v>
      </c>
      <c r="D12" s="90" t="s">
        <v>953</v>
      </c>
      <c r="E12" s="90" t="b">
        <v>0</v>
      </c>
      <c r="F12" s="90" t="b">
        <v>0</v>
      </c>
      <c r="G12" s="90" t="b">
        <v>0</v>
      </c>
    </row>
    <row r="13" spans="1:7" ht="15">
      <c r="A13" s="86" t="s">
        <v>292</v>
      </c>
      <c r="B13" s="90">
        <v>15</v>
      </c>
      <c r="C13" s="114">
        <v>0.013966714211003869</v>
      </c>
      <c r="D13" s="90" t="s">
        <v>953</v>
      </c>
      <c r="E13" s="90" t="b">
        <v>0</v>
      </c>
      <c r="F13" s="90" t="b">
        <v>0</v>
      </c>
      <c r="G13" s="90" t="b">
        <v>0</v>
      </c>
    </row>
    <row r="14" spans="1:7" ht="15">
      <c r="A14" s="86" t="s">
        <v>743</v>
      </c>
      <c r="B14" s="90">
        <v>7</v>
      </c>
      <c r="C14" s="114">
        <v>0.011457997264260875</v>
      </c>
      <c r="D14" s="90" t="s">
        <v>953</v>
      </c>
      <c r="E14" s="90" t="b">
        <v>0</v>
      </c>
      <c r="F14" s="90" t="b">
        <v>0</v>
      </c>
      <c r="G14" s="90" t="b">
        <v>0</v>
      </c>
    </row>
    <row r="15" spans="1:7" ht="15">
      <c r="A15" s="86" t="s">
        <v>744</v>
      </c>
      <c r="B15" s="90">
        <v>6</v>
      </c>
      <c r="C15" s="114">
        <v>0.010677602639694138</v>
      </c>
      <c r="D15" s="90" t="s">
        <v>953</v>
      </c>
      <c r="E15" s="90" t="b">
        <v>0</v>
      </c>
      <c r="F15" s="90" t="b">
        <v>0</v>
      </c>
      <c r="G15" s="90" t="b">
        <v>0</v>
      </c>
    </row>
    <row r="16" spans="1:7" ht="15">
      <c r="A16" s="86" t="s">
        <v>745</v>
      </c>
      <c r="B16" s="90">
        <v>6</v>
      </c>
      <c r="C16" s="114">
        <v>0.016781499288559754</v>
      </c>
      <c r="D16" s="90" t="s">
        <v>953</v>
      </c>
      <c r="E16" s="90" t="b">
        <v>0</v>
      </c>
      <c r="F16" s="90" t="b">
        <v>0</v>
      </c>
      <c r="G16" s="90" t="b">
        <v>0</v>
      </c>
    </row>
    <row r="17" spans="1:7" ht="15">
      <c r="A17" s="86" t="s">
        <v>746</v>
      </c>
      <c r="B17" s="90">
        <v>5</v>
      </c>
      <c r="C17" s="114">
        <v>0.009742151944389304</v>
      </c>
      <c r="D17" s="90" t="s">
        <v>953</v>
      </c>
      <c r="E17" s="90" t="b">
        <v>0</v>
      </c>
      <c r="F17" s="90" t="b">
        <v>0</v>
      </c>
      <c r="G17" s="90" t="b">
        <v>0</v>
      </c>
    </row>
    <row r="18" spans="1:7" ht="15">
      <c r="A18" s="86" t="s">
        <v>747</v>
      </c>
      <c r="B18" s="90">
        <v>4</v>
      </c>
      <c r="C18" s="114">
        <v>0.008620246186710218</v>
      </c>
      <c r="D18" s="90" t="s">
        <v>953</v>
      </c>
      <c r="E18" s="90" t="b">
        <v>0</v>
      </c>
      <c r="F18" s="90" t="b">
        <v>0</v>
      </c>
      <c r="G18" s="90" t="b">
        <v>0</v>
      </c>
    </row>
    <row r="19" spans="1:7" ht="15">
      <c r="A19" s="86" t="s">
        <v>748</v>
      </c>
      <c r="B19" s="90">
        <v>4</v>
      </c>
      <c r="C19" s="114">
        <v>0.009685821765459046</v>
      </c>
      <c r="D19" s="90" t="s">
        <v>953</v>
      </c>
      <c r="E19" s="90" t="b">
        <v>0</v>
      </c>
      <c r="F19" s="90" t="b">
        <v>0</v>
      </c>
      <c r="G19" s="90" t="b">
        <v>0</v>
      </c>
    </row>
    <row r="20" spans="1:7" ht="15">
      <c r="A20" s="86" t="s">
        <v>912</v>
      </c>
      <c r="B20" s="90">
        <v>3</v>
      </c>
      <c r="C20" s="114">
        <v>0.007264366324094284</v>
      </c>
      <c r="D20" s="90" t="s">
        <v>953</v>
      </c>
      <c r="E20" s="90" t="b">
        <v>0</v>
      </c>
      <c r="F20" s="90" t="b">
        <v>0</v>
      </c>
      <c r="G20" s="90" t="b">
        <v>0</v>
      </c>
    </row>
    <row r="21" spans="1:7" ht="15">
      <c r="A21" s="86" t="s">
        <v>913</v>
      </c>
      <c r="B21" s="90">
        <v>3</v>
      </c>
      <c r="C21" s="114">
        <v>0.007264366324094284</v>
      </c>
      <c r="D21" s="90" t="s">
        <v>953</v>
      </c>
      <c r="E21" s="90" t="b">
        <v>0</v>
      </c>
      <c r="F21" s="90" t="b">
        <v>0</v>
      </c>
      <c r="G21" s="90" t="b">
        <v>0</v>
      </c>
    </row>
    <row r="22" spans="1:7" ht="15">
      <c r="A22" s="86" t="s">
        <v>750</v>
      </c>
      <c r="B22" s="90">
        <v>3</v>
      </c>
      <c r="C22" s="114">
        <v>0.008390749644279877</v>
      </c>
      <c r="D22" s="90" t="s">
        <v>953</v>
      </c>
      <c r="E22" s="90" t="b">
        <v>0</v>
      </c>
      <c r="F22" s="90" t="b">
        <v>1</v>
      </c>
      <c r="G22" s="90" t="b">
        <v>0</v>
      </c>
    </row>
    <row r="23" spans="1:7" ht="15">
      <c r="A23" s="86" t="s">
        <v>914</v>
      </c>
      <c r="B23" s="90">
        <v>3</v>
      </c>
      <c r="C23" s="114">
        <v>0.007264366324094284</v>
      </c>
      <c r="D23" s="90" t="s">
        <v>953</v>
      </c>
      <c r="E23" s="90" t="b">
        <v>0</v>
      </c>
      <c r="F23" s="90" t="b">
        <v>0</v>
      </c>
      <c r="G23" s="90" t="b">
        <v>0</v>
      </c>
    </row>
    <row r="24" spans="1:7" ht="15">
      <c r="A24" s="86" t="s">
        <v>756</v>
      </c>
      <c r="B24" s="90">
        <v>3</v>
      </c>
      <c r="C24" s="114">
        <v>0.008390749644279877</v>
      </c>
      <c r="D24" s="90" t="s">
        <v>953</v>
      </c>
      <c r="E24" s="90" t="b">
        <v>0</v>
      </c>
      <c r="F24" s="90" t="b">
        <v>0</v>
      </c>
      <c r="G24" s="90" t="b">
        <v>0</v>
      </c>
    </row>
    <row r="25" spans="1:7" ht="15">
      <c r="A25" s="86" t="s">
        <v>915</v>
      </c>
      <c r="B25" s="90">
        <v>3</v>
      </c>
      <c r="C25" s="114">
        <v>0.008390749644279877</v>
      </c>
      <c r="D25" s="90" t="s">
        <v>953</v>
      </c>
      <c r="E25" s="90" t="b">
        <v>0</v>
      </c>
      <c r="F25" s="90" t="b">
        <v>0</v>
      </c>
      <c r="G25" s="90" t="b">
        <v>0</v>
      </c>
    </row>
    <row r="26" spans="1:7" ht="15">
      <c r="A26" s="86" t="s">
        <v>751</v>
      </c>
      <c r="B26" s="90">
        <v>2</v>
      </c>
      <c r="C26" s="114">
        <v>0.005593833096186585</v>
      </c>
      <c r="D26" s="90" t="s">
        <v>953</v>
      </c>
      <c r="E26" s="90" t="b">
        <v>0</v>
      </c>
      <c r="F26" s="90" t="b">
        <v>0</v>
      </c>
      <c r="G26" s="90" t="b">
        <v>0</v>
      </c>
    </row>
    <row r="27" spans="1:7" ht="15">
      <c r="A27" s="86" t="s">
        <v>300</v>
      </c>
      <c r="B27" s="90">
        <v>2</v>
      </c>
      <c r="C27" s="114">
        <v>0.005593833096186585</v>
      </c>
      <c r="D27" s="90" t="s">
        <v>953</v>
      </c>
      <c r="E27" s="90" t="b">
        <v>0</v>
      </c>
      <c r="F27" s="90" t="b">
        <v>0</v>
      </c>
      <c r="G27" s="90" t="b">
        <v>0</v>
      </c>
    </row>
    <row r="28" spans="1:7" ht="15">
      <c r="A28" s="86" t="s">
        <v>916</v>
      </c>
      <c r="B28" s="90">
        <v>2</v>
      </c>
      <c r="C28" s="114">
        <v>0.005593833096186585</v>
      </c>
      <c r="D28" s="90" t="s">
        <v>953</v>
      </c>
      <c r="E28" s="90" t="b">
        <v>0</v>
      </c>
      <c r="F28" s="90" t="b">
        <v>0</v>
      </c>
      <c r="G28" s="90" t="b">
        <v>0</v>
      </c>
    </row>
    <row r="29" spans="1:7" ht="15">
      <c r="A29" s="86" t="s">
        <v>917</v>
      </c>
      <c r="B29" s="90">
        <v>2</v>
      </c>
      <c r="C29" s="114">
        <v>0.005593833096186585</v>
      </c>
      <c r="D29" s="90" t="s">
        <v>953</v>
      </c>
      <c r="E29" s="90" t="b">
        <v>0</v>
      </c>
      <c r="F29" s="90" t="b">
        <v>0</v>
      </c>
      <c r="G29" s="90" t="b">
        <v>0</v>
      </c>
    </row>
    <row r="30" spans="1:7" ht="15">
      <c r="A30" s="86" t="s">
        <v>918</v>
      </c>
      <c r="B30" s="90">
        <v>2</v>
      </c>
      <c r="C30" s="114">
        <v>0.005593833096186585</v>
      </c>
      <c r="D30" s="90" t="s">
        <v>953</v>
      </c>
      <c r="E30" s="90" t="b">
        <v>0</v>
      </c>
      <c r="F30" s="90" t="b">
        <v>0</v>
      </c>
      <c r="G30" s="90" t="b">
        <v>0</v>
      </c>
    </row>
    <row r="31" spans="1:7" ht="15">
      <c r="A31" s="86" t="s">
        <v>919</v>
      </c>
      <c r="B31" s="90">
        <v>2</v>
      </c>
      <c r="C31" s="114">
        <v>0.005593833096186585</v>
      </c>
      <c r="D31" s="90" t="s">
        <v>953</v>
      </c>
      <c r="E31" s="90" t="b">
        <v>0</v>
      </c>
      <c r="F31" s="90" t="b">
        <v>0</v>
      </c>
      <c r="G31" s="90" t="b">
        <v>0</v>
      </c>
    </row>
    <row r="32" spans="1:7" ht="15">
      <c r="A32" s="86" t="s">
        <v>920</v>
      </c>
      <c r="B32" s="90">
        <v>2</v>
      </c>
      <c r="C32" s="114">
        <v>0.005593833096186585</v>
      </c>
      <c r="D32" s="90" t="s">
        <v>953</v>
      </c>
      <c r="E32" s="90" t="b">
        <v>0</v>
      </c>
      <c r="F32" s="90" t="b">
        <v>1</v>
      </c>
      <c r="G32" s="90" t="b">
        <v>0</v>
      </c>
    </row>
    <row r="33" spans="1:7" ht="15">
      <c r="A33" s="86" t="s">
        <v>921</v>
      </c>
      <c r="B33" s="90">
        <v>2</v>
      </c>
      <c r="C33" s="114">
        <v>0.005593833096186585</v>
      </c>
      <c r="D33" s="90" t="s">
        <v>953</v>
      </c>
      <c r="E33" s="90" t="b">
        <v>0</v>
      </c>
      <c r="F33" s="90" t="b">
        <v>0</v>
      </c>
      <c r="G33" s="90" t="b">
        <v>0</v>
      </c>
    </row>
    <row r="34" spans="1:7" ht="15">
      <c r="A34" s="86" t="s">
        <v>922</v>
      </c>
      <c r="B34" s="90">
        <v>2</v>
      </c>
      <c r="C34" s="114">
        <v>0.005593833096186585</v>
      </c>
      <c r="D34" s="90" t="s">
        <v>953</v>
      </c>
      <c r="E34" s="90" t="b">
        <v>0</v>
      </c>
      <c r="F34" s="90" t="b">
        <v>0</v>
      </c>
      <c r="G34" s="90" t="b">
        <v>0</v>
      </c>
    </row>
    <row r="35" spans="1:7" ht="15">
      <c r="A35" s="86" t="s">
        <v>923</v>
      </c>
      <c r="B35" s="90">
        <v>2</v>
      </c>
      <c r="C35" s="114">
        <v>0.005593833096186585</v>
      </c>
      <c r="D35" s="90" t="s">
        <v>953</v>
      </c>
      <c r="E35" s="90" t="b">
        <v>0</v>
      </c>
      <c r="F35" s="90" t="b">
        <v>0</v>
      </c>
      <c r="G35" s="90" t="b">
        <v>0</v>
      </c>
    </row>
    <row r="36" spans="1:7" ht="15">
      <c r="A36" s="86" t="s">
        <v>924</v>
      </c>
      <c r="B36" s="90">
        <v>2</v>
      </c>
      <c r="C36" s="114">
        <v>0.005593833096186585</v>
      </c>
      <c r="D36" s="90" t="s">
        <v>953</v>
      </c>
      <c r="E36" s="90" t="b">
        <v>0</v>
      </c>
      <c r="F36" s="90" t="b">
        <v>0</v>
      </c>
      <c r="G36" s="90" t="b">
        <v>0</v>
      </c>
    </row>
    <row r="37" spans="1:7" ht="15">
      <c r="A37" s="86" t="s">
        <v>925</v>
      </c>
      <c r="B37" s="90">
        <v>2</v>
      </c>
      <c r="C37" s="114">
        <v>0.006877543099018062</v>
      </c>
      <c r="D37" s="90" t="s">
        <v>953</v>
      </c>
      <c r="E37" s="90" t="b">
        <v>0</v>
      </c>
      <c r="F37" s="90" t="b">
        <v>0</v>
      </c>
      <c r="G37" s="90" t="b">
        <v>0</v>
      </c>
    </row>
    <row r="38" spans="1:7" ht="15">
      <c r="A38" s="86" t="s">
        <v>926</v>
      </c>
      <c r="B38" s="90">
        <v>2</v>
      </c>
      <c r="C38" s="114">
        <v>0.005593833096186585</v>
      </c>
      <c r="D38" s="90" t="s">
        <v>953</v>
      </c>
      <c r="E38" s="90" t="b">
        <v>0</v>
      </c>
      <c r="F38" s="90" t="b">
        <v>0</v>
      </c>
      <c r="G38" s="90" t="b">
        <v>0</v>
      </c>
    </row>
    <row r="39" spans="1:7" ht="15">
      <c r="A39" s="86" t="s">
        <v>927</v>
      </c>
      <c r="B39" s="90">
        <v>2</v>
      </c>
      <c r="C39" s="114">
        <v>0.005593833096186585</v>
      </c>
      <c r="D39" s="90" t="s">
        <v>953</v>
      </c>
      <c r="E39" s="90" t="b">
        <v>0</v>
      </c>
      <c r="F39" s="90" t="b">
        <v>0</v>
      </c>
      <c r="G39" s="90" t="b">
        <v>0</v>
      </c>
    </row>
    <row r="40" spans="1:7" ht="15">
      <c r="A40" s="86" t="s">
        <v>928</v>
      </c>
      <c r="B40" s="90">
        <v>2</v>
      </c>
      <c r="C40" s="114">
        <v>0.005593833096186585</v>
      </c>
      <c r="D40" s="90" t="s">
        <v>953</v>
      </c>
      <c r="E40" s="90" t="b">
        <v>0</v>
      </c>
      <c r="F40" s="90" t="b">
        <v>0</v>
      </c>
      <c r="G40" s="90" t="b">
        <v>0</v>
      </c>
    </row>
    <row r="41" spans="1:7" ht="15">
      <c r="A41" s="86" t="s">
        <v>929</v>
      </c>
      <c r="B41" s="90">
        <v>2</v>
      </c>
      <c r="C41" s="114">
        <v>0.005593833096186585</v>
      </c>
      <c r="D41" s="90" t="s">
        <v>953</v>
      </c>
      <c r="E41" s="90" t="b">
        <v>0</v>
      </c>
      <c r="F41" s="90" t="b">
        <v>0</v>
      </c>
      <c r="G41" s="90" t="b">
        <v>0</v>
      </c>
    </row>
    <row r="42" spans="1:7" ht="15">
      <c r="A42" s="86" t="s">
        <v>930</v>
      </c>
      <c r="B42" s="90">
        <v>2</v>
      </c>
      <c r="C42" s="114">
        <v>0.005593833096186585</v>
      </c>
      <c r="D42" s="90" t="s">
        <v>953</v>
      </c>
      <c r="E42" s="90" t="b">
        <v>0</v>
      </c>
      <c r="F42" s="90" t="b">
        <v>0</v>
      </c>
      <c r="G42" s="90" t="b">
        <v>0</v>
      </c>
    </row>
    <row r="43" spans="1:7" ht="15">
      <c r="A43" s="86" t="s">
        <v>752</v>
      </c>
      <c r="B43" s="90">
        <v>2</v>
      </c>
      <c r="C43" s="114">
        <v>0.005593833096186585</v>
      </c>
      <c r="D43" s="90" t="s">
        <v>953</v>
      </c>
      <c r="E43" s="90" t="b">
        <v>0</v>
      </c>
      <c r="F43" s="90" t="b">
        <v>0</v>
      </c>
      <c r="G43" s="90" t="b">
        <v>0</v>
      </c>
    </row>
    <row r="44" spans="1:7" ht="15">
      <c r="A44" s="86" t="s">
        <v>931</v>
      </c>
      <c r="B44" s="90">
        <v>2</v>
      </c>
      <c r="C44" s="114">
        <v>0.005593833096186585</v>
      </c>
      <c r="D44" s="90" t="s">
        <v>953</v>
      </c>
      <c r="E44" s="90" t="b">
        <v>0</v>
      </c>
      <c r="F44" s="90" t="b">
        <v>0</v>
      </c>
      <c r="G44" s="90" t="b">
        <v>0</v>
      </c>
    </row>
    <row r="45" spans="1:7" ht="15">
      <c r="A45" s="86" t="s">
        <v>932</v>
      </c>
      <c r="B45" s="90">
        <v>2</v>
      </c>
      <c r="C45" s="114">
        <v>0.005593833096186585</v>
      </c>
      <c r="D45" s="90" t="s">
        <v>953</v>
      </c>
      <c r="E45" s="90" t="b">
        <v>0</v>
      </c>
      <c r="F45" s="90" t="b">
        <v>0</v>
      </c>
      <c r="G45" s="90" t="b">
        <v>0</v>
      </c>
    </row>
    <row r="46" spans="1:7" ht="15">
      <c r="A46" s="86" t="s">
        <v>933</v>
      </c>
      <c r="B46" s="90">
        <v>2</v>
      </c>
      <c r="C46" s="114">
        <v>0.005593833096186585</v>
      </c>
      <c r="D46" s="90" t="s">
        <v>953</v>
      </c>
      <c r="E46" s="90" t="b">
        <v>0</v>
      </c>
      <c r="F46" s="90" t="b">
        <v>0</v>
      </c>
      <c r="G46" s="90" t="b">
        <v>0</v>
      </c>
    </row>
    <row r="47" spans="1:7" ht="15">
      <c r="A47" s="86" t="s">
        <v>934</v>
      </c>
      <c r="B47" s="90">
        <v>2</v>
      </c>
      <c r="C47" s="114">
        <v>0.005593833096186585</v>
      </c>
      <c r="D47" s="90" t="s">
        <v>953</v>
      </c>
      <c r="E47" s="90" t="b">
        <v>0</v>
      </c>
      <c r="F47" s="90" t="b">
        <v>0</v>
      </c>
      <c r="G47" s="90" t="b">
        <v>0</v>
      </c>
    </row>
    <row r="48" spans="1:7" ht="15">
      <c r="A48" s="86" t="s">
        <v>935</v>
      </c>
      <c r="B48" s="90">
        <v>2</v>
      </c>
      <c r="C48" s="114">
        <v>0.005593833096186585</v>
      </c>
      <c r="D48" s="90" t="s">
        <v>953</v>
      </c>
      <c r="E48" s="90" t="b">
        <v>0</v>
      </c>
      <c r="F48" s="90" t="b">
        <v>0</v>
      </c>
      <c r="G48" s="90" t="b">
        <v>0</v>
      </c>
    </row>
    <row r="49" spans="1:7" ht="15">
      <c r="A49" s="86" t="s">
        <v>293</v>
      </c>
      <c r="B49" s="90">
        <v>2</v>
      </c>
      <c r="C49" s="114">
        <v>0.005593833096186585</v>
      </c>
      <c r="D49" s="90" t="s">
        <v>953</v>
      </c>
      <c r="E49" s="90" t="b">
        <v>0</v>
      </c>
      <c r="F49" s="90" t="b">
        <v>0</v>
      </c>
      <c r="G49" s="90" t="b">
        <v>0</v>
      </c>
    </row>
    <row r="50" spans="1:7" ht="15">
      <c r="A50" s="86" t="s">
        <v>936</v>
      </c>
      <c r="B50" s="90">
        <v>2</v>
      </c>
      <c r="C50" s="114">
        <v>0.005593833096186585</v>
      </c>
      <c r="D50" s="90" t="s">
        <v>953</v>
      </c>
      <c r="E50" s="90" t="b">
        <v>0</v>
      </c>
      <c r="F50" s="90" t="b">
        <v>0</v>
      </c>
      <c r="G50" s="90" t="b">
        <v>0</v>
      </c>
    </row>
    <row r="51" spans="1:7" ht="15">
      <c r="A51" s="86" t="s">
        <v>937</v>
      </c>
      <c r="B51" s="90">
        <v>2</v>
      </c>
      <c r="C51" s="114">
        <v>0.005593833096186585</v>
      </c>
      <c r="D51" s="90" t="s">
        <v>953</v>
      </c>
      <c r="E51" s="90" t="b">
        <v>0</v>
      </c>
      <c r="F51" s="90" t="b">
        <v>0</v>
      </c>
      <c r="G51" s="90" t="b">
        <v>0</v>
      </c>
    </row>
    <row r="52" spans="1:7" ht="15">
      <c r="A52" s="86" t="s">
        <v>938</v>
      </c>
      <c r="B52" s="90">
        <v>2</v>
      </c>
      <c r="C52" s="114">
        <v>0.005593833096186585</v>
      </c>
      <c r="D52" s="90" t="s">
        <v>953</v>
      </c>
      <c r="E52" s="90" t="b">
        <v>0</v>
      </c>
      <c r="F52" s="90" t="b">
        <v>0</v>
      </c>
      <c r="G52" s="90" t="b">
        <v>0</v>
      </c>
    </row>
    <row r="53" spans="1:7" ht="15">
      <c r="A53" s="86" t="s">
        <v>754</v>
      </c>
      <c r="B53" s="90">
        <v>2</v>
      </c>
      <c r="C53" s="114">
        <v>0.006877543099018062</v>
      </c>
      <c r="D53" s="90" t="s">
        <v>953</v>
      </c>
      <c r="E53" s="90" t="b">
        <v>0</v>
      </c>
      <c r="F53" s="90" t="b">
        <v>0</v>
      </c>
      <c r="G53" s="90" t="b">
        <v>0</v>
      </c>
    </row>
    <row r="54" spans="1:7" ht="15">
      <c r="A54" s="86" t="s">
        <v>939</v>
      </c>
      <c r="B54" s="90">
        <v>2</v>
      </c>
      <c r="C54" s="114">
        <v>0.005593833096186585</v>
      </c>
      <c r="D54" s="90" t="s">
        <v>953</v>
      </c>
      <c r="E54" s="90" t="b">
        <v>0</v>
      </c>
      <c r="F54" s="90" t="b">
        <v>1</v>
      </c>
      <c r="G54" s="90" t="b">
        <v>0</v>
      </c>
    </row>
    <row r="55" spans="1:7" ht="15">
      <c r="A55" s="86" t="s">
        <v>755</v>
      </c>
      <c r="B55" s="90">
        <v>2</v>
      </c>
      <c r="C55" s="114">
        <v>0.006877543099018062</v>
      </c>
      <c r="D55" s="90" t="s">
        <v>953</v>
      </c>
      <c r="E55" s="90" t="b">
        <v>0</v>
      </c>
      <c r="F55" s="90" t="b">
        <v>0</v>
      </c>
      <c r="G55" s="90" t="b">
        <v>0</v>
      </c>
    </row>
    <row r="56" spans="1:7" ht="15">
      <c r="A56" s="86" t="s">
        <v>940</v>
      </c>
      <c r="B56" s="90">
        <v>2</v>
      </c>
      <c r="C56" s="114">
        <v>0.005593833096186585</v>
      </c>
      <c r="D56" s="90" t="s">
        <v>953</v>
      </c>
      <c r="E56" s="90" t="b">
        <v>0</v>
      </c>
      <c r="F56" s="90" t="b">
        <v>0</v>
      </c>
      <c r="G56" s="90" t="b">
        <v>0</v>
      </c>
    </row>
    <row r="57" spans="1:7" ht="15">
      <c r="A57" s="86" t="s">
        <v>941</v>
      </c>
      <c r="B57" s="90">
        <v>2</v>
      </c>
      <c r="C57" s="114">
        <v>0.005593833096186585</v>
      </c>
      <c r="D57" s="90" t="s">
        <v>953</v>
      </c>
      <c r="E57" s="90" t="b">
        <v>0</v>
      </c>
      <c r="F57" s="90" t="b">
        <v>0</v>
      </c>
      <c r="G57" s="90" t="b">
        <v>0</v>
      </c>
    </row>
    <row r="58" spans="1:7" ht="15">
      <c r="A58" s="86" t="s">
        <v>942</v>
      </c>
      <c r="B58" s="90">
        <v>2</v>
      </c>
      <c r="C58" s="114">
        <v>0.005593833096186585</v>
      </c>
      <c r="D58" s="90" t="s">
        <v>953</v>
      </c>
      <c r="E58" s="90" t="b">
        <v>0</v>
      </c>
      <c r="F58" s="90" t="b">
        <v>0</v>
      </c>
      <c r="G58" s="90" t="b">
        <v>0</v>
      </c>
    </row>
    <row r="59" spans="1:7" ht="15">
      <c r="A59" s="86" t="s">
        <v>943</v>
      </c>
      <c r="B59" s="90">
        <v>2</v>
      </c>
      <c r="C59" s="114">
        <v>0.005593833096186585</v>
      </c>
      <c r="D59" s="90" t="s">
        <v>953</v>
      </c>
      <c r="E59" s="90" t="b">
        <v>0</v>
      </c>
      <c r="F59" s="90" t="b">
        <v>0</v>
      </c>
      <c r="G59" s="90" t="b">
        <v>0</v>
      </c>
    </row>
    <row r="60" spans="1:7" ht="15">
      <c r="A60" s="86" t="s">
        <v>944</v>
      </c>
      <c r="B60" s="90">
        <v>2</v>
      </c>
      <c r="C60" s="114">
        <v>0.005593833096186585</v>
      </c>
      <c r="D60" s="90" t="s">
        <v>953</v>
      </c>
      <c r="E60" s="90" t="b">
        <v>0</v>
      </c>
      <c r="F60" s="90" t="b">
        <v>0</v>
      </c>
      <c r="G60" s="90" t="b">
        <v>0</v>
      </c>
    </row>
    <row r="61" spans="1:7" ht="15">
      <c r="A61" s="86" t="s">
        <v>945</v>
      </c>
      <c r="B61" s="90">
        <v>2</v>
      </c>
      <c r="C61" s="114">
        <v>0.005593833096186585</v>
      </c>
      <c r="D61" s="90" t="s">
        <v>953</v>
      </c>
      <c r="E61" s="90" t="b">
        <v>0</v>
      </c>
      <c r="F61" s="90" t="b">
        <v>0</v>
      </c>
      <c r="G61" s="90" t="b">
        <v>0</v>
      </c>
    </row>
    <row r="62" spans="1:7" ht="15">
      <c r="A62" s="86" t="s">
        <v>946</v>
      </c>
      <c r="B62" s="90">
        <v>2</v>
      </c>
      <c r="C62" s="114">
        <v>0.005593833096186585</v>
      </c>
      <c r="D62" s="90" t="s">
        <v>953</v>
      </c>
      <c r="E62" s="90" t="b">
        <v>0</v>
      </c>
      <c r="F62" s="90" t="b">
        <v>1</v>
      </c>
      <c r="G62" s="90" t="b">
        <v>0</v>
      </c>
    </row>
    <row r="63" spans="1:7" ht="15">
      <c r="A63" s="86" t="s">
        <v>274</v>
      </c>
      <c r="B63" s="90">
        <v>2</v>
      </c>
      <c r="C63" s="114">
        <v>0.005593833096186585</v>
      </c>
      <c r="D63" s="90" t="s">
        <v>953</v>
      </c>
      <c r="E63" s="90" t="b">
        <v>0</v>
      </c>
      <c r="F63" s="90" t="b">
        <v>0</v>
      </c>
      <c r="G63" s="90" t="b">
        <v>0</v>
      </c>
    </row>
    <row r="64" spans="1:7" ht="15">
      <c r="A64" s="86" t="s">
        <v>947</v>
      </c>
      <c r="B64" s="90">
        <v>2</v>
      </c>
      <c r="C64" s="114">
        <v>0.005593833096186585</v>
      </c>
      <c r="D64" s="90" t="s">
        <v>953</v>
      </c>
      <c r="E64" s="90" t="b">
        <v>0</v>
      </c>
      <c r="F64" s="90" t="b">
        <v>0</v>
      </c>
      <c r="G64" s="90" t="b">
        <v>0</v>
      </c>
    </row>
    <row r="65" spans="1:7" ht="15">
      <c r="A65" s="86" t="s">
        <v>291</v>
      </c>
      <c r="B65" s="90">
        <v>27</v>
      </c>
      <c r="C65" s="114">
        <v>0.0014653683347038854</v>
      </c>
      <c r="D65" s="90" t="s">
        <v>705</v>
      </c>
      <c r="E65" s="90" t="b">
        <v>0</v>
      </c>
      <c r="F65" s="90" t="b">
        <v>0</v>
      </c>
      <c r="G65" s="90" t="b">
        <v>0</v>
      </c>
    </row>
    <row r="66" spans="1:7" ht="15">
      <c r="A66" s="86" t="s">
        <v>289</v>
      </c>
      <c r="B66" s="90">
        <v>26</v>
      </c>
      <c r="C66" s="114">
        <v>0.0014110954334185563</v>
      </c>
      <c r="D66" s="90" t="s">
        <v>705</v>
      </c>
      <c r="E66" s="90" t="b">
        <v>0</v>
      </c>
      <c r="F66" s="90" t="b">
        <v>0</v>
      </c>
      <c r="G66" s="90" t="b">
        <v>0</v>
      </c>
    </row>
    <row r="67" spans="1:7" ht="15">
      <c r="A67" s="86" t="s">
        <v>290</v>
      </c>
      <c r="B67" s="90">
        <v>26</v>
      </c>
      <c r="C67" s="114">
        <v>0.0014110954334185563</v>
      </c>
      <c r="D67" s="90" t="s">
        <v>705</v>
      </c>
      <c r="E67" s="90" t="b">
        <v>0</v>
      </c>
      <c r="F67" s="90" t="b">
        <v>0</v>
      </c>
      <c r="G67" s="90" t="b">
        <v>0</v>
      </c>
    </row>
    <row r="68" spans="1:7" ht="15">
      <c r="A68" s="86" t="s">
        <v>743</v>
      </c>
      <c r="B68" s="90">
        <v>6</v>
      </c>
      <c r="C68" s="114">
        <v>0.012977732061761796</v>
      </c>
      <c r="D68" s="90" t="s">
        <v>705</v>
      </c>
      <c r="E68" s="90" t="b">
        <v>0</v>
      </c>
      <c r="F68" s="90" t="b">
        <v>0</v>
      </c>
      <c r="G68" s="90" t="b">
        <v>0</v>
      </c>
    </row>
    <row r="69" spans="1:7" ht="15">
      <c r="A69" s="86" t="s">
        <v>744</v>
      </c>
      <c r="B69" s="90">
        <v>6</v>
      </c>
      <c r="C69" s="114">
        <v>0.012977732061761796</v>
      </c>
      <c r="D69" s="90" t="s">
        <v>705</v>
      </c>
      <c r="E69" s="90" t="b">
        <v>0</v>
      </c>
      <c r="F69" s="90" t="b">
        <v>0</v>
      </c>
      <c r="G69" s="90" t="b">
        <v>0</v>
      </c>
    </row>
    <row r="70" spans="1:7" ht="15">
      <c r="A70" s="86" t="s">
        <v>292</v>
      </c>
      <c r="B70" s="90">
        <v>4</v>
      </c>
      <c r="C70" s="114">
        <v>0.010984155931536755</v>
      </c>
      <c r="D70" s="90" t="s">
        <v>705</v>
      </c>
      <c r="E70" s="90" t="b">
        <v>0</v>
      </c>
      <c r="F70" s="90" t="b">
        <v>0</v>
      </c>
      <c r="G70" s="90" t="b">
        <v>0</v>
      </c>
    </row>
    <row r="71" spans="1:7" ht="15">
      <c r="A71" s="86" t="s">
        <v>746</v>
      </c>
      <c r="B71" s="90">
        <v>4</v>
      </c>
      <c r="C71" s="114">
        <v>0.010984155931536755</v>
      </c>
      <c r="D71" s="90" t="s">
        <v>705</v>
      </c>
      <c r="E71" s="90" t="b">
        <v>0</v>
      </c>
      <c r="F71" s="90" t="b">
        <v>0</v>
      </c>
      <c r="G71" s="90" t="b">
        <v>0</v>
      </c>
    </row>
    <row r="72" spans="1:7" ht="15">
      <c r="A72" s="86" t="s">
        <v>750</v>
      </c>
      <c r="B72" s="90">
        <v>3</v>
      </c>
      <c r="C72" s="114">
        <v>0.011228481143990127</v>
      </c>
      <c r="D72" s="90" t="s">
        <v>705</v>
      </c>
      <c r="E72" s="90" t="b">
        <v>0</v>
      </c>
      <c r="F72" s="90" t="b">
        <v>1</v>
      </c>
      <c r="G72" s="90" t="b">
        <v>0</v>
      </c>
    </row>
    <row r="73" spans="1:7" ht="15">
      <c r="A73" s="86" t="s">
        <v>751</v>
      </c>
      <c r="B73" s="90">
        <v>2</v>
      </c>
      <c r="C73" s="114">
        <v>0.007485654095993418</v>
      </c>
      <c r="D73" s="90" t="s">
        <v>705</v>
      </c>
      <c r="E73" s="90" t="b">
        <v>0</v>
      </c>
      <c r="F73" s="90" t="b">
        <v>0</v>
      </c>
      <c r="G73" s="90" t="b">
        <v>0</v>
      </c>
    </row>
    <row r="74" spans="1:7" ht="15">
      <c r="A74" s="86" t="s">
        <v>752</v>
      </c>
      <c r="B74" s="90">
        <v>2</v>
      </c>
      <c r="C74" s="114">
        <v>0.007485654095993418</v>
      </c>
      <c r="D74" s="90" t="s">
        <v>705</v>
      </c>
      <c r="E74" s="90" t="b">
        <v>0</v>
      </c>
      <c r="F74" s="90" t="b">
        <v>0</v>
      </c>
      <c r="G74" s="90" t="b">
        <v>0</v>
      </c>
    </row>
    <row r="75" spans="1:7" ht="15">
      <c r="A75" s="86" t="s">
        <v>745</v>
      </c>
      <c r="B75" s="90">
        <v>2</v>
      </c>
      <c r="C75" s="114">
        <v>0.009479230226218459</v>
      </c>
      <c r="D75" s="90" t="s">
        <v>705</v>
      </c>
      <c r="E75" s="90" t="b">
        <v>0</v>
      </c>
      <c r="F75" s="90" t="b">
        <v>0</v>
      </c>
      <c r="G75" s="90" t="b">
        <v>0</v>
      </c>
    </row>
    <row r="76" spans="1:7" ht="15">
      <c r="A76" s="86" t="s">
        <v>933</v>
      </c>
      <c r="B76" s="90">
        <v>2</v>
      </c>
      <c r="C76" s="114">
        <v>0.007485654095993418</v>
      </c>
      <c r="D76" s="90" t="s">
        <v>705</v>
      </c>
      <c r="E76" s="90" t="b">
        <v>0</v>
      </c>
      <c r="F76" s="90" t="b">
        <v>0</v>
      </c>
      <c r="G76" s="90" t="b">
        <v>0</v>
      </c>
    </row>
    <row r="77" spans="1:7" ht="15">
      <c r="A77" s="86" t="s">
        <v>944</v>
      </c>
      <c r="B77" s="90">
        <v>2</v>
      </c>
      <c r="C77" s="114">
        <v>0.007485654095993418</v>
      </c>
      <c r="D77" s="90" t="s">
        <v>705</v>
      </c>
      <c r="E77" s="90" t="b">
        <v>0</v>
      </c>
      <c r="F77" s="90" t="b">
        <v>0</v>
      </c>
      <c r="G77" s="90" t="b">
        <v>0</v>
      </c>
    </row>
    <row r="78" spans="1:7" ht="15">
      <c r="A78" s="86" t="s">
        <v>917</v>
      </c>
      <c r="B78" s="90">
        <v>2</v>
      </c>
      <c r="C78" s="114">
        <v>0.007485654095993418</v>
      </c>
      <c r="D78" s="90" t="s">
        <v>705</v>
      </c>
      <c r="E78" s="90" t="b">
        <v>0</v>
      </c>
      <c r="F78" s="90" t="b">
        <v>0</v>
      </c>
      <c r="G78" s="90" t="b">
        <v>0</v>
      </c>
    </row>
    <row r="79" spans="1:7" ht="15">
      <c r="A79" s="86" t="s">
        <v>929</v>
      </c>
      <c r="B79" s="90">
        <v>2</v>
      </c>
      <c r="C79" s="114">
        <v>0.007485654095993418</v>
      </c>
      <c r="D79" s="90" t="s">
        <v>705</v>
      </c>
      <c r="E79" s="90" t="b">
        <v>0</v>
      </c>
      <c r="F79" s="90" t="b">
        <v>0</v>
      </c>
      <c r="G79" s="90" t="b">
        <v>0</v>
      </c>
    </row>
    <row r="80" spans="1:7" ht="15">
      <c r="A80" s="86" t="s">
        <v>912</v>
      </c>
      <c r="B80" s="90">
        <v>2</v>
      </c>
      <c r="C80" s="114">
        <v>0.007485654095993418</v>
      </c>
      <c r="D80" s="90" t="s">
        <v>705</v>
      </c>
      <c r="E80" s="90" t="b">
        <v>0</v>
      </c>
      <c r="F80" s="90" t="b">
        <v>0</v>
      </c>
      <c r="G80" s="90" t="b">
        <v>0</v>
      </c>
    </row>
    <row r="81" spans="1:7" ht="15">
      <c r="A81" s="86" t="s">
        <v>913</v>
      </c>
      <c r="B81" s="90">
        <v>2</v>
      </c>
      <c r="C81" s="114">
        <v>0.007485654095993418</v>
      </c>
      <c r="D81" s="90" t="s">
        <v>705</v>
      </c>
      <c r="E81" s="90" t="b">
        <v>0</v>
      </c>
      <c r="F81" s="90" t="b">
        <v>0</v>
      </c>
      <c r="G81" s="90" t="b">
        <v>0</v>
      </c>
    </row>
    <row r="82" spans="1:7" ht="15">
      <c r="A82" s="86" t="s">
        <v>300</v>
      </c>
      <c r="B82" s="90">
        <v>2</v>
      </c>
      <c r="C82" s="114">
        <v>0.007485654095993418</v>
      </c>
      <c r="D82" s="90" t="s">
        <v>705</v>
      </c>
      <c r="E82" s="90" t="b">
        <v>0</v>
      </c>
      <c r="F82" s="90" t="b">
        <v>0</v>
      </c>
      <c r="G82" s="90" t="b">
        <v>0</v>
      </c>
    </row>
    <row r="83" spans="1:7" ht="15">
      <c r="A83" s="86" t="s">
        <v>916</v>
      </c>
      <c r="B83" s="90">
        <v>2</v>
      </c>
      <c r="C83" s="114">
        <v>0.007485654095993418</v>
      </c>
      <c r="D83" s="90" t="s">
        <v>705</v>
      </c>
      <c r="E83" s="90" t="b">
        <v>0</v>
      </c>
      <c r="F83" s="90" t="b">
        <v>0</v>
      </c>
      <c r="G83" s="90" t="b">
        <v>0</v>
      </c>
    </row>
    <row r="84" spans="1:7" ht="15">
      <c r="A84" s="86" t="s">
        <v>919</v>
      </c>
      <c r="B84" s="90">
        <v>2</v>
      </c>
      <c r="C84" s="114">
        <v>0.007485654095993418</v>
      </c>
      <c r="D84" s="90" t="s">
        <v>705</v>
      </c>
      <c r="E84" s="90" t="b">
        <v>0</v>
      </c>
      <c r="F84" s="90" t="b">
        <v>0</v>
      </c>
      <c r="G84" s="90" t="b">
        <v>0</v>
      </c>
    </row>
    <row r="85" spans="1:7" ht="15">
      <c r="A85" s="86" t="s">
        <v>920</v>
      </c>
      <c r="B85" s="90">
        <v>2</v>
      </c>
      <c r="C85" s="114">
        <v>0.007485654095993418</v>
      </c>
      <c r="D85" s="90" t="s">
        <v>705</v>
      </c>
      <c r="E85" s="90" t="b">
        <v>0</v>
      </c>
      <c r="F85" s="90" t="b">
        <v>1</v>
      </c>
      <c r="G85" s="90" t="b">
        <v>0</v>
      </c>
    </row>
    <row r="86" spans="1:7" ht="15">
      <c r="A86" s="86" t="s">
        <v>922</v>
      </c>
      <c r="B86" s="90">
        <v>2</v>
      </c>
      <c r="C86" s="114">
        <v>0.007485654095993418</v>
      </c>
      <c r="D86" s="90" t="s">
        <v>705</v>
      </c>
      <c r="E86" s="90" t="b">
        <v>0</v>
      </c>
      <c r="F86" s="90" t="b">
        <v>0</v>
      </c>
      <c r="G86" s="90" t="b">
        <v>0</v>
      </c>
    </row>
    <row r="87" spans="1:7" ht="15">
      <c r="A87" s="86" t="s">
        <v>914</v>
      </c>
      <c r="B87" s="90">
        <v>2</v>
      </c>
      <c r="C87" s="114">
        <v>0.007485654095993418</v>
      </c>
      <c r="D87" s="90" t="s">
        <v>705</v>
      </c>
      <c r="E87" s="90" t="b">
        <v>0</v>
      </c>
      <c r="F87" s="90" t="b">
        <v>0</v>
      </c>
      <c r="G87" s="90" t="b">
        <v>0</v>
      </c>
    </row>
    <row r="88" spans="1:7" ht="15">
      <c r="A88" s="86" t="s">
        <v>923</v>
      </c>
      <c r="B88" s="90">
        <v>2</v>
      </c>
      <c r="C88" s="114">
        <v>0.007485654095993418</v>
      </c>
      <c r="D88" s="90" t="s">
        <v>705</v>
      </c>
      <c r="E88" s="90" t="b">
        <v>0</v>
      </c>
      <c r="F88" s="90" t="b">
        <v>0</v>
      </c>
      <c r="G88" s="90" t="b">
        <v>0</v>
      </c>
    </row>
    <row r="89" spans="1:7" ht="15">
      <c r="A89" s="86" t="s">
        <v>747</v>
      </c>
      <c r="B89" s="90">
        <v>2</v>
      </c>
      <c r="C89" s="114">
        <v>0.007485654095993418</v>
      </c>
      <c r="D89" s="90" t="s">
        <v>705</v>
      </c>
      <c r="E89" s="90" t="b">
        <v>0</v>
      </c>
      <c r="F89" s="90" t="b">
        <v>0</v>
      </c>
      <c r="G89" s="90" t="b">
        <v>0</v>
      </c>
    </row>
    <row r="90" spans="1:7" ht="15">
      <c r="A90" s="86" t="s">
        <v>925</v>
      </c>
      <c r="B90" s="90">
        <v>2</v>
      </c>
      <c r="C90" s="114">
        <v>0.009479230226218459</v>
      </c>
      <c r="D90" s="90" t="s">
        <v>705</v>
      </c>
      <c r="E90" s="90" t="b">
        <v>0</v>
      </c>
      <c r="F90" s="90" t="b">
        <v>0</v>
      </c>
      <c r="G90" s="90" t="b">
        <v>0</v>
      </c>
    </row>
    <row r="91" spans="1:7" ht="15">
      <c r="A91" s="86" t="s">
        <v>926</v>
      </c>
      <c r="B91" s="90">
        <v>2</v>
      </c>
      <c r="C91" s="114">
        <v>0.007485654095993418</v>
      </c>
      <c r="D91" s="90" t="s">
        <v>705</v>
      </c>
      <c r="E91" s="90" t="b">
        <v>0</v>
      </c>
      <c r="F91" s="90" t="b">
        <v>0</v>
      </c>
      <c r="G91" s="90" t="b">
        <v>0</v>
      </c>
    </row>
    <row r="92" spans="1:7" ht="15">
      <c r="A92" s="86" t="s">
        <v>927</v>
      </c>
      <c r="B92" s="90">
        <v>2</v>
      </c>
      <c r="C92" s="114">
        <v>0.007485654095993418</v>
      </c>
      <c r="D92" s="90" t="s">
        <v>705</v>
      </c>
      <c r="E92" s="90" t="b">
        <v>0</v>
      </c>
      <c r="F92" s="90" t="b">
        <v>0</v>
      </c>
      <c r="G92" s="90" t="b">
        <v>0</v>
      </c>
    </row>
    <row r="93" spans="1:7" ht="15">
      <c r="A93" s="86" t="s">
        <v>915</v>
      </c>
      <c r="B93" s="90">
        <v>2</v>
      </c>
      <c r="C93" s="114">
        <v>0.009479230226218459</v>
      </c>
      <c r="D93" s="90" t="s">
        <v>705</v>
      </c>
      <c r="E93" s="90" t="b">
        <v>0</v>
      </c>
      <c r="F93" s="90" t="b">
        <v>0</v>
      </c>
      <c r="G93" s="90" t="b">
        <v>0</v>
      </c>
    </row>
    <row r="94" spans="1:7" ht="15">
      <c r="A94" s="86" t="s">
        <v>289</v>
      </c>
      <c r="B94" s="90">
        <v>11</v>
      </c>
      <c r="C94" s="114">
        <v>0</v>
      </c>
      <c r="D94" s="90" t="s">
        <v>706</v>
      </c>
      <c r="E94" s="90" t="b">
        <v>0</v>
      </c>
      <c r="F94" s="90" t="b">
        <v>0</v>
      </c>
      <c r="G94" s="90" t="b">
        <v>0</v>
      </c>
    </row>
    <row r="95" spans="1:7" ht="15">
      <c r="A95" s="86" t="s">
        <v>292</v>
      </c>
      <c r="B95" s="90">
        <v>11</v>
      </c>
      <c r="C95" s="114">
        <v>0</v>
      </c>
      <c r="D95" s="90" t="s">
        <v>706</v>
      </c>
      <c r="E95" s="90" t="b">
        <v>0</v>
      </c>
      <c r="F95" s="90" t="b">
        <v>0</v>
      </c>
      <c r="G95" s="90" t="b">
        <v>0</v>
      </c>
    </row>
    <row r="96" spans="1:7" ht="15">
      <c r="A96" s="86" t="s">
        <v>291</v>
      </c>
      <c r="B96" s="90">
        <v>11</v>
      </c>
      <c r="C96" s="114">
        <v>0</v>
      </c>
      <c r="D96" s="90" t="s">
        <v>706</v>
      </c>
      <c r="E96" s="90" t="b">
        <v>0</v>
      </c>
      <c r="F96" s="90" t="b">
        <v>0</v>
      </c>
      <c r="G96" s="90" t="b">
        <v>0</v>
      </c>
    </row>
    <row r="97" spans="1:7" ht="15">
      <c r="A97" s="86" t="s">
        <v>290</v>
      </c>
      <c r="B97" s="90">
        <v>11</v>
      </c>
      <c r="C97" s="114">
        <v>0</v>
      </c>
      <c r="D97" s="90" t="s">
        <v>706</v>
      </c>
      <c r="E97" s="90" t="b">
        <v>0</v>
      </c>
      <c r="F97" s="90" t="b">
        <v>0</v>
      </c>
      <c r="G97" s="90" t="b">
        <v>0</v>
      </c>
    </row>
    <row r="98" spans="1:7" ht="15">
      <c r="A98" s="86" t="s">
        <v>754</v>
      </c>
      <c r="B98" s="90">
        <v>2</v>
      </c>
      <c r="C98" s="114">
        <v>0.015202812922017885</v>
      </c>
      <c r="D98" s="90" t="s">
        <v>706</v>
      </c>
      <c r="E98" s="90" t="b">
        <v>0</v>
      </c>
      <c r="F98" s="90" t="b">
        <v>0</v>
      </c>
      <c r="G98" s="90" t="b">
        <v>0</v>
      </c>
    </row>
    <row r="99" spans="1:7" ht="15">
      <c r="A99" s="86" t="s">
        <v>755</v>
      </c>
      <c r="B99" s="90">
        <v>2</v>
      </c>
      <c r="C99" s="114">
        <v>0.015202812922017885</v>
      </c>
      <c r="D99" s="90" t="s">
        <v>706</v>
      </c>
      <c r="E99" s="90" t="b">
        <v>0</v>
      </c>
      <c r="F99" s="90" t="b">
        <v>0</v>
      </c>
      <c r="G99" s="90" t="b">
        <v>0</v>
      </c>
    </row>
    <row r="100" spans="1:7" ht="15">
      <c r="A100" s="86" t="s">
        <v>747</v>
      </c>
      <c r="B100" s="90">
        <v>2</v>
      </c>
      <c r="C100" s="114">
        <v>0.010808214445171443</v>
      </c>
      <c r="D100" s="90" t="s">
        <v>706</v>
      </c>
      <c r="E100" s="90" t="b">
        <v>0</v>
      </c>
      <c r="F100" s="90" t="b">
        <v>0</v>
      </c>
      <c r="G100" s="90" t="b">
        <v>0</v>
      </c>
    </row>
    <row r="101" spans="1:7" ht="15">
      <c r="A101" s="86" t="s">
        <v>274</v>
      </c>
      <c r="B101" s="90">
        <v>2</v>
      </c>
      <c r="C101" s="114">
        <v>0.010808214445171443</v>
      </c>
      <c r="D101" s="90" t="s">
        <v>706</v>
      </c>
      <c r="E101" s="90" t="b">
        <v>0</v>
      </c>
      <c r="F101" s="90" t="b">
        <v>0</v>
      </c>
      <c r="G101" s="90" t="b">
        <v>0</v>
      </c>
    </row>
    <row r="102" spans="1:7" ht="15">
      <c r="A102" s="86" t="s">
        <v>756</v>
      </c>
      <c r="B102" s="90">
        <v>2</v>
      </c>
      <c r="C102" s="114">
        <v>0.015202812922017885</v>
      </c>
      <c r="D102" s="90" t="s">
        <v>706</v>
      </c>
      <c r="E102" s="90" t="b">
        <v>0</v>
      </c>
      <c r="F102" s="90" t="b">
        <v>0</v>
      </c>
      <c r="G102" s="90" t="b">
        <v>0</v>
      </c>
    </row>
    <row r="103" spans="1:7" ht="15">
      <c r="A103" s="86" t="s">
        <v>745</v>
      </c>
      <c r="B103" s="90">
        <v>4</v>
      </c>
      <c r="C103" s="114">
        <v>0.050171665943996864</v>
      </c>
      <c r="D103" s="90" t="s">
        <v>707</v>
      </c>
      <c r="E103" s="90" t="b">
        <v>0</v>
      </c>
      <c r="F103" s="90" t="b">
        <v>0</v>
      </c>
      <c r="G103" s="90" t="b">
        <v>0</v>
      </c>
    </row>
    <row r="104" spans="1:7" ht="15">
      <c r="A104" s="86" t="s">
        <v>289</v>
      </c>
      <c r="B104" s="90">
        <v>2</v>
      </c>
      <c r="C104" s="114">
        <v>0</v>
      </c>
      <c r="D104" s="90" t="s">
        <v>707</v>
      </c>
      <c r="E104" s="90" t="b">
        <v>0</v>
      </c>
      <c r="F104" s="90" t="b">
        <v>0</v>
      </c>
      <c r="G104" s="90" t="b">
        <v>0</v>
      </c>
    </row>
    <row r="105" spans="1:7" ht="15">
      <c r="A105" s="86" t="s">
        <v>293</v>
      </c>
      <c r="B105" s="90">
        <v>2</v>
      </c>
      <c r="C105" s="114">
        <v>0</v>
      </c>
      <c r="D105" s="90" t="s">
        <v>707</v>
      </c>
      <c r="E105" s="90" t="b">
        <v>0</v>
      </c>
      <c r="F105" s="90" t="b">
        <v>0</v>
      </c>
      <c r="G105" s="90" t="b">
        <v>0</v>
      </c>
    </row>
    <row r="106" spans="1:7" ht="15">
      <c r="A106" s="86" t="s">
        <v>291</v>
      </c>
      <c r="B106" s="90">
        <v>2</v>
      </c>
      <c r="C106" s="114">
        <v>0</v>
      </c>
      <c r="D106" s="90" t="s">
        <v>707</v>
      </c>
      <c r="E106" s="90" t="b">
        <v>0</v>
      </c>
      <c r="F106" s="90" t="b">
        <v>0</v>
      </c>
      <c r="G106" s="90" t="b">
        <v>0</v>
      </c>
    </row>
    <row r="107" spans="1:7" ht="15">
      <c r="A107" s="86" t="s">
        <v>290</v>
      </c>
      <c r="B107" s="90">
        <v>2</v>
      </c>
      <c r="C107" s="114">
        <v>0</v>
      </c>
      <c r="D107" s="90" t="s">
        <v>707</v>
      </c>
      <c r="E107" s="90" t="b">
        <v>0</v>
      </c>
      <c r="F107" s="90" t="b">
        <v>0</v>
      </c>
      <c r="G107" s="90" t="b">
        <v>0</v>
      </c>
    </row>
    <row r="108" spans="1:7" ht="15">
      <c r="A108" s="86" t="s">
        <v>748</v>
      </c>
      <c r="B108" s="90">
        <v>2</v>
      </c>
      <c r="C108" s="114">
        <v>0.025085832971998432</v>
      </c>
      <c r="D108" s="90" t="s">
        <v>707</v>
      </c>
      <c r="E108" s="90" t="b">
        <v>0</v>
      </c>
      <c r="F108" s="90" t="b">
        <v>0</v>
      </c>
      <c r="G108" s="9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6F0513E-053D-45F3-8D77-D651A16C3D0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 Mackenzie</dc:creator>
  <cp:keywords/>
  <dc:description/>
  <cp:lastModifiedBy>Graham Mackenzie</cp:lastModifiedBy>
  <dcterms:created xsi:type="dcterms:W3CDTF">2008-01-30T00:41:58Z</dcterms:created>
  <dcterms:modified xsi:type="dcterms:W3CDTF">2021-10-21T15:05:26Z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