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65416" yWindow="65416" windowWidth="29040" windowHeight="1584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5"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<sst xmlns="http://schemas.openxmlformats.org/spreadsheetml/2006/main" count="6170" uniqueCount="1637">
  <si>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</si>
  <si>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</si>
  <si>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</si>
  <si>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</si>
  <si>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</si>
  <si>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</si>
  <si>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</si>
  <si>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</si>
  <si>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</si>
  <si>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</si>
  <si>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</si>
  <si>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</si>
  <si>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</si>
  <si>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</si>
  <si>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</si>
  <si>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</si>
  <si>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</si>
  <si>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</si>
  <si>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</si>
  <si>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</si>
  <si>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</si>
  <si>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</si>
  <si>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</si>
  <si>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</si>
  <si>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</si>
  <si>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</si>
  <si>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</si>
  <si>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</si>
  <si>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</si>
  <si>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</si>
  <si>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</si>
  <si>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</si>
  <si>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</si>
  <si>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</si>
  <si>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</si>
  <si>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</si>
  <si>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</si>
  <si>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</si>
  <si>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</si>
  <si>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</si>
  <si>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</si>
  <si>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</si>
  <si>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</si>
  <si>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</si>
  <si>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</si>
  <si>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</si>
  <si>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</si>
  <si>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</si>
  <si>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</si>
  <si>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</si>
  <si>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</si>
  <si>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</si>
  <si>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</si>
  <si>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</si>
  <si>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</si>
  <si>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</si>
  <si>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</si>
  <si>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</si>
  <si>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</si>
  <si>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</si>
  <si>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</si>
  <si>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</si>
  <si>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</si>
  <si>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</si>
  <si>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</si>
  <si>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</si>
  <si>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</si>
  <si>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</si>
  <si>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</si>
  <si>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</si>
  <si>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</si>
  <si>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</si>
  <si>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</si>
  <si>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</si>
  <si>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</si>
  <si>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</si>
  <si>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</si>
  <si>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</si>
  <si>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</si>
  <si>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</si>
  <si>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</si>
  <si>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</si>
  <si>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</si>
  <si>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</si>
  <si>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</si>
  <si>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</si>
  <si>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</si>
  <si>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</si>
  <si>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</si>
  <si>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</si>
  <si>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</si>
  <si>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</si>
  <si>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</si>
  <si>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</si>
  <si>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</si>
  <si>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</si>
  <si>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</si>
  <si>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</si>
  <si>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</si>
  <si>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</si>
  <si>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</si>
  <si>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</si>
  <si>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</si>
  <si>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</si>
  <si>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</si>
  <si>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</si>
  <si>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</si>
  <si>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</si>
  <si>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</si>
  <si>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</si>
  <si>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</si>
  <si>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</si>
  <si>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</si>
  <si>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</si>
  <si>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</si>
  <si>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</si>
  <si>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</si>
  <si>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</si>
  <si>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</si>
  <si>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</si>
  <si>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</si>
  <si>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</si>
  <si>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</si>
  <si>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</si>
  <si>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</si>
  <si>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</si>
  <si>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</si>
  <si>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</si>
  <si>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</si>
  <si>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</si>
  <si>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</si>
  <si>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</si>
  <si>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</si>
  <si>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</si>
  <si>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</si>
  <si>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</si>
  <si>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</si>
  <si>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</si>
  <si>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</si>
  <si>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</si>
  <si>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</si>
  <si>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</si>
  <si>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</si>
  <si>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</si>
  <si>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</si>
  <si>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</si>
  <si>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</si>
  <si>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</si>
  <si>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</si>
  <si>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</si>
  <si>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</si>
  <si>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</si>
  <si>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</si>
  <si>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</si>
  <si>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</si>
  <si>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</si>
  <si>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</si>
  <si>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</si>
  <si>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</si>
  <si>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</si>
  <si>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</si>
  <si>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</si>
  <si>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</si>
  <si>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</si>
  <si>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</si>
  <si>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</si>
  <si>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</si>
  <si>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</si>
  <si>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</si>
  <si>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</si>
  <si>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</si>
  <si>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</si>
  <si>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</si>
  <si>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</si>
  <si>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</si>
  <si>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</si>
  <si>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</si>
  <si>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</si>
  <si>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</si>
  <si>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</si>
  <si>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</si>
  <si>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</si>
  <si>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</si>
  <si>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</si>
  <si>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</si>
  <si>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</si>
  <si>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</si>
  <si>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</si>
  <si>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</si>
  <si>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 xml:space="preserve"> gefestigtsten gefestigtster gefestigtstes gefördert gefragt gefragte gefragtem gefragten gefragter gefragtere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t>
  </si>
  <si>
    <t>Workbook Settings 18</t>
  </si>
  <si>
    <t>llerem geschmackvolleren geschmackvollerer geschmackvolleres geschmackvolles geschmackvollst geschmackvollste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t>
  </si>
  <si>
    <t>Workbook Settings 19</t>
  </si>
  <si>
    <t>erem goldigeren goldigerer goldigeres goldiges goldigst goldigste goldigstem goldigsten goldigster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t>
  </si>
  <si>
    <t>Workbook Settings 20</t>
  </si>
  <si>
    <t>ligsten heiligster heiligstes Heiligtum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t>
  </si>
  <si>
    <t>Workbook Settings 21</t>
  </si>
  <si>
    <t>offnungsfroherer hoffnungsfroheres hoffnungsfrohes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t>
  </si>
  <si>
    <t>Workbook Settings 22</t>
  </si>
  <si>
    <t>ubiläum jubl juble Kauf Käufe Käufen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t>
  </si>
  <si>
    <t>Workbook Settings 23</t>
  </si>
  <si>
    <t>ivste konstruktivstem konstruktivsten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t>
  </si>
  <si>
    <t>Workbook Settings 24</t>
  </si>
  <si>
    <t>ndäre legendärem legendären legendärer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t>
  </si>
  <si>
    <t>Workbook Settings 25</t>
  </si>
  <si>
    <t>hstes makellos makellose makellosem 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t>
  </si>
  <si>
    <t>Workbook Settings 26</t>
  </si>
  <si>
    <t>ftere namhafterem namhafteren namhafterer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t>
  </si>
  <si>
    <t>Workbook Settings 27</t>
  </si>
  <si>
    <t>s prallst prallste prallstem prallsten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t>
  </si>
  <si>
    <t>Workbook Settings 28</t>
  </si>
  <si>
    <t xml:space="preserve"> reifen reifen reifer reifere reiferem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t>
  </si>
  <si>
    <t>Workbook Settings 29</t>
  </si>
  <si>
    <t xml:space="preserve">ubrerem saubreren saubrerer saubreres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t>
  </si>
  <si>
    <t>Workbook Settings 30</t>
  </si>
  <si>
    <t>soliderem solideren soliderer solideres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
  </si>
  <si>
    <t>Workbook Settings 31</t>
  </si>
  <si>
    <t>ter störungsfreiestes störungsfreist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t>
  </si>
  <si>
    <t>Workbook Settings 32</t>
  </si>
  <si>
    <t>erem überdurchschnittlicheren überdurchschnittlicherer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t>
  </si>
  <si>
    <t>Workbook Settings 33</t>
  </si>
  <si>
    <t>chreiblichstes unbeschwert unbeschwerte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t>
  </si>
  <si>
    <t>Workbook Settings 34</t>
  </si>
  <si>
    <t>ar unschlagbare unschlagbarem unschlagbaren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t>
  </si>
  <si>
    <t>Workbook Settings 35</t>
  </si>
  <si>
    <t xml:space="preserve"> verantwortungsbewußter verantwortungsbewußtere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t>
  </si>
  <si>
    <t>Workbook Settings 36</t>
  </si>
  <si>
    <t>stärktet Verstärkung Verstärkungen verstehen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t>
  </si>
  <si>
    <t>Workbook Settings 37</t>
  </si>
  <si>
    <t>rer wachsameres wachsames Wachsamkeit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t>
  </si>
  <si>
    <t>Workbook Settings 38</t>
  </si>
  <si>
    <t>er witzigeres witziges witzigst witzigste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t>
  </si>
  <si>
    <t>Workbook Settings 39</t>
  </si>
  <si>
    <t>glichste zugänglichstem zugänglichsten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
  </si>
  <si>
    <t>Workbook Settings 40</t>
  </si>
  <si>
    <t>tem abstoßendsten abstoßendster abstoßendstes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t>
  </si>
  <si>
    <t>Workbook Settings 41</t>
  </si>
  <si>
    <t>chster apathischstes apokalyptisch apokalyptische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t>
  </si>
  <si>
    <t>Workbook Settings 42</t>
  </si>
  <si>
    <t>auernswerten bedauernswerter bedauernswertere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</si>
  <si>
    <t>Workbook Settings 43</t>
  </si>
  <si>
    <t>t beschädigt beschädigte beschädigten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t>
  </si>
  <si>
    <t>Workbook Settings 44</t>
  </si>
  <si>
    <t>r blöderes blödes blödest blödest blödeste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t>
  </si>
  <si>
    <t>Workbook Settings 45</t>
  </si>
  <si>
    <t>iffus diffuse diffusem diffusen diffuser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t>
  </si>
  <si>
    <t>Workbook Settings 46</t>
  </si>
  <si>
    <t>änkungen einschrumpf einschrumpfe einschrumpfen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t>
  </si>
  <si>
    <t>Workbook Settings 47</t>
  </si>
  <si>
    <t>est erniedrigtet Erniedrigung Erniedrigungen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t>
  </si>
  <si>
    <t>Workbook Settings 48</t>
  </si>
  <si>
    <t>lauest flaueste flauestem flauesten 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t>
  </si>
  <si>
    <t>Workbook Settings 49</t>
  </si>
  <si>
    <t xml:space="preserve"> gedrängtsten gedrängtster gedrängtstes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t>
  </si>
  <si>
    <t>Workbook Settings 50</t>
  </si>
  <si>
    <t xml:space="preserve"> grauenhafterer grauenhafteres grauenhaftes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t>
  </si>
  <si>
    <t>Workbook Settings 51</t>
  </si>
  <si>
    <t>ch heruntermache heruntermachen heruntermachest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t>
  </si>
  <si>
    <t>Workbook Settings 52</t>
  </si>
  <si>
    <t xml:space="preserve">nal irrationale irrationalem irrationalen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t>
  </si>
  <si>
    <t>Workbook Settings 53</t>
  </si>
  <si>
    <t>krank kränk kranke kranke kränke kränkel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t>
  </si>
  <si>
    <t>Workbook Settings 54</t>
  </si>
  <si>
    <t>sfeindlichste lebensfeindlichstem lebensfeindlichsten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t>
  </si>
  <si>
    <t>Workbook Settings 55</t>
  </si>
  <si>
    <t xml:space="preserve"> miserablerer miserableres miserables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t>
  </si>
  <si>
    <t>Workbook Settings 56</t>
  </si>
  <si>
    <t>htigere niederträchtigerem niederträchtigeren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t>
  </si>
  <si>
    <t>Workbook Settings 57</t>
  </si>
  <si>
    <t>e Reinfällen Reinfalles Reinfalls Reklamation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t>
  </si>
  <si>
    <t>Workbook Settings 58</t>
  </si>
  <si>
    <t>leppenden schleppender schleppendere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t>
  </si>
  <si>
    <t>Workbook Settings 59</t>
  </si>
  <si>
    <t>dliger schwindligere schwindligerem 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t>
  </si>
  <si>
    <t>Workbook Settings 60</t>
  </si>
  <si>
    <t>äuschung Täuschungen Terror terrorisier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t>
  </si>
  <si>
    <t>Workbook Settings 61</t>
  </si>
  <si>
    <t xml:space="preserve">ste umständlichstem umständlichsten 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t>
  </si>
  <si>
    <t>Workbook Settings 62</t>
  </si>
  <si>
    <t>undankbarem undankbaren undankbarer 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t>
  </si>
  <si>
    <t>Workbook Settings 63</t>
  </si>
  <si>
    <t>gebetenen ungebetener ungebetenere ungebetenerem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t>
  </si>
  <si>
    <t>Workbook Settings 64</t>
  </si>
  <si>
    <t>aubwürdigen unglaubwürdiger unglaubwürdigere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t>
  </si>
  <si>
    <t>Workbook Settings 65</t>
  </si>
  <si>
    <t>mäßigsten unregelmäßigster unregelmäßigstes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t>
  </si>
  <si>
    <t>Workbook Settings 66</t>
  </si>
  <si>
    <t>chen untröstlicher untröstlichere untröstlicherem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t>
  </si>
  <si>
    <t>Workbook Settings 67</t>
  </si>
  <si>
    <t>lisierterer unzivilisierteres unzivilisiertes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t>
  </si>
  <si>
    <t>Workbook Settings 68</t>
  </si>
  <si>
    <t xml:space="preserve"> verfallener verfallenere verfallenerem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t>
  </si>
  <si>
    <t>Workbook Settings 69</t>
  </si>
  <si>
    <t>äumnisen Versäumnises Versäumniss verschimmelt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t>
  </si>
  <si>
    <t>Workbook Settings 70</t>
  </si>
  <si>
    <t>nnigeren wahnsinnigerer wahnsinnigeres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t>
  </si>
  <si>
    <t>Workbook Settings 71</t>
  </si>
  <si>
    <t>scheren zerstörerischerer zerstörerischeres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t>
  </si>
  <si>
    <t>Workbook Settings 72</t>
  </si>
  <si>
    <t xml:space="preserve">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t>
  </si>
  <si>
    <t>Workbook Settings 73</t>
  </si>
  <si>
    <t xml:space="preserve">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t>
  </si>
  <si>
    <t>Workbook Settings 74</t>
  </si>
  <si>
    <t>&lt;setting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</si>
  <si>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</si>
  <si>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</si>
  <si>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&lt;value&gt;https://www.connectedaction.net/&lt;/value&gt;
      &lt;/setting&gt;
      &lt;setting name="URL" serializeAs="String"&gt;
        &lt;value&gt;http://bit.ly/NodeXL&lt;/value&gt;
      &lt;/setting&gt;
      &lt;setting name="ActionLabel" serializeAs="String"&gt;
        &lt;value&gt;Connected Action Your Link to Soc</t>
  </si>
  <si>
    <t>ial Network Insights&lt;/value&gt;
      &lt;/setting&gt;
      &lt;setting name="ActionURL" serializeAs="String"&gt;
        &lt;value&gt;https://bit.ly/NodeXLMaps&lt;/value&gt;
      &lt;/setting&gt;
      &lt;setting name="BrandLogo" serializeAs="String"&gt;
        &lt;value&gt;D:\NodeXL\_options\Connected Action\CALogo-Plain_header.jpg&lt;/value&gt;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t>
  </si>
  <si>
    <t>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t>
  </si>
  <si>
    <t>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</si>
  <si>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</si>
  <si>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</si>
  <si>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</si>
  <si>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</si>
  <si>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</si>
  <si>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</si>
  <si>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</si>
  <si>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</si>
  <si>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</si>
  <si>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</si>
  <si>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</si>
  <si>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</si>
  <si>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</si>
  <si>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</si>
  <si>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</si>
  <si>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</si>
  <si>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</si>
  <si>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</si>
  <si>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UCJeHiMICYm6RdaqvukoCR2A</t>
  </si>
  <si>
    <t>UCOMPKGVxY-2Mklt0Ccuy2EA</t>
  </si>
  <si>
    <t>UClzPVk0jQBCao2obuQboocQ</t>
  </si>
  <si>
    <t>UCHU71QXv1P91-ohYiBaaoaQ</t>
  </si>
  <si>
    <t>UCNdwsLhhuDuBep5DVHzqZeQ</t>
  </si>
  <si>
    <t>UCPv4RA_MIqx_Wa9HNUAO4vw</t>
  </si>
  <si>
    <t>UCnZQzTqGBNRA4_HEODkRwEw</t>
  </si>
  <si>
    <t>UCEUXal6BPmfaBlXDUgBxYKw</t>
  </si>
  <si>
    <t>UCeyiDSEDNrGph88osV5u9ww</t>
  </si>
  <si>
    <t>UCSnWL77qsUeISHxIDhGWzRQ</t>
  </si>
  <si>
    <t>UC3TmlkyMLVtPRgucjAx0Ltg</t>
  </si>
  <si>
    <t>UCPog7wBEVDO7s-vabvZVNXg</t>
  </si>
  <si>
    <t>UCz12X8InPaYO_uCl0d6EtUA</t>
  </si>
  <si>
    <t>UCqaRNBLGkTej2D0R7550KNA</t>
  </si>
  <si>
    <t>UClanhoQVUQAXPY1ibUnRU1w</t>
  </si>
  <si>
    <t>UCYSE6P4YdKtcJVgsxubD99w</t>
  </si>
  <si>
    <t>UCzrwc2lCv-ZzMRMegkZpC3g</t>
  </si>
  <si>
    <t>UCX8GwAV7-mZWpP6wKyvJCww</t>
  </si>
  <si>
    <t>UCkfOE4pCYbH-BLwo_75tmSA</t>
  </si>
  <si>
    <t>UCbzcSwLyP4DYIxDbVaBQ6Hw</t>
  </si>
  <si>
    <t>UC59BfWXrQndBPmqKq4IgRZQ</t>
  </si>
  <si>
    <t>UCx54gVMTbOXZqYU0btCl7Xg</t>
  </si>
  <si>
    <t>UC3uvWFMnLdPQ-YPYb1EUQRQ</t>
  </si>
  <si>
    <t>UCMpKt3R83_bsj58AWV9Fm_g</t>
  </si>
  <si>
    <t>UCb_HJ0MPee9-CKKd5yRD7aw</t>
  </si>
  <si>
    <t>UCrRHeAGbtjROfUpoGxJKkLA</t>
  </si>
  <si>
    <t>UCFtZFrT1qchibJXIm7Lg4yQ</t>
  </si>
  <si>
    <t>UCnoEi3PvX_Cy_sP37Sefn0w</t>
  </si>
  <si>
    <t>UCBBQVtSH7RfBLgLiLplXdsw</t>
  </si>
  <si>
    <t>UC553r5zKT7KkG7bdWAt3XuA</t>
  </si>
  <si>
    <t>UC9lCFBbUwe9g39h0aw0XLNQ</t>
  </si>
  <si>
    <t>UC14Bw1lEduGx4Ier_6EFzFA</t>
  </si>
  <si>
    <t>UCpvC0AYTJDYzRx8Fo0Sjwng</t>
  </si>
  <si>
    <t>UCBZhB7BmkDyoSkITH78tBJg</t>
  </si>
  <si>
    <t>UCDnbk1vF_Xsm-Aez4PiQJmg</t>
  </si>
  <si>
    <t>UCBi2S797df91VqaRzGfntUA</t>
  </si>
  <si>
    <t>UCFi5-VNJF_wWECWQug1R2rg</t>
  </si>
  <si>
    <t>UCmyT5zEwZIom3D-P8z41MaA</t>
  </si>
  <si>
    <t>UCC1EVCiajteJsViVrJzvf9g</t>
  </si>
  <si>
    <t>UC0dGMGoFHPbm6UmaUd8U4ZA</t>
  </si>
  <si>
    <t>UCU2yAsII27kZBZuIPozMZCQ</t>
  </si>
  <si>
    <t>UCa-c9vgdSoHvqOCFptOF0pw</t>
  </si>
  <si>
    <t>UC-EiEjJHOpqaGvcT8f0pUIQ</t>
  </si>
  <si>
    <t>UCgnW8W4825dIsXARVEjRtNQ</t>
  </si>
  <si>
    <t>UC92ojIkKymGd2b41Oq-aWDA</t>
  </si>
  <si>
    <t>UC9UCsZNI5I9e8ez07eCzRBg</t>
  </si>
  <si>
    <t>UC7rN8ep2nPZ65sy5UwanQ8Q</t>
  </si>
  <si>
    <t>UC2clEWhfiTxokUFuneYQPQg</t>
  </si>
  <si>
    <t>UCBMWmvja3c_GS4jk8TazobA</t>
  </si>
  <si>
    <t>UCcMtkpfkQVuIi6F5bxuX-0w</t>
  </si>
  <si>
    <t>UCWfOzUjfeErYNcOaL4VcKvA</t>
  </si>
  <si>
    <t>UCeeL1I50sPpXQ0-0IaswtEg</t>
  </si>
  <si>
    <t>UC2YGSUJ7Q7r_bWzcHvqGvaA</t>
  </si>
  <si>
    <t>UCRItJ0PKDY9MWYne5EKovMQ</t>
  </si>
  <si>
    <t>UCeV58bfiRGauOf8N_45041A</t>
  </si>
  <si>
    <t>UCSCzVOLLdSoDPwOZG9LE78w</t>
  </si>
  <si>
    <t>UCl6TpekMDFS5YA7Llp8CMFA</t>
  </si>
  <si>
    <t>UCIHuJRBYVtuBMSdxgXbheiA</t>
  </si>
  <si>
    <t>UC3mmq2lODpoaRt80Sb2Rz6g</t>
  </si>
  <si>
    <t>UCeDtLNEDoMVNjXOzXfJlvfA</t>
  </si>
  <si>
    <t>UCUNOTEzOFt3gZ53n2hAjWtw</t>
  </si>
  <si>
    <t>UCHMxpmznEsdtL_ui-7H_IqA</t>
  </si>
  <si>
    <t>UC5u6IjH6W_pWntKlbny1GPQ</t>
  </si>
  <si>
    <t>UCgAVcUfZsrNQ_ZDzwfGN42g</t>
  </si>
  <si>
    <t>UCZAfEqY4QDm1fidD1RMabgA</t>
  </si>
  <si>
    <t>UCH8aFgm5WSUVuXaKuSbYsrA</t>
  </si>
  <si>
    <t>UCkug2O-HoXXpevCF-j3NSBQ</t>
  </si>
  <si>
    <t>UCnpm9ZORHGQJexR7ybzUTVw</t>
  </si>
  <si>
    <t>UCA5b1GCxw9YUnNhJV9RnGqg</t>
  </si>
  <si>
    <t>UCf7faCV85PBme45MFibeKyA</t>
  </si>
  <si>
    <t>UCqMbJkZbqSxoX2omlLn1ypw</t>
  </si>
  <si>
    <t>UCYLBKC6MTJeOXg01kqC6MDA</t>
  </si>
  <si>
    <t>UCvVUYpk8YYQ9-_bJt38X4ZQ</t>
  </si>
  <si>
    <t>UCaitnE6wjlW20Chd-97eDcg</t>
  </si>
  <si>
    <t>UCoQSabVWR66qts3iy3jSOpg</t>
  </si>
  <si>
    <t>UCishp5q9_MBqughD8R6_7dQ</t>
  </si>
  <si>
    <t>UCo-1mM9alLT2usoVWBUFvmw</t>
  </si>
  <si>
    <t>UCdFyXE6ByRRVO4-N4013PIw</t>
  </si>
  <si>
    <t>UCbL03UQ7gBi1CmUVQVlrs5Q</t>
  </si>
  <si>
    <t>UCeTcR0X09XqHMGgZ9pNyXYg</t>
  </si>
  <si>
    <t>UC8WBpQXmB0gMLP_1jDliwLg</t>
  </si>
  <si>
    <t>UCCyPxP7qhliiDEVs8Cy4MQw</t>
  </si>
  <si>
    <t>UCCgwcH-i5om6druk2mUlZXA</t>
  </si>
  <si>
    <t>UC9A9nN9mb4IHOrfZDhqpFOw</t>
  </si>
  <si>
    <t>UCiDI0xQwfpKlvJvDRvO9vLw</t>
  </si>
  <si>
    <t>UCunkBt8tst80YQ9FYwwxCww</t>
  </si>
  <si>
    <t>UC-v_DfMPBmDqGJ0SJ1vhi7A</t>
  </si>
  <si>
    <t>UCYsg4VABOBN1XtYD2gNdOwg</t>
  </si>
  <si>
    <t>UC2HCeJs0vX3ulCsRo6tcDCA</t>
  </si>
  <si>
    <t>UC9dH-l4WR9TOp4uZLMSmQ3A</t>
  </si>
  <si>
    <t>UCpQuPFNJJfqdUWIOXjqxcfw</t>
  </si>
  <si>
    <t>UC5AkY5b5nnJO5vX_Tzw-omw</t>
  </si>
  <si>
    <t>UCitFNkeSCSx9gcQMfyYjkKQ</t>
  </si>
  <si>
    <t>UCHgWCuz6Dg0m6sibS_Bl0GA</t>
  </si>
  <si>
    <t>UC3ylY6LrHoDn5D50cAhZNtg</t>
  </si>
  <si>
    <t>UChIQG-u37tm4MCDuPImDkHQ</t>
  </si>
  <si>
    <t>UC5iV1Cb-gkNuwC6SOGMcCYg</t>
  </si>
  <si>
    <t>UCyMQmbsa4WLITmU0jkuAc2A</t>
  </si>
  <si>
    <t>UCePijgZwEyM46_wvOb3pQPA</t>
  </si>
  <si>
    <t>UCcfu2E45fV8NmLtNTjJSmhQ</t>
  </si>
  <si>
    <t>UCXU48nXBo--GCvAKC__hPFA</t>
  </si>
  <si>
    <t>UCjH5Umq46BMIsc8f8ETj5XQ</t>
  </si>
  <si>
    <t>UCioSLRcj9zJtL3k5nYwbeKw</t>
  </si>
  <si>
    <t>UCBmePz6UeMu2W3fKvebPA3g</t>
  </si>
  <si>
    <t>UCAN4uY_roKpSkrVUxY18DGQ</t>
  </si>
  <si>
    <t>UC2MLcUNh-oyy4j-1lbt7qSw</t>
  </si>
  <si>
    <t>UCYGAMP9drMcOky1t2OM_9eg</t>
  </si>
  <si>
    <t>UCXMluouhfLoLfPWbA13Naug</t>
  </si>
  <si>
    <t>UCk4e6mTluJOLbmB8w74YucA</t>
  </si>
  <si>
    <t>UCj2C6wNGxiTT7IXA-sB5F_g</t>
  </si>
  <si>
    <t>UCA7xKJlipwbl4J5Qlpgu7Lw</t>
  </si>
  <si>
    <t>UCb7ZSD7d-o5WY32SbQprO-w</t>
  </si>
  <si>
    <t>UCia0k6WxnqiEsRnM2OZ4bfQ</t>
  </si>
  <si>
    <t>UCsKp3c6Rc5snyNBpBY2focg</t>
  </si>
  <si>
    <t>UCqz3D5OY3-qNGd0YB2WylUQ</t>
  </si>
  <si>
    <t>UCdjNuIJY0vkpkTvXabR808A</t>
  </si>
  <si>
    <t>UC_2poQCdUPlEGvNNFg7-9Lg</t>
  </si>
  <si>
    <t>UCVwViq0CL8a65VDA-kpwchw</t>
  </si>
  <si>
    <t>UCmIOnORoi4RkdOGWPRBErTA</t>
  </si>
  <si>
    <t>UCt3Ukfibp43QrzSg0CA4cGA</t>
  </si>
  <si>
    <t>UCnwayuvfO0Buvpig6t1NHLA</t>
  </si>
  <si>
    <t>UCLjavJHCl9XMdz-1HRSrlAg</t>
  </si>
  <si>
    <t>UCkZ1kzcwoKfNEFZDpr-NwMw</t>
  </si>
  <si>
    <t>UC4QyM1zt8sEbSeOFfw63mFA</t>
  </si>
  <si>
    <t>UCpRws4XFaiFQtfmd32lS8Ag</t>
  </si>
  <si>
    <t>UCQ4_-9ld_2rCwq10BoHWkKg</t>
  </si>
  <si>
    <t>UCUyVTvdsDRbp1j6kpGstRyw</t>
  </si>
  <si>
    <t>UCWn8vuyfirkkJbPVdGlS5KQ</t>
  </si>
  <si>
    <t>UCui6uBSvAYX-Lqjb_wzCBeg</t>
  </si>
  <si>
    <t>UCvA1dCycuCB9ohqPmmH9QFA</t>
  </si>
  <si>
    <t>UCLgsdRpMD0KaJSubRDx_WXA</t>
  </si>
  <si>
    <t>UCj0wgdlwzc_mrRP8aPp9OCA</t>
  </si>
  <si>
    <t>UCV6FmOfPwUZc_bPhoUZZWgQ</t>
  </si>
  <si>
    <t>UCIBIS5AepYGOjvOyl5O3JGg</t>
  </si>
  <si>
    <t>UCOJa4bpknlhm5hixz0PWSuQ</t>
  </si>
  <si>
    <t>UCrdc8c0VXEBe6rrzycPhTbg</t>
  </si>
  <si>
    <t>UC03SwJHbmy-KXKjVWb9mjeg</t>
  </si>
  <si>
    <t>UC2_xSCu7RIdq6FunUtp68zw</t>
  </si>
  <si>
    <t>UCN0ynz0wVhfT11DFWCegk1g</t>
  </si>
  <si>
    <t>UCfftvwIAhZMDl0PmaDqo_1g</t>
  </si>
  <si>
    <t>UCbWY2V53qsUHtrLpFy-jaMw</t>
  </si>
  <si>
    <t>UCbJ9OfieJxOdqubkRtjyuKw</t>
  </si>
  <si>
    <t>UCU3B6uthFejEFlLALdqaVYw</t>
  </si>
  <si>
    <t>UCIwkpHqUeqI0QDxQsKXcvTw</t>
  </si>
  <si>
    <t>UCmUeMZkp5dvd_9XoLdWWdyw</t>
  </si>
  <si>
    <t>UC-N5zjle-3v2D2XK501MXfw</t>
  </si>
  <si>
    <t>UCeMolquxnK8TDDHkEj-A8Zw</t>
  </si>
  <si>
    <t>UC7Qdhojel0tnqLB9_hEEByQ</t>
  </si>
  <si>
    <t>UCTc7z4Q7L2jjfRw0DW1JxlA</t>
  </si>
  <si>
    <t>UCCpfJjPNtxpHSI3ZBQi6P8w</t>
  </si>
  <si>
    <t>UCFaJOQg4hhsFxk1Y4ZAmrIg</t>
  </si>
  <si>
    <t>UCrrFW5ckKRfBEOBxH3k9anQ</t>
  </si>
  <si>
    <t>UC1W6BV2qFMEWnMBbCN5txMg</t>
  </si>
  <si>
    <t>Commented Video</t>
  </si>
  <si>
    <t>Replied Comment</t>
  </si>
  <si>
    <t>Posted Video</t>
  </si>
  <si>
    <t>Reply</t>
  </si>
  <si>
    <t>Je suis là</t>
  </si>
  <si>
    <t>Toujours au rendez-vous de Chris yapi</t>
  </si>
  <si>
    <t>Courage frère</t>
  </si>
  <si>
    <t>Ah oui tu es un chef</t>
  </si>
  <si>
    <t>Humm Chris yapi</t>
  </si>
  <si>
    <t>tjrs yapitiquement calé.merci tjrs pour l&amp;#39;info pour nous les amoureux de la vérité._xD83D__xDC4D__xD83D__xDC4D__xD83D__xDC4D__xD83D__xDC4A__xD83D__xDC4A__xD83D__xDC4A__xD83D__xDE4F__xD83D__xDE4F__xD83D__xDE4F_</t>
  </si>
  <si>
    <t>_xD83D__xDE04__xD83D__xDE04__xD83D__xDE04_</t>
  </si>
  <si>
    <t>Vraiment _xD83D__xDE00__xD83D__xDE00__xD83D__xDE00_</t>
  </si>
  <si>
    <t>Mais et dessin animé des enfants _xD83E__xDD23__xD83E__xDD23_</t>
  </si>
  <si>
    <t>Aiiii _xD83D__xDE00_ _xD83D__xDE00_ _xD83D__xDE00_</t>
  </si>
  <si>
    <t>Toujours au journal de Chris Yapi. à cause de toi je ne paye plus canal + c’est mieux de souscrire internet 10000f</t>
  </si>
  <si>
    <t>Barry n&amp;#39;est pas mossi, c&amp;#39;est un peuhl</t>
  </si>
  <si>
    <t>Vraiment il sont guinéen...car il y a également un Barry Moussa barké au togo</t>
  </si>
  <si>
    <t>Les Barry sont de l&amp;#39;hetnie peulh au Burkina,au Mali et en Guinée</t>
  </si>
  <si>
    <t>Tous les Barry sont de la Guinée descendants des keita..au fait a l origine ils sont keita de mère peulh. &lt;br /&gt;Je vais chez mon oncle en Malinke, vous trouverez au bout de la phrase le mot N&amp;#39;BARRI qui donna naissance à BARRI ou BARRY en écriture..&lt;br /&gt;BARRY a l origine n est pas un nom de famille peulh ni chez les nobles ni au sein des  castes peulhs</t>
  </si>
  <si>
    <t>Les Barry ne viennent pas du Burkina mais plus tôt de la Guinée Conakry</t>
  </si>
  <si>
    <t>Wow! Ivory Coast _xD83D__xDE2D_</t>
  </si>
  <si>
    <t>M Yapi</t>
  </si>
  <si>
    <t>_xD83D__xDE02__xD83D__xDE02__xD83D__xDE02_ , vraiment</t>
  </si>
  <si>
    <t>_xD83D__xDE01__xD83D__xDE01__xD83D__xDE01__xD83D__xDE01_</t>
  </si>
  <si>
    <t>J&amp;#39;ai enfin regarder la vidéo de Chris yapi je peux dormir tranquille maintenant</t>
  </si>
  <si>
    <t>_xD83E__xDD1E_</t>
  </si>
  <si>
    <t>Tout le monde entier le sait que c&amp;#39;est le presi Laurent Gbagbo qui a gagné les élections présidentielles de 2010. Sauf les français fumistent kpakpato là !</t>
  </si>
  <si>
    <t>Enfin _xD83D__xDE05__xD83D__xDE05_</t>
  </si>
  <si>
    <t>@Solange OUEDRAOGO vraiment</t>
  </si>
  <si>
    <t>On est au courant qu Ado n a jamais gagné les,élections 2010</t>
  </si>
  <si>
    <t>respect à vous ...</t>
  </si>
  <si>
    <t>CY en ce 5 Mai tu n&amp;#39;as pas souhaite joyeux anniversaire au president Bedie notre patriarche...ahhh faut te rattraper ein..meme l&amp;#39;humoriste Papitou l&amp;#39;a fait _xD83D__xDE0A_</t>
  </si>
  <si>
    <t>Toujours une très bonne analyse</t>
  </si>
  <si>
    <t>Sauront-jamais</t>
  </si>
  <si>
    <t>Tout a fait. Dieu nous donne la bonne compréhension _xD83D__xDE4F_</t>
  </si>
  <si>
    <t>Vraiment , de nos jours on a que des amitiés d&amp;#39;exploitation</t>
  </si>
  <si>
    <t>De nos jours, une vraie amitié de l&amp;#39;époque, devient de plus en plus rare, chacun calcul ses intérêts pour influencer son image personnelle _xD83E__xDD74__xD83D__xDE0F__xD83D__xDE46__xD83C__xDFFF_‍♂️</t>
  </si>
  <si>
    <t>très cool</t>
  </si>
  <si>
    <t>Vraiment merci beaucoup Chris yapi pour tout ces informations</t>
  </si>
  <si>
    <t>Sinon était encore au temps de l&amp;#39;esclavage Alassane Ouattara nous aurait tous vendu. Tout serait complet</t>
  </si>
  <si>
    <t>Cool</t>
  </si>
  <si>
    <t>Amen Amen Amen ce que Dieu  f est Bon  sont &amp;#39;&amp;#39;aux abois&amp;#39;&amp;#39; ..</t>
  </si>
  <si>
    <t>Merci !</t>
  </si>
  <si>
    <t>Dieu nous garde tous et veille aussi dur la  Côte d’Ivoire. Bonne nuit à tous les frères et sœurs épris de justice t de paix. Que la réconciliation des fils de ce pays  face parti de nos rêves durant cette nuit. &lt;br /&gt;Bonne nuit à tous et à demain si Dieu le veut. _xD83C__xDF19__xD83D__xDCA4__xD83D__xDCA4__xD83D__xDCA4__xD83D__xDCA4__xD83D__xDCA4__xD83D__xDCA4__xD83D__xDCA4__xD83C__xDF19__xD83D__xDCA4__xD83D__xDCA4__xD83D__xDCA4__xD83D__xDCA4__xD83D__xDCA4__xD83D__xDCA4_</t>
  </si>
  <si>
    <t>Koh LA FIOLE À GAUCHE TU M&amp;#39;AS TUÉEEEEEE _xD83D__xDE02__xD83D__xDE02__xD83D__xDE02__xD83D__xDE02__xD83D__xDE02__xD83D__xDE02__xD83D__xDE02_WOOOOOBOUUHET LES JARRETS. ADIA MERCI. ON REGARDE ET ON EST ASSI SUR NOS TABOURETS ON NE PRÊTE PAS TABOURET À QUELQU&amp;#39;UN DÉS _xD83E__xDD14__xD83E__xDD14__xD83E__xDD14__xD83D__xDC40__xD83D__xDC40__xD83D__xDC40__xD83D__xDE1E__xD83D__xDE1E__xD83D__xDE1E__xD83D__xDE07__xD83D__xDE07__xD83D__xDE07__xD83D__xDE01__xD83D__xDE01__xD83D__xDE05__xD83D__xDE05__xD83E__xDD23__xD83E__xDD23__xD83E__xDD23_</t>
  </si>
  <si>
    <t>Merci Chris yapi.</t>
  </si>
  <si>
    <t>l, hetre humain est tres mechant  damana la fiole trenne a abidjan  fait entention please _xD83D__xDE4F__xD83D__xDE4F__xD83D__xDE4F_</t>
  </si>
  <si>
    <t>Prado est au bout du tunnel, la chute est totalement proche, longue vie qui vivra verra</t>
  </si>
  <si>
    <t>Je le crois aussi _xD83D__xDCAA__xD83D__xDCAA__xD83D__xDCAA__xD83D__xDE4F__xD83D__xDE4F__xD83D__xDE4F_</t>
  </si>
  <si>
    <t>un vent nouveau tout le monde en a marre et maintenant il ya le retour de vrai leader qui vont incarner ca et mettre fin a cette imposture&lt;br /&gt;juste une question de temps</t>
  </si>
  <si>
    <t>Les choses viendront au fur et à mesure, quelque chose naîtra</t>
  </si>
  <si>
    <t>Pas un peulh typiquement parler comme diallo ,Diakité, Sidibé et sangare ou peulh du fouta Toro</t>
  </si>
  <si>
    <t>Thomas Sankara était aussi Peulh</t>
  </si>
  <si>
    <t>Les bonnes choses mettent du temps. J&amp;#39;ai attendu</t>
  </si>
  <si>
    <t>On dit d&amp;#39;eux qu&amp;#39;il ne faut jamais faire affaires avec eux. Parce que traîtres, est ce vrai ?</t>
  </si>
  <si>
    <t>Mr Yapi ,Barry n&amp;#39;est pas mossi , mais un peulh.</t>
  </si>
  <si>
    <t>Chez nous c&amp;#39;est Chris yapi FM, l&amp;#39;actualité au rendez vous</t>
  </si>
  <si>
    <t>Maintenant je peux aller dormir</t>
  </si>
  <si>
    <t>En effet Assoua Adou est un peureux. Il n&amp;#39;est pas un vrai combattant comme le regretté Abou Dramane Sangaré et bien d&amp;#39;autres. Il aime seulement les titres, Il n&amp;#39;a aucune carrure politique.</t>
  </si>
  <si>
    <t>Merci encore mr l&amp;#39;ange christ yapi soyez prudent et que le seigneur dieu tout-puissant veille sur vous et sur vôtre familles amen le peuple ivoirois et les ivoireines est très très fière de vous me l&amp;#39;ange christ yapi soyez béni amen alléluia _xD83D__xDE4F__xD83D__xDC4D__xD83D__xDC9B__xD83D__xDE4F__xD83D__xDC4D__xD83D__xDC9B__xD83D__xDC9A__xD83C__xDF41__xD83D__xDD4A__xD83D__xDC9A__xD83D__xDD4A__xD83C__xDF41__xD83D__xDC18__xD83C__xDDE8__xD83C__xDDEE__xD83D__xDC18__xD83C__xDDE8__xD83C__xDDEE__xD83D__xDC18__xD83C__xDDE8__xD83C__xDDEE_</t>
  </si>
  <si>
    <t>Merci encore mr l&amp;#39;ange christ yapi soyez richement bénis vous être le miroir de la vérité et  le miroir de la côté d ivoire nous somme très très fière de vous mr l&amp;#39;ange christ yapi amen _xD83D__xDC96__xD83C__xDF39__xD83D__xDC96__xD83C__xDF39__xD83D__xDC96__xD83C__xDF39__xD83D__xDC96__xD83C__xDF39__xD83D__xDC9A__xD83D__xDD4A__xD83C__xDF41__xD83D__xDC9A__xD83D__xDD4A__xD83C__xDF41__xD83D__xDC18__xD83C__xDDE8__xD83C__xDDEE__xD83D__xDC18__xD83C__xDDE8__xD83C__xDDEE__xD83D__xDC18__xD83C__xDDE8__xD83C__xDDEE_</t>
  </si>
  <si>
    <t>Merci infiniment Chris yapi</t>
  </si>
  <si>
    <t>_xD83D__xDCAA__xD83D__xDCAA__xD83D__xDCAA__xD83D__xDC4B__xD83D__xDC4B__xD83D__xDC4B__xD83D__xDC4B__xD83C__xDFA9__xD83C__xDFA9__xD83C__xDFA9__xD83D__xDC4D__xD83D__xDC4D__xD83D__xDC4D__xD83D__xDC4D__xD83D__xDE01__xD83D__xDE01__xD83D__xDE01__xD83D__xDE01__xD83E__xDD17__xD83E__xDD17__xD83E__xDD17__xD83E__xDD17__xD83E__xDD70__xD83E__xDD70__xD83E__xDD70__xD83E__xDD70__xD83D__xDE01_</t>
  </si>
  <si>
    <t>Kil face attention</t>
  </si>
  <si>
    <t>Bravo à toi mon frère Damana PIKASSE</t>
  </si>
  <si>
    <t>L&amp;#39;extra-terrestre</t>
  </si>
  <si>
    <t>Quand t’on voit ce qui se passe dans le pays, c’est pas très sage d’avoir de tels discours, chers compatriotes soyez sur vos gardes, méfiez vous de la fiole!!!! Un homme averti en vaut DEUX!!!!</t>
  </si>
  <si>
    <t>Moi c&amp;#39;est la sonnerie quand j&amp;#39;entends je sais que Chris yapi lui même va parler _xD83D__xDE4F__xD83D__xDE0E__xD83D__xDE0E_</t>
  </si>
  <si>
    <t>Damana Pickass...</t>
  </si>
  <si>
    <t>❤️</t>
  </si>
  <si>
    <t>Merci encore combattant pour cette autre précision importante, que Dieu te protège.</t>
  </si>
  <si>
    <t>Il rentrera pour reprendre sa place et ado, la France, l&amp;#39;ONU le savent</t>
  </si>
  <si>
    <t>Nous savons tous qu&amp;#39;il dit vrai. Mais vous voulez que avant l&amp;#39;arrivée de Gbagbo qu&amp;#39;il meurt ou qu&amp;#39;il soit emprisonné ? Vous ne pensez pas que ses propos peuvent retarder notre Woody? C&amp;#39;est pourquoi je souhaite plutôt que ensemble on lui demande d&amp;#39;attendre que GBAGBO soit là pour commencer ce qu&amp;#39;il est juste de commencer. Bonne journée</t>
  </si>
  <si>
    <t>Gbagbo a gagné véritablement les élections de 2010 ... Qu il soit reconduit dans ses fonctions... Pikass Damana est véridique ... Que Dieu l&amp;#39;entour puissant veille sur nos leader éclairés ... Ce Pikass gouvernera bientôt ce pays ... Il est ci franc et intelligent .. voici là la relève prodige ...</t>
  </si>
  <si>
    <t>Tu tardes trop maintenant avant de poster tes vidéos .</t>
  </si>
  <si>
    <t>Tu nous laisses sur notre faim .</t>
  </si>
  <si>
    <t>_xD83E__xDD14_</t>
  </si>
  <si>
    <t>Yes Chris, wait and see, the future will tell us more. Picass , tells the truth and it will set us free, but please be careful this country is very dangerous . May God protect you. Thank you Chris, you are our hero _xD83C__xDDE8__xD83C__xDDEE__xD83C__xDDE8__xD83C__xDDEE_</t>
  </si>
  <si>
    <t>Trop de choses dans pays là merci Christ yapi_xD83D__xDE4F_</t>
  </si>
  <si>
    <t>Ok tu es excusé pour aujourd&amp;#39;hui seulement _xD83D__xDE02_ . Tu le répète mise à pied t&amp;#39;attend .</t>
  </si>
  <si>
    <t>@David Ouatt _xD83D__xDE02__xD83D__xDE02__xD83D__xDE05__xD83D__xDE05__xD83D__xDE05_✌️</t>
  </si>
  <si>
    <t>@Salim Yazid ✌️✌️_xD83D__xDE02_</t>
  </si>
  <si>
    <t>@Soni Koko non hein ici c&amp;#39;est la démocratie c&amp;#39;est pas la République dramanienne _xD83D__xDE01__xD83D__xDE01_</t>
  </si>
  <si>
    <t>@Soni Koko _xD83D__xDE4F_</t>
  </si>
  <si>
    <t>@Salim Yazid _xD83D__xDE4F_</t>
  </si>
  <si>
    <t>@Soni Koko Ah Dieu merci @David Ouatt est là pour te rappeler notre constitution_xD83E__xDD23__xD83E__xDD23__xD83E__xDD23__xD83D__xDE02_</t>
  </si>
  <si>
    <t>Mon boss a déjà parlé, désolé j&amp;#39;ai été en retard d&amp;#39;une heure parceque je dormais_xD83E__xDD23_...mes excuses Chris yapi_xD83E__xDD34__xD83C__xDFFF_</t>
  </si>
  <si>
    <t>Djaaaaa CY veut le bien être des enfants de la CÔTE D&amp;#39;IVOIRE</t>
  </si>
  <si>
    <t>LA FIOLE</t>
  </si>
  <si>
    <t>C&amp;#39;est Christo j&amp;#39;attendait depuis là. &lt;br /&gt;Bon il est tard je vais dormi depuis Accra pays maternel</t>
  </si>
  <si>
    <t>Chris yapi tu es un chef w je suis trop fan de toi _xD83E__xDD70_</t>
  </si>
  <si>
    <t>Merci Chris,  je viens d’avoir mon information du jour</t>
  </si>
  <si>
    <t>Mon ami yapi hooo.grace à toi ns avançons dieu te bénisse.</t>
  </si>
  <si>
    <t>Mais donc vous croyez à  l&amp;#39;hypocrisie de dramane ?il n&amp;#39;est pas prêt</t>
  </si>
  <si>
    <t>Chris yapi tes fort...&lt;br /&gt;si ado arrete Dpickass alors c&amp;#39;est la preuve par 4! qu&amp;#39;ils n&amp;#39;est pas prêt pour la réconciliation!</t>
  </si>
  <si>
    <t>oui madame moi aussi j ai la meme sensation j ai aussi peur parce que dramane est capable de tout</t>
  </si>
  <si>
    <t>C&amp;#39;est justement ce que je disais hier. Attendons tous que GBAGBO rentre au pays pour commencer . Pas maintenant.</t>
  </si>
  <si>
    <t>Justement il fallait pas ; c&amp;#39;est trop dangereux avec ce régime. Vaut mieux tard que jamais. Quand on est vivant l&amp;#39;espoir est possible. Il faut jamais se précipiter dans la gueule du loup.</t>
  </si>
  <si>
    <t>On dira que je suis pessimiste mais j’ai peur pour nos parents qui viennent de rentrer. Je leur recommande donc l’extrême prudence car aujourd’hui il ne faut faire confiance à personne, même pas à sa propre ombre.</t>
  </si>
  <si>
    <t>La liberté d’expression à l occident est permit à tous. Mais avec ces vieux démons d Afrique les gens ne peuvent plus parler. Mais que Mr Dramane et ses affamés sachent que nous les ivoiriens en ont marre de ses arrestations hein!</t>
  </si>
  <si>
    <t>Damanan pickass a dit la vérité. Dramane Ouattara n&amp;#39;a jamais gagné les élections élections de 2010 raison pour laquelle il a fait la guerre au lieu de d&amp;#39;accepter le recomptage des voix.</t>
  </si>
  <si>
    <t>Quelle honte</t>
  </si>
  <si>
    <t>Un jour nous les ivoiriens on ecrira notre propre histoire ce qu il s est reelement passe de 1999 jusqu a maintenant</t>
  </si>
  <si>
    <t>Alpha Barry est membre du Lion&amp;#39;s club de Ouagadougou.</t>
  </si>
  <si>
    <t>Vous voulez développer votre pays sans résoudre les problèmes de paix et de réconciliation. Votre développement c&amp;#39;est un leurre</t>
  </si>
  <si>
    <t>vraiment CY ne met pas ! comme l&amp;#39;a dit Laurent Gbagbo c&amp;#39;est celui qui n&amp;#39;a pas gagné les élections qui a envoyé la guerre. Merci à CY . merci aussi à Damanan . beaucoup de courage et surtout prudent # la fiole#</t>
  </si>
  <si>
    <t>La lutte continue honorable Chris Yapi MERCI _xD83D__xDCAA__xD83D__xDE4F_</t>
  </si>
  <si>
    <t>Mr Christ  Yapi .posso né  en cote D&amp;#39;Ivoire  n&amp;#39;est pas comme mossi du BURKINA  .</t>
  </si>
  <si>
    <t>Par le recomptage des voix proposé par le Président Laurent Gbagbo&lt;br /&gt;Lorsque tu dis tu as raison et que l&amp;#39;on te donne la chance de le trouver tu acoures</t>
  </si>
  <si>
    <t>Pourquoi vous aimez mentir de la sorte !? Pour vous donner bonne conscience apparemment... Gbagbo n&amp;#39;a jamais été vomi par les ivoiriens, il a bel et bien gagné ces élections ! Quelqu&amp;#39;un qui est vomi par son peuple peut être premier au premier tour des élections !? Tchrrr</t>
  </si>
  <si>
    <t>@Je suis le CNT déjà, refais le calcul pour avoir les 100%_xD83D__xDE09_ au premier tour, et si tu avais réellement suivi les élections au second tour tu aurais eu la preuve de la fraude massive dans le nord et du taux élevé d&amp;#39;abstention dans le centre...</t>
  </si>
  <si>
    <t>@digbe gildas t’aurais été à la place de l’opposition d’alors accepterais-tu un récomptage des voix avec la suppression des régions du nord _xD83E__xDD14_</t>
  </si>
  <si>
    <t>@Candide 83 pour mémoire 1er tour Gbagbo 46% Ouattara 35% Bédié 25% où est-ce que le président Gbagbo a eu d’autres voix pour prétendre avoir gagné au second _xD83E__xDD14_</t>
  </si>
  <si>
    <t>@Candide 83 ma chère on peut toujours faire les calcules pour avoir 100% mais la question que je pose est où est-ce que Mr Gbagbo a eu le complément de voix pour lui permettre de battre le rdr et le pdci? Tous ont accepté les résultats du 1er tour et nous savons que le centre est la base électorale du pdci qui a appelé à voter son allié. À l’ouest bastion du fpi tu as aussi l’udpci de Mabri qui a appelé à voter ouattara partant de là le calcule est vite fait</t>
  </si>
  <si>
    <t>@Candide 83 pour les voix je pense que c’est 38% pour Gbagbo 32%pour dramane ouattara 25% pour Bédié et le reste c’est à dire 5% pour les reste des candidats _xD83E__xDD74_</t>
  </si>
  <si>
    <t>Ma question aux GORS cmt pouvez-vous pensez que le FPI de 2010 qui était vomit par bon nombre d’ivoiriens( un peu comme le rhum aujourd’hui) à cause des RAV4 qu’il distribuait aux petites filles_xD83D__xDE1C_ pouvait gagner l’alliance PDCI-RDR _xD83E__xDD14_ si on suit votre logique Ouattara qui est vomit par le peuple Ivoirien pouvait nous dire qu’il allait gagner les élections de 2020 face à l’alliance PDCI-FPI-GPS? Franchement on a encore un long chemin à parcourir.</t>
  </si>
  <si>
    <t>C&amp;#39;est un peulh du Burkina.  Les peulh sont de très grands traîtres faut le savoir. C est pour ça qu&amp;#39;en Guinée Dallein Diallo sera jamais président même si je n&amp;#39;aime pas Alpha condé</t>
  </si>
  <si>
    <t>Djaaa tu avais raison Damana Pickass de tirer les feuilles là wallaye</t>
  </si>
  <si>
    <t>WAllah je comprends maintenant que c&amp;#39;est Gbagbo qui avait gagné en 2010. Ouattara le feticheur de saindoux sera humilié. DIEU est le meilleur des Juges</t>
  </si>
  <si>
    <t>OSONS LE PARDON ET LA RÉCONCILIATION SINCÈRES FAISONS SORTIR L AVENIR DU PASSÉ EN OUBLIANT NOTRE PASSÉ SOMBRE RÉCENT QUE DIEU SWT NOUS FACILITE LA BONNE COMPRÉHENSION ALLAHOMA AMINE PUNTO ET BASTA &lt;a href="http://www.youtube.com/results?search_query=%23rgps"&gt;#RGPS&lt;/a&gt;#</t>
  </si>
  <si>
    <t>Le problème c&amp;#39;est la France qui est responsable de cette mascarade en Côte d&amp;#39;Ivoire pour imposer wattara alors que c,est bagbo qui avait gagné les élections présidentielle en 2010 arrêtez de vous détester chers ivoiriens attaquer vous plutôt aux intérêts de la France en Afrique francophone car avec les bases militaires qui nous tue et le cfa qui nous appauvrit depuis 70ans aux 14 pays et qui enrichit la France et produit 500milliard d,euros donc honte à ce pays nuisible et criminel comme le dit aminata fofana du mali activiste panafricaniste</t>
  </si>
  <si>
    <t>Je suis un Burkinabé grand merci mon mentor CHRIS YAPI!&lt;br /&gt;Alpha Barry ne perd rien pour attendre.</t>
  </si>
  <si>
    <t>Ou est maintenant cette communaute internationale qui a fait pression sur bgagbo?&lt;br /&gt;&lt;br /&gt;Elle voit le 3 eme et joue la sourd d&amp;#39;oreille. &lt;br /&gt;&lt;br /&gt;C&amp;#39;est ca la qui voudrait juger et emprisonnes les gend a la CPI</t>
  </si>
  <si>
    <t>C est l adn des gens du nord ( mossi , sénégalais, guineens ...)</t>
  </si>
  <si>
    <t>Pikass va se faire arrêter car la vérité n&amp;#39;existe plus dans les bouches en cote d&amp;#39;Ivoire</t>
  </si>
  <si>
    <t>✊_xD83C__xDFFE_ we are waitting and watching sun will rise one day thank you sir _xD83D__xDE4F__xD83D__xDE4F__xD83D__xDE4F_</t>
  </si>
  <si>
    <t>C&amp;#39;est propre bravo champion</t>
  </si>
  <si>
    <t>Si tous les Rebelle pouvais aller en prisons y compris la première dame actuelle .</t>
  </si>
  <si>
    <t>Grand frère la justice de Dieu est en cours n&amp;#39;explique rien on sait tout stp .</t>
  </si>
  <si>
    <t>Vraiment une grosse erreur</t>
  </si>
  <si>
    <t>Merci chrissoooo</t>
  </si>
  <si>
    <t>Merci Chris yapi _xD83E__xDD70_</t>
  </si>
  <si>
    <t>Cy pardon laisse pikasse dans son coin faut pas ils vont prendre tes dire en mal</t>
  </si>
  <si>
    <t>Et la vérité éclatera un jour de façon spectaculaire. Attendons de voir. _xD83C__xDFA9_ Chrisso.</t>
  </si>
  <si>
    <t>Merci damana pikass, voilà un vrai opposant, pas comme les poltrons, lâches et traitres de affi nguessan et marcel amon tanoh.</t>
  </si>
  <si>
    <t>On est tous pareils ma sœur</t>
  </si>
  <si>
    <t>Chris Yapi! L&amp;#39;œil divin! Le Pouvoir de Dieu dans la nature et dans l&amp;#39;histoire. Observons seulement et pas à pas ! Amén</t>
  </si>
  <si>
    <t>Bonjour _xD83D__xDC4B_ les abonnés de Chris Yapi  moi je suis Camerounaise , mais je ne loupe pas une seule publication de Chis ... _xD83D__xDE4F__xD83C__xDFFD__xD83D__xDE4F__xD83C__xDFFD_</t>
  </si>
  <si>
    <t>‹</t>
  </si>
  <si>
    <t>Face à cette vidéo qui certainement fera le tour du monde qui vit dans l&amp;#39;injustice que Mr.Pikas soit près face aux encagoulés tueurs des ivoiriens dignes de sang patriotique..Mister Christ Yapi que Dieu te protège fortement.</t>
  </si>
  <si>
    <t>_xD83D__xDC94__xD83D__xDC94__xD83D__xDC94__xD83D__xDC94__xD83D__xDC94_</t>
  </si>
  <si>
    <t>Que Dieu vous protéger et oooooh</t>
  </si>
  <si>
    <t>Absolument</t>
  </si>
  <si>
    <t>Humm! DIEU est fidèle chaque chose a son temps</t>
  </si>
  <si>
    <t>Il n&amp;#39;y a aucun doute dans mon esprit et, à mon âme et conscience, que c&amp;#39;est Laurent Gbagbo qui a gagné les élections de 2010.&lt;br /&gt;2. Ceci étant dit, Henri Konan Bédié, s&amp;#39;il avait posé ses réclamations a temps, aurait permis de clarifier la situation.&lt;br /&gt;3. Nonobstant, j&amp;#39;ai été patient jusqu&amp;#39;au 31 octobre 2020 où il y a eu confrontation entre Alassane Dramane Ouattara avec ses élections présidentielles d&amp;#39;une part, Henri Konan Bédié avec sa désobéissance civile d&amp;#39;autre part.&lt;br /&gt;4. La Vérité se passe de tout commentaire:&lt;br /&gt; a) Alassane Dramane Ouattara, 7,5%&lt;br /&gt;b) Henri Konan Bédié : 92,5%&lt;br /&gt;c) comme en 2010, Alassane Dramane Ouattara a fait intervenir des mercenaires togolais venus de la mission de paix de l&amp;#39;ONU au Mali.&lt;br /&gt;8. Que vaut Alassane Dramane Ouattara sans les armes? Mais une telle pratique démocratique n&amp;#39;est pas inscrite dans les mémoires de l&amp;#39;idéal démocratique maçonnique.&lt;br /&gt;9. Contrairement au sens commun, nous votons en Loge pour accepter un profane parmi nous même si nous savons que ce profane est parrainé par un de nos frères.&lt;br /&gt;10. Je crois que le frère Alassane Dramane Ouattara est comme un enfant qui a une arme  a la main et qui en use comme un jouet. Il faut lui arracher ce jouet.&lt;br /&gt;L&amp;#39;Antechrist</t>
  </si>
  <si>
    <t>Vous savez la question que je me pose ? Comment tout un peuple peut-il se laisser détruire par un petit groupe des écervelés méchants et cruels au solde des blancs pour décimé leur propre race de la surface de la terre ?</t>
  </si>
  <si>
    <t>Je vous assure chers peuples noirs. Il y a un plan caché des blancs pour la destruction systématique et totale de la race noire. Ils ont toujours dit dans leur discours que l&amp;#39;avenir c&amp;#39;est l&amp;#39;Afrique, mais nos soit disant dirigeants n&amp;#39;ont jamais compris ce terme à son juste titre ou ne sont pas prêts à accepter se sacrifier comme les dignes héro d&amp;#39;Afrique. Mais ils sont prêts à sacrifier leurs peuples à court et à long terme afin de se sauver eux seuls. Mais l&amp;#39;histoire nous montre toujours que quand ils refuses de mourrir héro pour le salut des peuples, ils meurent quand même comme des traîtres par la main même de leurs maîtres occidentaux.</t>
  </si>
  <si>
    <t>05 05 2021 en côte d&amp;#39;Ivoire</t>
  </si>
  <si>
    <t>merci woody gnakpa</t>
  </si>
  <si>
    <t>c&amp;#39;est quand Damana adia picas a fait ce discour chris yapi ?</t>
  </si>
  <si>
    <t>Donc vous confondez chaque fois la voix de Chris Yapi à celle d&amp;#39;une dame ou quoi ?</t>
  </si>
  <si>
    <t>Félicitations Mr ou Mme Christ yapi.</t>
  </si>
  <si>
    <t>Chris Yapi ne te sous -estime  pas  et  ne te décourage pas  . tu es une Etoile pour l&amp;#39;Afrique  car tu arrives a réunir toute l&amp;#39;Afrique  (l&amp;#39;union africaine tu es ).&lt;br /&gt;doucement mais surement on va y arriver un jour .après ce combat tu formera des élites à ce métier .&lt;br /&gt;Que DIEU TE PROTEGE.&lt;br /&gt;le CONGO_xD83D__xDE4B_‍♀️</t>
  </si>
  <si>
    <t>Bravo à l&amp;#39;homme _xD83C__xDDE8__xD83C__xDDEE_</t>
  </si>
  <si>
    <t>Gbagbo a fait combien de mandat en 2002 ?</t>
  </si>
  <si>
    <t>tout cela  sont les discours de politiciens meme au tempt de gbagbo le pays etait mal dirigee.chris yapi est la maintenant vous devez faire attations ci vous etres de retour .on est fatique ,gbagbo aussi devait pas faire un troisieme mandat c &amp;#39;est ce qui a agendre tout cela .assayez vous et laisses la place a la jeune generation.</t>
  </si>
  <si>
    <t>Huuuuummmm! On est revenu aux invectives avec le retour des exilés et autres. Wait and see dixit Chris Yapi. Dieu de grâce, pitié ne te détourne pas de nous.....</t>
  </si>
  <si>
    <t>Les sages qui observent savent qu en politique on n a pas d amis mais que des intérêts à protéger !.... tiens au fait encore plus d electricité à l appartement. C est sûr qu au lieu de payer les pieces défectueuses quand on se met l argent dans la poche, plus rien ne fonctionne...  et au lieu de faire de l entrisme et du népotisme  si on mettait en place des vrais ingénieurs et vrais logisticiens il n y aurait aucun problème.... mais au lieu de cela on y met sa famille ses amis sur présentation de la carte du &amp;quot;bon&amp;quot; parti.... Ubris sévit à tous les étages chez nous. Il ne faudra pas s étonner qd il y aura un grand coup de Karcher.   Mais en attendant le peuple souffre. Pas d eau... pas d electricité.... pas d argent pas de nourriture.... quelle désespérance. Pas étonnant que nos jeunes préfèrent une mort violente en mer à une mort lente et honteuse au pays..... Aléa jacta est!</t>
  </si>
  <si>
    <t>Chris yapi futur président de la République de Côte d&amp;#39;Ivoire&amp;#39;&amp;#39;&amp;#39;le seule qui est resté fidèle au peuple ivoirien&amp;#39;&amp;#39;&amp;#39;</t>
  </si>
  <si>
    <t>Chris yapi vas fait tomber ce régime</t>
  </si>
  <si>
    <t>En tout cas, &amp;quot;let&amp;#39;s wait and see&amp;quot;.&lt;br /&gt;Croisons les bras.</t>
  </si>
  <si>
    <t>toujours yapi</t>
  </si>
  <si>
    <t>C&amp;#39;est COUILLU DE VENIR PARLER COMME ÇA UNE SEMAINE APRÈS SON RETOUR... Prend soin de toi cousin DAMANA_xD83C__xDDE8__xD83C__xDDEE__xD83C__xDDE8__xD83C__xDDEE__xD83C__xDDE8__xD83C__xDDEE__xD83D__xDE4F__xD83D__xDE4F_</t>
  </si>
  <si>
    <t>Merci je suis ivoirien, depuis votre apparition sur les réseaux sociaux tu es le seul qui dit la vérité</t>
  </si>
  <si>
    <t>Mais quel courage !</t>
  </si>
  <si>
    <t>Merci Chris Yapi</t>
  </si>
  <si>
    <t>Bonjour la famille,&lt;br /&gt;Damana Picass, est ce qu’il sait ce qu’il est entrain de faire?? En tout cas comme il vient d’arriver on va dire il sait pas ... mais mon frère y’a la fiole _xD83E__xDDEA_ hein !!</t>
  </si>
  <si>
    <t>C&amp;#39;est tout simplement formidable !!!!!</t>
  </si>
  <si>
    <t>Aller !!!D&amp;#39;amant pikass !</t>
  </si>
  <si>
    <t>Mais DAMANA PIKAS a raison par rapport à l&amp;#39;élection présidentielle de 2010, pourquoi le camp adverse n&amp;#39;a accepté que le recomptage des voix soit l&amp;#39;option choisie pour le dénouement de la crise post-electorale, parce que les gens avaient perdu les élections.</t>
  </si>
  <si>
    <t>Humm Pardon ne livrez pas Damana Pikass à la fiole ooh_xD83D__xDE44__xD83D__xDE44_</t>
  </si>
  <si>
    <t>Ainsi que les dignes fils ivoiriens s&amp;#39;expriment _xD83D__xDC18__xD83C__xDDE8__xD83C__xDDEE_&lt;br /&gt;La vérité pique comme le nom&lt;br /&gt; T. Piquase</t>
  </si>
  <si>
    <t>BRAVO DAMANA PICAS!&lt;br /&gt;TA MAMAN T&amp;#39;A FAIT GARÇON.&lt;br /&gt;QUE DIEU, CRÉATEUR DU CIEL ET DE LA TERRE, TE PROTÈGE ET TE BÉNISSE PUISSAMMENT AU NOM DE JÉSUS. AMEN !</t>
  </si>
  <si>
    <t>Vraiment merci Chris yapi</t>
  </si>
  <si>
    <t>Beaucoup de respect pour toi, parfois je me demande si tu n&amp;#39;es pas extra terrestre très cher Chris Yapi.</t>
  </si>
  <si>
    <t>Damana Picass va y doucement se pouvoir là c&amp;#39;est zéro tolérance</t>
  </si>
  <si>
    <t>_xD83D__xDE4A__xD83D__xDE4A__xD83D__xDE4A__xD83D__xDE4A_</t>
  </si>
  <si>
    <t>Les ivoiriens doivent absolument tourner la page nous en avons trop souffert (cette crise) mais préparons l&amp;#39;avenir en étant prudent comme le serpent et simple comme la colombe car en côte d&amp;#39;ivoire Ilya un proverbe qui di que si Dieu combat pr toi tu n&amp;#39;a pas bésoin d enlever ton habit</t>
  </si>
  <si>
    <t>Christ yapi merci de nous donner l&amp;#39;identité ( origine )de Damana pikass</t>
  </si>
  <si>
    <t>Je connais bien sa famille j&amp;#39;attends que vous nous donnez ses origines s&amp;#39;il vous plaît. Merci</t>
  </si>
  <si>
    <t>Ce monsieur sera arrêté. Que  le tout-puissant le protège. Chris yapi infiniment merci.</t>
  </si>
  <si>
    <t>Merci Chris Yapi !!!!</t>
  </si>
  <si>
    <t>C&amp;#39;est bien Laurent Gbagbo qui a gagné les élections</t>
  </si>
  <si>
    <t>Les Ivoiriens ne doivent pas lâcher prise. Ils doivent se coaliser pour dégager Ouattara et cie !</t>
  </si>
  <si>
    <t>Qu&amp;#39;il en soit ainsi</t>
  </si>
  <si>
    <t>Même hier à Dubaï dans un supermarché, j&amp;#39;entendis la sonnerie de Christ Yapi. J&amp;#39;ai abordé la dame en lui demandant si elle est ivoirienne. Voilà elle me dit non qu&amp;#39;elle est de Mozambique (un pays limitrophe de l&amp;#39;Afrique du sud).&lt;br /&gt;&lt;br /&gt;Weeeeeeee, chapeau à toi Chris Yapi. Dramane va forcément tomber comme une Orange pourrie et même le plus inintelligent sur la planète viendra lui donner des conseils sur la morale et le bon sens.</t>
  </si>
  <si>
    <t>Chris Yapi Chris Yapi Chris Yapi _xD83D__xDC4F_</t>
  </si>
  <si>
    <t>yves roland kouassi</t>
  </si>
  <si>
    <t>Mamadou Ouologuem</t>
  </si>
  <si>
    <t>Maliano Dolby</t>
  </si>
  <si>
    <t>konan francois kouakou</t>
  </si>
  <si>
    <t>Gaston Gbomila</t>
  </si>
  <si>
    <t>Camara nakpo Franck Étienne</t>
  </si>
  <si>
    <t>kinklin Hmtw</t>
  </si>
  <si>
    <t>Ahmed Fofana</t>
  </si>
  <si>
    <t>Deliko Nahomie</t>
  </si>
  <si>
    <t>SEKA Françoise</t>
  </si>
  <si>
    <t>BabiActu Buzz &amp; news</t>
  </si>
  <si>
    <t>Yssak Ydjaloub</t>
  </si>
  <si>
    <t>Fatbé mamer Talakaena</t>
  </si>
  <si>
    <t>Abdoul Nignan</t>
  </si>
  <si>
    <t>Massa Massa</t>
  </si>
  <si>
    <t>Anderson N'zue</t>
  </si>
  <si>
    <t>CeShakara</t>
  </si>
  <si>
    <t>Ousmane Diallo</t>
  </si>
  <si>
    <t>Tania Pascale Yerebo</t>
  </si>
  <si>
    <t>Alexis Grovogui</t>
  </si>
  <si>
    <t>Ismail Doumbia</t>
  </si>
  <si>
    <t>Angela-Klara VALTER</t>
  </si>
  <si>
    <t>Solange OUEDRAOGO</t>
  </si>
  <si>
    <t>Oli Le beni</t>
  </si>
  <si>
    <t>Mossah Banissi</t>
  </si>
  <si>
    <t>ineecmiss</t>
  </si>
  <si>
    <t>Claude Honoré</t>
  </si>
  <si>
    <t>Kwt Kwt</t>
  </si>
  <si>
    <t>Arsène Damiba</t>
  </si>
  <si>
    <t>Ognok</t>
  </si>
  <si>
    <t>Abobolais Kadjo</t>
  </si>
  <si>
    <t>Wizy Fredi71</t>
  </si>
  <si>
    <t>Nick De paris</t>
  </si>
  <si>
    <t>Ange parker</t>
  </si>
  <si>
    <t>Eulalie Mainge</t>
  </si>
  <si>
    <t>Gola Mi</t>
  </si>
  <si>
    <t>Angela Bosso</t>
  </si>
  <si>
    <t>Ibrahim Mohamed Keita</t>
  </si>
  <si>
    <t>florence robinson</t>
  </si>
  <si>
    <t>Mohamed Coulibaly</t>
  </si>
  <si>
    <t>Sarah Mercier</t>
  </si>
  <si>
    <t>digbe gildas</t>
  </si>
  <si>
    <t>Kanga Denis KOUADIO</t>
  </si>
  <si>
    <t>S. Tannon</t>
  </si>
  <si>
    <t>Jean Claude Djiei</t>
  </si>
  <si>
    <t>suah honore</t>
  </si>
  <si>
    <t>Okson Kouassi</t>
  </si>
  <si>
    <t>yomafou KASCI</t>
  </si>
  <si>
    <t>Charlaine Labelle</t>
  </si>
  <si>
    <t>Hamed Camara</t>
  </si>
  <si>
    <t>Amoin grâce ramine Fofana</t>
  </si>
  <si>
    <t>Assouma Gnonssoum</t>
  </si>
  <si>
    <t>Wences Anno</t>
  </si>
  <si>
    <t>Osvale Amani</t>
  </si>
  <si>
    <t>Natasha 21</t>
  </si>
  <si>
    <t>guede ange patrick</t>
  </si>
  <si>
    <t>Georges Daman</t>
  </si>
  <si>
    <t>zogbe armand</t>
  </si>
  <si>
    <t>mathieu gode</t>
  </si>
  <si>
    <t>Donatien Attiapo</t>
  </si>
  <si>
    <t>Bi Tchéin Alain Tian</t>
  </si>
  <si>
    <t>Bene Ouattara</t>
  </si>
  <si>
    <t>Fidèle N' dioré kouassi</t>
  </si>
  <si>
    <t>Yves-Roland Allah</t>
  </si>
  <si>
    <t>Eugenie Balogun</t>
  </si>
  <si>
    <t>Ange paterne N'guessan</t>
  </si>
  <si>
    <t>Soni Koko</t>
  </si>
  <si>
    <t>David Ouatt</t>
  </si>
  <si>
    <t>Salim Yazid</t>
  </si>
  <si>
    <t>Ali Baba</t>
  </si>
  <si>
    <t>20ckpwt18</t>
  </si>
  <si>
    <t>Koffi Roger</t>
  </si>
  <si>
    <t>Fulgence Kouassi</t>
  </si>
  <si>
    <t>aka francois Yao</t>
  </si>
  <si>
    <t>Gozie Abraham</t>
  </si>
  <si>
    <t>sandrine monhiro</t>
  </si>
  <si>
    <t>Esdrass Jesusandhisbible</t>
  </si>
  <si>
    <t>André Vignal</t>
  </si>
  <si>
    <t>Ahmed Saleh</t>
  </si>
  <si>
    <t>Gbele Guehi</t>
  </si>
  <si>
    <t>Yakia Guiyoro</t>
  </si>
  <si>
    <t>Iam Yun</t>
  </si>
  <si>
    <t>Nubian sarodji lyah</t>
  </si>
  <si>
    <t>Ahmadou Tidjani Touré</t>
  </si>
  <si>
    <t>MIA PERTINENCE</t>
  </si>
  <si>
    <t>christ yoboue</t>
  </si>
  <si>
    <t>Angelina Rico</t>
  </si>
  <si>
    <t>Nadine Kouadio</t>
  </si>
  <si>
    <t>Candide 83</t>
  </si>
  <si>
    <t>Je suis le CNT</t>
  </si>
  <si>
    <t>oumar diaby</t>
  </si>
  <si>
    <t>TOURE BOUA OUMAR</t>
  </si>
  <si>
    <t>moina dibala</t>
  </si>
  <si>
    <t>Abou Djiguemdé</t>
  </si>
  <si>
    <t>JESUS Sauveur</t>
  </si>
  <si>
    <t>Jean-Herick BLE</t>
  </si>
  <si>
    <t>Roméo OBOSSOU</t>
  </si>
  <si>
    <t>Eburnie DL</t>
  </si>
  <si>
    <t>Serge Behin</t>
  </si>
  <si>
    <t>#&amp;DIEU #VOUS VOIT#. #BEANZIN20#</t>
  </si>
  <si>
    <t>Lydie Konan</t>
  </si>
  <si>
    <t>Pamela Nji</t>
  </si>
  <si>
    <t>Pauline Kouadio</t>
  </si>
  <si>
    <t>ANTI DOT</t>
  </si>
  <si>
    <t>Marcel Benie</t>
  </si>
  <si>
    <t>Gigi Mato</t>
  </si>
  <si>
    <t>Kouame Konan Bruno</t>
  </si>
  <si>
    <t>Ma Ti</t>
  </si>
  <si>
    <t>Joseph Dingui</t>
  </si>
  <si>
    <t>tcheme Jean</t>
  </si>
  <si>
    <t>Aida Thiam</t>
  </si>
  <si>
    <t>Ydris de Paris</t>
  </si>
  <si>
    <t>Barthélémy Kponkou</t>
  </si>
  <si>
    <t>Barthelemy Angba</t>
  </si>
  <si>
    <t>Providence Divine</t>
  </si>
  <si>
    <t>WOODY GNAKPA</t>
  </si>
  <si>
    <t>ibe jolly</t>
  </si>
  <si>
    <t>Pierre Dabire</t>
  </si>
  <si>
    <t>diarrassouba valverde</t>
  </si>
  <si>
    <t>GAGO D</t>
  </si>
  <si>
    <t>yao n`Dri swaliho kouassi</t>
  </si>
  <si>
    <t>BAPYonguk GukGuk</t>
  </si>
  <si>
    <t>albert lolo</t>
  </si>
  <si>
    <t>ezechias gedeon gnamien</t>
  </si>
  <si>
    <t>Evelyne Nerveat</t>
  </si>
  <si>
    <t>Joelle Kouassi</t>
  </si>
  <si>
    <t>Zokiri Coulibaly</t>
  </si>
  <si>
    <t>Gaza Kouakou Athanase Kouadio</t>
  </si>
  <si>
    <t>ollo robert sib</t>
  </si>
  <si>
    <t>Manu TRAZIE</t>
  </si>
  <si>
    <t>Ahe N'guessan Aka Michel</t>
  </si>
  <si>
    <t>Brice Depri</t>
  </si>
  <si>
    <t>Djouma Ouattarabou</t>
  </si>
  <si>
    <t>Piment Sympathique</t>
  </si>
  <si>
    <t>Deville Yoro</t>
  </si>
  <si>
    <t>Timou Timou</t>
  </si>
  <si>
    <t>honoré YOULOUGONE</t>
  </si>
  <si>
    <t>Prisca TAPE</t>
  </si>
  <si>
    <t>Drigbe Carols</t>
  </si>
  <si>
    <t>Lavoix Desbobo</t>
  </si>
  <si>
    <t>Amoinmadeleine Konan</t>
  </si>
  <si>
    <t>Souleymane Sanguisso</t>
  </si>
  <si>
    <t>Saklape Jean Paul Gneupa</t>
  </si>
  <si>
    <t>Ehouman Ehouman</t>
  </si>
  <si>
    <t>2 L'ART</t>
  </si>
  <si>
    <t>Akoua Florence</t>
  </si>
  <si>
    <t>Stéphane GNABA</t>
  </si>
  <si>
    <t>ndri Ramos</t>
  </si>
  <si>
    <t>Koffi Gaston Yeouye</t>
  </si>
  <si>
    <t>Marie yvette 01 Dizan</t>
  </si>
  <si>
    <t>Kokuvi Gaston Amedodji</t>
  </si>
  <si>
    <t>Hima Ibrahima</t>
  </si>
  <si>
    <t>UgwXpFcMS5MHTouFtzV4AaABAg</t>
  </si>
  <si>
    <t>UgywVJBFDtz2fvXRZtZ4AaABAg</t>
  </si>
  <si>
    <t>UgzawAE3ne-c85uRHF94AaABAg</t>
  </si>
  <si>
    <t>UgzyVvRKa3eVpxSEjXx4AaABAg</t>
  </si>
  <si>
    <t>UgxKOCdGPBQR_jwEuXp4AaABAg</t>
  </si>
  <si>
    <t>UgzlXNt0ZaUdEbMHWFp4AaABAg</t>
  </si>
  <si>
    <t>UgxYXE_-Hv98cYZwrj54AaABAg</t>
  </si>
  <si>
    <t>Ugx-ib1auNzfh6sQsPZ4AaABAg</t>
  </si>
  <si>
    <t>Ugz2JHb8cLmphEFYZxZ4AaABAg</t>
  </si>
  <si>
    <t>UgzGU5QwtnBOJ-Mgh-R4AaABAg</t>
  </si>
  <si>
    <t>Ugyb2mFzLDoF4auNPld4AaABAg</t>
  </si>
  <si>
    <t>Ugxl-c9co2pGhH4eFHZ4AaABAg</t>
  </si>
  <si>
    <t>Ugzgu1aB1YOFj4h_iiR4AaABAg</t>
  </si>
  <si>
    <t>UgyetJYF6IvTVK3cuRF4AaABAg</t>
  </si>
  <si>
    <t>UgyEA9S9oWm84ErpMmJ4AaABAg</t>
  </si>
  <si>
    <t>UgxUDxt4XSz5uFOEN7t4AaABAg</t>
  </si>
  <si>
    <t>UgzZpCagdSr-g1gpwOl4AaABAg</t>
  </si>
  <si>
    <t>UgwnZRP4FszVQZbnKEJ4AaABAg</t>
  </si>
  <si>
    <t>Ugxlq92T96whlCn7bqt4AaABAg</t>
  </si>
  <si>
    <t>Ci9JYIJstPY</t>
  </si>
  <si>
    <t>none</t>
  </si>
  <si>
    <t xml:space="preserve"> http://www.youtube.com/results?search_query=%23rgps</t>
  </si>
  <si>
    <t>youtube.com</t>
  </si>
  <si>
    <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</si>
  <si>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</si>
  <si>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</si>
  <si>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</si>
  <si>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</si>
  <si>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</si>
  <si>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</si>
  <si>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</si>
  <si>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</si>
  <si>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</si>
  <si>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</si>
  <si>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</si>
  <si>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</si>
  <si>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</si>
  <si>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CHRIS YAPI TV OFFICIEL</t>
  </si>
  <si>
    <t>Je suis Chris Yapi, l'un des enquêteurs les plus persécutés de Côte d'Ivoire. Mes révélations sur les scandales politiques, économiques et sociaux en cours dans mon pays m'ont valu l'hostilité, que dis-je l'animosité de la dictature de M. Ouattara, actuellement au pouvoir. Je m'installe donc sur Mediapart, grâce à la générosité de mes amis du PDCI-RDA, Twitter (@ChrisYapi4) et YouTube (Chris Yapi TV Officiel) pour faire connaître toute la vérité sur la tragédie de mon pays. Je n'ai aucun compte Facebook. Mon seul relais officiel sur Facebook est Nathalie Dasilva/Nathalie Dasilva Officiel. Signalez tous les autres comptes, désabonnez-vous et informez vos amis. Ce sont de faux comptes espions.</t>
  </si>
  <si>
    <t>Actu-buzz-pplk</t>
  </si>
  <si>
    <t>PLURIELLE</t>
  </si>
  <si>
    <t>Agent Commercial relation client a son propre compte</t>
  </si>
  <si>
    <t>Informaticien en Réseau</t>
  </si>
  <si>
    <t xml:space="preserve">Ma patrie mon héritage  ne vous y attaquez pas c’est mon héritage </t>
  </si>
  <si>
    <t>Luc, 5:24 - Or, afin que vous sachiez que le Fils de l`homme a sur la terre le pouvoir de pardonner les péchés: Je te l`ordonne, dit-il au paralytique, lève-toi, prends ton lit, et va dans ta maison.</t>
  </si>
  <si>
    <t>Critiques + Solutions</t>
  </si>
  <si>
    <t>JÉSUS LE ROI DES ROIS</t>
  </si>
  <si>
    <t>Music</t>
  </si>
  <si>
    <t>BAP is talented</t>
  </si>
  <si>
    <t>le langage le plus dangereux au monde est celui du silence</t>
  </si>
  <si>
    <t>Marié made in France</t>
  </si>
  <si>
    <t>Open Channel URL in Browser</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</si>
  <si>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</si>
  <si>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</si>
  <si>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</si>
  <si>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</si>
  <si>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</si>
  <si>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</si>
  <si>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</si>
  <si>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</si>
  <si>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</si>
  <si>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</si>
  <si>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</si>
  <si>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</si>
  <si>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</si>
  <si>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</si>
  <si>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</si>
  <si>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</si>
  <si>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</si>
  <si>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</si>
  <si>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</si>
  <si>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</si>
  <si>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</si>
  <si>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</si>
  <si>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</si>
  <si>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</si>
  <si>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</si>
  <si>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</si>
  <si>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</si>
  <si>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</si>
  <si>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</si>
  <si>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</si>
  <si>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</si>
  <si>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</si>
  <si>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</si>
  <si>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</si>
  <si>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</si>
  <si>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</si>
  <si>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</si>
  <si>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</si>
  <si>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</si>
  <si>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</si>
  <si>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</si>
  <si>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</si>
  <si>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yapi</t>
  </si>
  <si>
    <t>chris</t>
  </si>
  <si>
    <t>dieu</t>
  </si>
  <si>
    <t>gbagbo</t>
  </si>
  <si>
    <t>élections</t>
  </si>
  <si>
    <t>damana</t>
  </si>
  <si>
    <t>ouattara</t>
  </si>
  <si>
    <t>pays</t>
  </si>
  <si>
    <t>dramane</t>
  </si>
  <si>
    <t>gagné</t>
  </si>
  <si>
    <t>christ</t>
  </si>
  <si>
    <t>2010</t>
  </si>
  <si>
    <t>barry</t>
  </si>
  <si>
    <t>ivoiriens</t>
  </si>
  <si>
    <t>ivoire</t>
  </si>
  <si>
    <t>vraiment</t>
  </si>
  <si>
    <t>mr</t>
  </si>
  <si>
    <t>jamais</t>
  </si>
  <si>
    <t>peulh</t>
  </si>
  <si>
    <t>vérité</t>
  </si>
  <si>
    <t>voix</t>
  </si>
  <si>
    <t>faire</t>
  </si>
  <si>
    <t>afrique</t>
  </si>
  <si>
    <t>pikass</t>
  </si>
  <si>
    <t>amen</t>
  </si>
  <si>
    <t>faut</t>
  </si>
  <si>
    <t>bonne</t>
  </si>
  <si>
    <t>côte</t>
  </si>
  <si>
    <t>fiole</t>
  </si>
  <si>
    <t>peuple</t>
  </si>
  <si>
    <t>alassane</t>
  </si>
  <si>
    <t>tour</t>
  </si>
  <si>
    <t>laurent</t>
  </si>
  <si>
    <t>frère</t>
  </si>
  <si>
    <t>and</t>
  </si>
  <si>
    <t>bédié</t>
  </si>
  <si>
    <t>temps</t>
  </si>
  <si>
    <t>face</t>
  </si>
  <si>
    <t>vrai</t>
  </si>
  <si>
    <t>cy</t>
  </si>
  <si>
    <t>protège</t>
  </si>
  <si>
    <t>famille</t>
  </si>
  <si>
    <t>raison</t>
  </si>
  <si>
    <t>président</t>
  </si>
  <si>
    <t>lieu</t>
  </si>
  <si>
    <t>place</t>
  </si>
  <si>
    <t>jour</t>
  </si>
  <si>
    <t>question</t>
  </si>
  <si>
    <t>propre</t>
  </si>
  <si>
    <t>you</t>
  </si>
  <si>
    <t>mossi</t>
  </si>
  <si>
    <t>france</t>
  </si>
  <si>
    <t>réconciliation</t>
  </si>
  <si>
    <t>burkina</t>
  </si>
  <si>
    <t>guinée</t>
  </si>
  <si>
    <t>pdci</t>
  </si>
  <si>
    <t>ange</t>
  </si>
  <si>
    <t>dame</t>
  </si>
  <si>
    <t>donner</t>
  </si>
  <si>
    <t>puissant</t>
  </si>
  <si>
    <t>origine</t>
  </si>
  <si>
    <t>avenir</t>
  </si>
  <si>
    <t>prudent</t>
  </si>
  <si>
    <t>picass</t>
  </si>
  <si>
    <t>nom</t>
  </si>
  <si>
    <t>dignes</t>
  </si>
  <si>
    <t>humm</t>
  </si>
  <si>
    <t>pardon</t>
  </si>
  <si>
    <t>recomptage</t>
  </si>
  <si>
    <t>aller</t>
  </si>
  <si>
    <t>courage</t>
  </si>
  <si>
    <t>ivoirien</t>
  </si>
  <si>
    <t>wait</t>
  </si>
  <si>
    <t>see</t>
  </si>
  <si>
    <t>intérêts</t>
  </si>
  <si>
    <t>met</t>
  </si>
  <si>
    <t>grand</t>
  </si>
  <si>
    <t>discours</t>
  </si>
  <si>
    <t>peuples</t>
  </si>
  <si>
    <t>accepter</t>
  </si>
  <si>
    <t>histoire</t>
  </si>
  <si>
    <t>traîtres</t>
  </si>
  <si>
    <t>henri</t>
  </si>
  <si>
    <t>konan</t>
  </si>
  <si>
    <t>passe</t>
  </si>
  <si>
    <t>paix</t>
  </si>
  <si>
    <t>mali</t>
  </si>
  <si>
    <t>vaut</t>
  </si>
  <si>
    <t>savons</t>
  </si>
  <si>
    <t>monde</t>
  </si>
  <si>
    <t>will</t>
  </si>
  <si>
    <t>nord</t>
  </si>
  <si>
    <t>alpha</t>
  </si>
  <si>
    <t>pickass</t>
  </si>
  <si>
    <t>fpi</t>
  </si>
  <si>
    <t>candide</t>
  </si>
  <si>
    <t>83</t>
  </si>
  <si>
    <t>commencer</t>
  </si>
  <si>
    <t>ado</t>
  </si>
  <si>
    <t>soni</t>
  </si>
  <si>
    <t>koko</t>
  </si>
  <si>
    <t>choses</t>
  </si>
  <si>
    <t>veille</t>
  </si>
  <si>
    <t>nuit</t>
  </si>
  <si>
    <t>hier</t>
  </si>
  <si>
    <t>sonnerie</t>
  </si>
  <si>
    <t>tomber</t>
  </si>
  <si>
    <t>sens</t>
  </si>
  <si>
    <t>infiniment</t>
  </si>
  <si>
    <t>crise</t>
  </si>
  <si>
    <t>combat</t>
  </si>
  <si>
    <t>doucement</t>
  </si>
  <si>
    <t>pouvoir</t>
  </si>
  <si>
    <t>respect</t>
  </si>
  <si>
    <t>demande</t>
  </si>
  <si>
    <t>extra</t>
  </si>
  <si>
    <t>terrestre</t>
  </si>
  <si>
    <t>picas</t>
  </si>
  <si>
    <t>terre</t>
  </si>
  <si>
    <t>bénisse</t>
  </si>
  <si>
    <t>fils</t>
  </si>
  <si>
    <t>pikas</t>
  </si>
  <si>
    <t>présidentielle</t>
  </si>
  <si>
    <t>accepté</t>
  </si>
  <si>
    <t>bonjour</t>
  </si>
  <si>
    <t>cas</t>
  </si>
  <si>
    <t>arriver</t>
  </si>
  <si>
    <t>régime</t>
  </si>
  <si>
    <t>république</t>
  </si>
  <si>
    <t>fidèle</t>
  </si>
  <si>
    <t>savent</t>
  </si>
  <si>
    <t>politique</t>
  </si>
  <si>
    <t>amis</t>
  </si>
  <si>
    <t>protéger</t>
  </si>
  <si>
    <t>electricité</t>
  </si>
  <si>
    <t>argent</t>
  </si>
  <si>
    <t>vrais</t>
  </si>
  <si>
    <t>problème</t>
  </si>
  <si>
    <t>parti</t>
  </si>
  <si>
    <t>mort</t>
  </si>
  <si>
    <t>mal</t>
  </si>
  <si>
    <t>mandat</t>
  </si>
  <si>
    <t>laisses</t>
  </si>
  <si>
    <t>homme</t>
  </si>
  <si>
    <t>adia</t>
  </si>
  <si>
    <t>woody</t>
  </si>
  <si>
    <t>05</t>
  </si>
  <si>
    <t>blancs</t>
  </si>
  <si>
    <t>race</t>
  </si>
  <si>
    <t>terme</t>
  </si>
  <si>
    <t>prêts</t>
  </si>
  <si>
    <t>sacrifier</t>
  </si>
  <si>
    <t>héro</t>
  </si>
  <si>
    <t>long</t>
  </si>
  <si>
    <t>main</t>
  </si>
  <si>
    <t>pose</t>
  </si>
  <si>
    <t>conscience</t>
  </si>
  <si>
    <t>2020</t>
  </si>
  <si>
    <t>présidentielles</t>
  </si>
  <si>
    <t>part</t>
  </si>
  <si>
    <t>onu</t>
  </si>
  <si>
    <t>démocratique</t>
  </si>
  <si>
    <t>profane</t>
  </si>
  <si>
    <t>frères</t>
  </si>
  <si>
    <t>crois</t>
  </si>
  <si>
    <t>jouet</t>
  </si>
  <si>
    <t>chose</t>
  </si>
  <si>
    <t>vidéo</t>
  </si>
  <si>
    <t>attendons</t>
  </si>
  <si>
    <t>pikasse</t>
  </si>
  <si>
    <t>justice</t>
  </si>
  <si>
    <t>are</t>
  </si>
  <si>
    <t>thank</t>
  </si>
  <si>
    <t>cote</t>
  </si>
  <si>
    <t>voit</t>
  </si>
  <si>
    <t>ca</t>
  </si>
  <si>
    <t>attendre</t>
  </si>
  <si>
    <t>honte</t>
  </si>
  <si>
    <t>compréhension</t>
  </si>
  <si>
    <t>#</t>
  </si>
  <si>
    <t>diallo</t>
  </si>
  <si>
    <t>aime</t>
  </si>
  <si>
    <t>déjà</t>
  </si>
  <si>
    <t>calcul</t>
  </si>
  <si>
    <t>100</t>
  </si>
  <si>
    <t>second</t>
  </si>
  <si>
    <t>preuve</t>
  </si>
  <si>
    <t>centre</t>
  </si>
  <si>
    <t>vomi</t>
  </si>
  <si>
    <t>quelqu</t>
  </si>
  <si>
    <t>pensez</t>
  </si>
  <si>
    <t>vomit</t>
  </si>
  <si>
    <t>cause</t>
  </si>
  <si>
    <t>gagner</t>
  </si>
  <si>
    <t>alliance</t>
  </si>
  <si>
    <t>rdr</t>
  </si>
  <si>
    <t>25</t>
  </si>
  <si>
    <t>1er</t>
  </si>
  <si>
    <t>appelé</t>
  </si>
  <si>
    <t>voter</t>
  </si>
  <si>
    <t>donne</t>
  </si>
  <si>
    <t>guerre</t>
  </si>
  <si>
    <t>damanan</t>
  </si>
  <si>
    <t>voulez</t>
  </si>
  <si>
    <t>marre</t>
  </si>
  <si>
    <t>justement</t>
  </si>
  <si>
    <t>mieux</t>
  </si>
  <si>
    <t>tard</t>
  </si>
  <si>
    <t>peur</t>
  </si>
  <si>
    <t>viennent</t>
  </si>
  <si>
    <t>oui</t>
  </si>
  <si>
    <t>prêt</t>
  </si>
  <si>
    <t>chef</t>
  </si>
  <si>
    <t>veut</t>
  </si>
  <si>
    <t>enfants</t>
  </si>
  <si>
    <t>salim</t>
  </si>
  <si>
    <t>yazid</t>
  </si>
  <si>
    <t>david</t>
  </si>
  <si>
    <t>ouatt</t>
  </si>
  <si>
    <t>the</t>
  </si>
  <si>
    <t>us</t>
  </si>
  <si>
    <t>please</t>
  </si>
  <si>
    <t>souhaite</t>
  </si>
  <si>
    <t>leader</t>
  </si>
  <si>
    <t>combattant</t>
  </si>
  <si>
    <t>miroir</t>
  </si>
  <si>
    <t>fière</t>
  </si>
  <si>
    <t>dormir</t>
  </si>
  <si>
    <t>rendez</t>
  </si>
  <si>
    <t>bout</t>
  </si>
  <si>
    <t>cool</t>
  </si>
  <si>
    <t>jours</t>
  </si>
  <si>
    <t>keita</t>
  </si>
  <si>
    <t>barri</t>
  </si>
  <si>
    <t>tjrs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</si>
  <si>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</si>
  <si>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</si>
  <si>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</si>
  <si>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</si>
  <si>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</si>
  <si>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</si>
  <si>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</si>
  <si>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</si>
  <si>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</si>
  <si>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</si>
  <si>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</si>
  <si>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</si>
  <si>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</si>
  <si>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</si>
  <si>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</si>
  <si>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</si>
  <si>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</si>
  <si>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</si>
  <si>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</si>
  <si>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</si>
  <si>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</si>
  <si>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</si>
  <si>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</si>
  <si>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</si>
  <si>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</si>
  <si>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</si>
  <si>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</si>
  <si>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</si>
  <si>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</si>
  <si>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</si>
  <si>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</si>
  <si>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</si>
  <si>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</si>
  <si>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</si>
  <si>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</si>
  <si>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</si>
  <si>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</si>
  <si>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</si>
  <si>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</si>
  <si>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</si>
  <si>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</si>
  <si>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</si>
  <si>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</si>
  <si>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</si>
  <si>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</si>
  <si>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</si>
  <si>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</si>
  <si>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</si>
  <si>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</si>
  <si>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</si>
  <si>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</si>
  <si>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</si>
  <si>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</si>
  <si>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</si>
  <si>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</si>
  <si>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</si>
  <si>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</si>
  <si>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Connected Action Your Link to Social Network Insights</t>
  </si>
  <si>
    <t>https://bit.ly/NodeXLMaps</t>
  </si>
  <si>
    <t>D:\NodeXL\_options\Connected Action\CALogo-Plain_header.jpg</t>
  </si>
  <si>
    <t>https://www.connectedaction.net/</t>
  </si>
  <si>
    <t>#NodeXL</t>
  </si>
  <si>
    <t>http://bit.ly/NodeXL</t>
  </si>
  <si>
    <t>Top 10 Vertices, Ranked by Betweenness Centrality</t>
  </si>
  <si>
    <t>Top URLs In Comment in Entire Graph</t>
  </si>
  <si>
    <t>http://www.youtube.com/results?search_query=%23rgps</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</si>
  <si>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</si>
  <si>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</si>
  <si>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</si>
  <si>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</si>
  <si>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</si>
  <si>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</si>
  <si>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</si>
  <si>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</si>
  <si>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</si>
  <si>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</si>
  <si>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</si>
  <si>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</si>
  <si>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</si>
  <si>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</si>
  <si>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</si>
  <si>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</si>
  <si>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</si>
  <si>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</si>
  <si>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</si>
  <si>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</si>
  <si>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</si>
  <si>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</si>
  <si>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Top Domains In Comment in Entire Graph</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</si>
  <si>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</si>
  <si>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</si>
  <si>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</si>
  <si>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</si>
  <si>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</si>
  <si>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</si>
  <si>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</si>
  <si>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</si>
  <si>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</si>
  <si>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</si>
  <si>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</si>
  <si>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</si>
  <si>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</si>
  <si>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</si>
  <si>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</si>
  <si>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</si>
  <si>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</si>
  <si>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</si>
  <si>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</si>
  <si>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</si>
  <si>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</si>
  <si>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</si>
  <si>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</si>
  <si>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</si>
  <si>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</si>
  <si>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</si>
  <si>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</si>
  <si>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</si>
  <si>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</si>
  <si>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</si>
  <si>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</si>
  <si>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</si>
  <si>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</si>
  <si>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</si>
  <si>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</si>
  <si>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gbagbo faire mandat</t>
  </si>
  <si>
    <t>gagné élections 2010</t>
  </si>
  <si>
    <t>Top Word Pairs in Comment in Entire Graph</t>
  </si>
  <si>
    <t>chris,yapi</t>
  </si>
  <si>
    <t>christ,yapi</t>
  </si>
  <si>
    <t>gagné,élections</t>
  </si>
  <si>
    <t>dramane,ouattara</t>
  </si>
  <si>
    <t>laurent,gbagbo</t>
  </si>
  <si>
    <t>gbagbo,gagné</t>
  </si>
  <si>
    <t>Top Word Pairs in Comment in G1</t>
  </si>
  <si>
    <t>alassane,dramane</t>
  </si>
  <si>
    <t>Top Word Pairs in Comment in G2</t>
  </si>
  <si>
    <t>Top Word Pairs in Comment in G3</t>
  </si>
  <si>
    <t>élections,2010</t>
  </si>
  <si>
    <t>Top Word Pairs in Comment in G4</t>
  </si>
  <si>
    <t>candide,83</t>
  </si>
  <si>
    <t>alliance,pdci</t>
  </si>
  <si>
    <t>1er,tour</t>
  </si>
  <si>
    <t>appelé,voter</t>
  </si>
  <si>
    <t>Top Word Pairs in Comment in G5</t>
  </si>
  <si>
    <t>Top Word Pairs in Comment in G6</t>
  </si>
  <si>
    <t>Top Word Pairs in Comment in G7</t>
  </si>
  <si>
    <t>soni,koko</t>
  </si>
  <si>
    <t>salim,yazid</t>
  </si>
  <si>
    <t>david,ouatt</t>
  </si>
  <si>
    <t>Top Word Pairs in Comment in G8</t>
  </si>
  <si>
    <t>Top Word Pairs in Comment in G9</t>
  </si>
  <si>
    <t>Top Word Pairs in Comment in G10</t>
  </si>
  <si>
    <t>Top Word Pairs in Comment</t>
  </si>
  <si>
    <t>candide,83  alliance,pdci  1er,tour  appelé,voter</t>
  </si>
  <si>
    <t>soni,koko  salim,yazid  david,ouatt</t>
  </si>
  <si>
    <t>URLs In Comment by Count</t>
  </si>
  <si>
    <t>URLs In Comment by Salience</t>
  </si>
  <si>
    <t>Domains In Comment by Count</t>
  </si>
  <si>
    <t>Domains In Comment by Salience</t>
  </si>
  <si>
    <t>Hashtags In Comment by Count</t>
  </si>
  <si>
    <t>Hashtags In Comment by Salience</t>
  </si>
  <si>
    <t>Top Words in Comment by Count</t>
  </si>
  <si>
    <t>chris yapi</t>
  </si>
  <si>
    <t>rendez chris yapi</t>
  </si>
  <si>
    <t>courage frère</t>
  </si>
  <si>
    <t>oui chef</t>
  </si>
  <si>
    <t>humm chris yapi</t>
  </si>
  <si>
    <t>journal chris yapi cause paye canal mieux souscrire internet 10000f</t>
  </si>
  <si>
    <t>dessin animé enfants</t>
  </si>
  <si>
    <t>aiiii</t>
  </si>
  <si>
    <t>barry viennent burkina tôt guinée conakry</t>
  </si>
  <si>
    <t>sauront jamais vraiment guinéen également barry moussa barké togo</t>
  </si>
  <si>
    <t>wow ivory coast</t>
  </si>
  <si>
    <t>courant ado jamais gagné élections 2010 solange ouedraogo vraiment</t>
  </si>
  <si>
    <t>bonne analyse</t>
  </si>
  <si>
    <t>dieu donne bonne compréhension</t>
  </si>
  <si>
    <t>vraiment chris yapi informations</t>
  </si>
  <si>
    <t>nuit dieu bonne garde veille dur côte ivoire frères sœurs</t>
  </si>
  <si>
    <t>hetre humain mechant damana fiole trenne abidjan entention please</t>
  </si>
  <si>
    <t>prado bout tunnel chute totalement longue vie vivra verra</t>
  </si>
  <si>
    <t>choses viendront fur mesure chose naîtra</t>
  </si>
  <si>
    <t>thomas sankara peulh</t>
  </si>
  <si>
    <t>aller dormir</t>
  </si>
  <si>
    <t>infiniment chris yapi</t>
  </si>
  <si>
    <t>kil face attention</t>
  </si>
  <si>
    <t>frère damana pikasse</t>
  </si>
  <si>
    <t>voit passe pays sage discours compatriotes gardes méfiez fiole homme</t>
  </si>
  <si>
    <t>damana pickass</t>
  </si>
  <si>
    <t>combattant précision importante dieu protège</t>
  </si>
  <si>
    <t>pikass gbagbo gagné véritablement élections 2010 reconduit fonctions damana véridique</t>
  </si>
  <si>
    <t>laisses faim tardes poster vidéos</t>
  </si>
  <si>
    <t>you chris and the will us yes wait see future</t>
  </si>
  <si>
    <t>choses pays christ yapi</t>
  </si>
  <si>
    <t>chris yapi chef fan</t>
  </si>
  <si>
    <t>chris viens information jour</t>
  </si>
  <si>
    <t>ami yapi hooo grace ns avançons dieu bénisse</t>
  </si>
  <si>
    <t>oui madame sensation peur dramane capable</t>
  </si>
  <si>
    <t>dira pessimiste peur parents viennent rentrer recommande extrême prudence faut</t>
  </si>
  <si>
    <t>liberté expression occident permit vieux démons afrique mr dramane affamés</t>
  </si>
  <si>
    <t>jour ivoiriens ecrira propre histoire reelement passe 1999</t>
  </si>
  <si>
    <t>lutte continue honorable chris yapi</t>
  </si>
  <si>
    <t>pdci ouattara voix gbagbo fpi candide 83 question vomit gagner</t>
  </si>
  <si>
    <t>osons pardon réconciliation sincères faisons sortir avenir oubliant sombre récent</t>
  </si>
  <si>
    <t>adn nord mossi sénégalais guineens</t>
  </si>
  <si>
    <t>we are waitting and watching sun will rise one day</t>
  </si>
  <si>
    <t>chrissoooo vraiment grosse erreur</t>
  </si>
  <si>
    <t>cy pardon laisse pikasse coin faut prendre mal</t>
  </si>
  <si>
    <t>vérité éclatera jour spectaculaire attendons voir chrisso</t>
  </si>
  <si>
    <t>damana pikass vrai opposant poltrons lâches traitres affi nguessan marcel</t>
  </si>
  <si>
    <t>pareils sœur</t>
  </si>
  <si>
    <t>bonjour abonnés chris yapi camerounaise loupe publication chis</t>
  </si>
  <si>
    <t>dieu protéger oooooh</t>
  </si>
  <si>
    <t>humm dieu fidèle chose temps</t>
  </si>
  <si>
    <t>félicitations mr mme christ yapi</t>
  </si>
  <si>
    <t>gbagbo mandat 2002</t>
  </si>
  <si>
    <t>gbagbo faire discours politiciens tempt pays etait mal dirigee chris</t>
  </si>
  <si>
    <t>huuuuummmm revenu invectives exilés wait and see dixit chris yapi</t>
  </si>
  <si>
    <t>chris yapi tomber régime</t>
  </si>
  <si>
    <t>ivoirien apparition réseaux sociaux vérité</t>
  </si>
  <si>
    <t>humm pardon livrez damana pikass fiole ooh</t>
  </si>
  <si>
    <t>vraiment chris yapi</t>
  </si>
  <si>
    <t>monsieur arrêté puissant protège chris yapi infiniment</t>
  </si>
  <si>
    <t>ivoiriens lâcher prise coaliser dégager ouattara cie</t>
  </si>
  <si>
    <t>Top Words in Comment by Salience</t>
  </si>
  <si>
    <t>faut jamais faire affaires traîtres vrai bonnes choses mettent temps</t>
  </si>
  <si>
    <t>miroir richement bénis vérité côté ivoire somme prudent seigneur dieu</t>
  </si>
  <si>
    <t>élections rentrera reprendre place ado france onu savent damanan pickass</t>
  </si>
  <si>
    <t>justement disais hier attendons rentre pays savons vrai voulez arrivée</t>
  </si>
  <si>
    <t>pdci vomit gagner alliance appelé voter fpi gbagbo question rdr</t>
  </si>
  <si>
    <t>vomi cnt déjà refais calcul 100 réellement suivi second preuve</t>
  </si>
  <si>
    <t>connais famille attends donnez origines plaît christ yapi donner identité</t>
  </si>
  <si>
    <t>Top Word Pairs in Comment by Count</t>
  </si>
  <si>
    <t>chris,yapi  yapi,chris</t>
  </si>
  <si>
    <t>rendez,chris  chris,yapi</t>
  </si>
  <si>
    <t>courage,frère</t>
  </si>
  <si>
    <t>oui,chef</t>
  </si>
  <si>
    <t>humm,chris  chris,yapi</t>
  </si>
  <si>
    <t>journal,chris  chris,yapi  yapi,cause  cause,paye  paye,canal  canal,mieux  mieux,souscrire  souscrire,internet  internet,10000f</t>
  </si>
  <si>
    <t>dessin,animé  animé,enfants</t>
  </si>
  <si>
    <t>barry,viennent  viennent,burkina  burkina,tôt  tôt,guinée  guinée,conakry</t>
  </si>
  <si>
    <t>sauront,jamais  vraiment,guinéen  guinéen,également  également,barry  barry,moussa  moussa,barké  barké,togo</t>
  </si>
  <si>
    <t>peulh,typiquement  typiquement,diallo  diallo,diakité  diakité,sidibé  sidibé,sangare  sangare,peulh  peulh,fouta  fouta,toro  barry,guinée  guinée,descendants</t>
  </si>
  <si>
    <t>wow,ivory  ivory,coast</t>
  </si>
  <si>
    <t>courant,ado  ado,jamais  jamais,gagné  gagné,élections  élections,2010  solange,ouedraogo  ouedraogo,vraiment</t>
  </si>
  <si>
    <t>bonne,analyse</t>
  </si>
  <si>
    <t>dieu,donne  donne,bonne  bonne,compréhension</t>
  </si>
  <si>
    <t>vraiment,chris  chris,yapi  yapi,informations</t>
  </si>
  <si>
    <t>bonne,nuit  dieu,garde  garde,veille  veille,dur  dur,côte  côte,ivoire  ivoire,bonne  nuit,frères  frères,sœurs  sœurs,épris</t>
  </si>
  <si>
    <t>hetre,humain  humain,mechant  mechant,damana  damana,fiole  fiole,trenne  trenne,abidjan  abidjan,entention  entention,please</t>
  </si>
  <si>
    <t>prado,bout  bout,tunnel  tunnel,chute  chute,totalement  totalement,longue  longue,vie  vie,vivra  vivra,verra</t>
  </si>
  <si>
    <t>choses,viendront  viendront,fur  fur,mesure  mesure,chose  chose,naîtra</t>
  </si>
  <si>
    <t>thomas,sankara  sankara,peulh</t>
  </si>
  <si>
    <t>aller,dormir</t>
  </si>
  <si>
    <t>infiniment,chris  chris,yapi</t>
  </si>
  <si>
    <t>kil,face  face,attention</t>
  </si>
  <si>
    <t>frère,damana  damana,pikasse</t>
  </si>
  <si>
    <t>voit,passe  passe,pays  pays,sage  sage,discours  discours,compatriotes  compatriotes,gardes  gardes,méfiez  méfiez,fiole  fiole,homme  homme,averti</t>
  </si>
  <si>
    <t>damana,pickass</t>
  </si>
  <si>
    <t>combattant,précision  précision,importante  importante,dieu  dieu,protège</t>
  </si>
  <si>
    <t>gbagbo,gagné  gagné,véritablement  véritablement,élections  élections,2010  2010,reconduit  reconduit,fonctions  fonctions,pikass  pikass,damana  damana,véridique  véridique,dieu</t>
  </si>
  <si>
    <t>laisses,faim  tardes,poster  poster,vidéos</t>
  </si>
  <si>
    <t>yes,chris  chris,wait  wait,and  and,see  see,the  the,future  future,will  will,tell  tell,us  us,more</t>
  </si>
  <si>
    <t>choses,pays  pays,christ  christ,yapi</t>
  </si>
  <si>
    <t>chris,yapi  yapi,chef  chef,fan</t>
  </si>
  <si>
    <t>chris,viens  viens,information  information,jour</t>
  </si>
  <si>
    <t>ami,yapi  yapi,hooo  hooo,grace  grace,ns  ns,avançons  avançons,dieu  dieu,bénisse</t>
  </si>
  <si>
    <t>oui,madame  madame,sensation  sensation,peur  peur,dramane  dramane,capable</t>
  </si>
  <si>
    <t>dira,pessimiste  pessimiste,peur  peur,parents  parents,viennent  viennent,rentrer  rentrer,recommande  recommande,extrême  extrême,prudence  prudence,faut  faut,faire</t>
  </si>
  <si>
    <t>liberté,expression  expression,occident  occident,permit  permit,vieux  vieux,démons  démons,afrique  afrique,mr  mr,dramane  dramane,affamés  affamés,sachent</t>
  </si>
  <si>
    <t>jour,ivoiriens  ivoiriens,ecrira  ecrira,propre  propre,histoire  histoire,reelement  reelement,passe  passe,1999</t>
  </si>
  <si>
    <t>lutte,continue  continue,honorable  honorable,chris  chris,yapi</t>
  </si>
  <si>
    <t>candide,83  alliance,pdci  1er,tour  appelé,voter  question,gors  gors,cmt  cmt,pouvez  pouvez,pensez  pensez,fpi  fpi,2010</t>
  </si>
  <si>
    <t>cnt,déjà  déjà,refais  refais,calcul  calcul,100  100,tour  tour,réellement  réellement,suivi  suivi,élections  élections,second  second,tour</t>
  </si>
  <si>
    <t>osons,pardon  pardon,réconciliation  réconciliation,sincères  sincères,faisons  faisons,sortir  sortir,avenir  avenir,oubliant  oubliant,sombre  sombre,récent  récent,dieu</t>
  </si>
  <si>
    <t>adn,nord  nord,mossi  mossi,sénégalais  sénégalais,guineens</t>
  </si>
  <si>
    <t>we,are  are,waitting  waitting,and  and,watching  watching,sun  sun,will  will,rise  rise,one  one,day  day,thank</t>
  </si>
  <si>
    <t>vraiment,grosse  grosse,erreur</t>
  </si>
  <si>
    <t>cy,pardon  pardon,laisse  laisse,pikasse  pikasse,coin  coin,faut  faut,prendre  prendre,mal</t>
  </si>
  <si>
    <t>vérité,éclatera  éclatera,jour  jour,spectaculaire  spectaculaire,attendons  attendons,voir  voir,chrisso</t>
  </si>
  <si>
    <t>damana,pikass  pikass,vrai  vrai,opposant  opposant,poltrons  poltrons,lâches  lâches,traitres  traitres,affi  affi,nguessan  nguessan,marcel  marcel,amon</t>
  </si>
  <si>
    <t>pareils,sœur</t>
  </si>
  <si>
    <t>bonjour,abonnés  abonnés,chris  chris,yapi  yapi,camerounaise  camerounaise,loupe  loupe,publication  publication,chis</t>
  </si>
  <si>
    <t>dieu,protéger  protéger,oooooh</t>
  </si>
  <si>
    <t>humm,dieu  dieu,fidèle  fidèle,chose  chose,temps</t>
  </si>
  <si>
    <t>félicitations,mr  mr,mme  mme,christ  christ,yapi</t>
  </si>
  <si>
    <t>gbagbo,mandat  mandat,2002</t>
  </si>
  <si>
    <t>discours,politiciens  politiciens,tempt  tempt,gbagbo  gbagbo,pays  pays,etait  etait,mal  mal,dirigee  dirigee,chris  chris,yapi  yapi,devez</t>
  </si>
  <si>
    <t>huuuuummmm,revenu  revenu,invectives  invectives,exilés  exilés,wait  wait,and  and,see  see,dixit  dixit,chris  chris,yapi  yapi,dieu</t>
  </si>
  <si>
    <t>sages,observent  observent,savent  savent,politique  politique,amis  amis,intérêts  intérêts,protéger  protéger,electricité  electricité,appartement  appartement,sûr  sûr,lieu</t>
  </si>
  <si>
    <t>chris,yapi  yapi,tomber  tomber,régime</t>
  </si>
  <si>
    <t>ivoirien,apparition  apparition,réseaux  réseaux,sociaux  sociaux,vérité</t>
  </si>
  <si>
    <t>humm,pardon  pardon,livrez  livrez,damana  damana,pikass  pikass,fiole  fiole,ooh</t>
  </si>
  <si>
    <t>vraiment,chris  chris,yapi</t>
  </si>
  <si>
    <t>monsieur,arrêté  arrêté,puissant  puissant,protège  protège,chris  chris,yapi  yapi,infiniment</t>
  </si>
  <si>
    <t>ivoiriens,lâcher  lâcher,prise  prise,coaliser  coaliser,dégager  dégager,ouattara  ouattara,cie</t>
  </si>
  <si>
    <t>Top Word Pairs in Comment by Salience</t>
  </si>
  <si>
    <t>yapi,richement  richement,bénis  bénis,miroir  miroir,vérité  vérité,miroir  miroir,côté  côté,ivoire  ivoire,somme  somme,fière  fière,mr</t>
  </si>
  <si>
    <t>alliance,pdci  appelé,voter  1er,tour  question,gors  gors,cmt  cmt,pouvez  pouvez,pensez  pensez,fpi  fpi,2010  2010,vomit</t>
  </si>
  <si>
    <t>Count of Published At</t>
  </si>
  <si>
    <t>Row Labels</t>
  </si>
  <si>
    <t>Grand Total</t>
  </si>
  <si>
    <t>2021</t>
  </si>
  <si>
    <t>May</t>
  </si>
  <si>
    <t>6-May</t>
  </si>
  <si>
    <t>7-May</t>
  </si>
  <si>
    <t>8-May</t>
  </si>
  <si>
    <t>10-May</t>
  </si>
  <si>
    <t>Red</t>
  </si>
  <si>
    <t>G11: gbagbo faire mandat</t>
  </si>
  <si>
    <t>G12: yapi</t>
  </si>
  <si>
    <t>G14: face</t>
  </si>
  <si>
    <t>G17: gagné élections 2010</t>
  </si>
  <si>
    <t>GraphSource░YouTubeUser▓GraphTerm░NodeXL▓ImportDescription░The graph represents the network of YouTube videos whose title, keywords, description, categories, or author's username contain "NodeXL".  The network was obtained from YouTube on Wednesday, 12 May 2021 at 12:41 UTC.
The network was limited to 100 videos.
There is an edge for each user who comented an a video.  There is an edge for each user who replied to a comment.▓ImportSuggestedTitle░YouTube Users NodeXL▓ImportSuggestedFileNameNoExtension░2021-05-12 12-41-22 NodeXL YouTube Users NodeXL▓GroupingDescription░The graph's vertices were grouped by cluster using the Clauset-Newman-Moore cluster algorithm.▓LayoutAlgorithm░The graph was laid out using the Harel-Koren Fast Multiscale layout algorithm.▓GraphDirectedness░The graph is directed.</t>
  </si>
  <si>
    <t xml:space="preserve">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&lt;value&gt;CalculateSentiment░True▓TextColumnIsOnEdgeWorksheet░True▓TextColumnName░Comment▓CountByGroup░True▓SkipSingleTerms░True▓WordsToSkip░0 1 2 3 4 5 6 7 8 9 a á à â â å ä ã abord absolument afin ah ai aie aient aies ailleurs ainsi ait allaient allo allô allons alors amp anterieur anterieure anterieures apres après as assez attendu au aucun aucune aucuns aujourd aujourd'hui aupres auquel aura aurai auraient aurais aurait auras aurez auriez aurions aurons auront aussi autre autrefois autrement autres autrui aux auxquelles auxquels avaient avais avait avant avec avez aviez avions avoir avons ayant ayez ayons b bah bas basee bat beau beaucoup bien bigre bon boum bravo br c ça car cc ce ceci cela celà celle celle-ci celle-là celles celles-ci celles-là celui celui-ci celui-là cent cependant certain certaine certaines certains certes ces cet cette ceux ceux-ci ceux-là chacun chacune chaque cher chère chères chers chez chiche chut ci cinq cinquantaine cinquante cinquantième cinquième clac clic com combien comme comment comparable comparables compris concernant contre couic crac d ð da  dans de debout début dedans dehors deja delà depuis dernier derniere derriere derrière des dès desormais désormais desquelles desquels dessous dessus deux deuxième deuxièmement devant devers devra devrait different différent différente differentes différentes differents différents dire directe directement dit dite dits divers diverse diverses dix dix-huit dix-neuf dix-sept dixième doit doivent donc dont dos douze douzième dring droite du duquel durant ðÿ ðÿš e e é é è è effet egale egalement egales eh elle elle-même elles elles-mêmes en encore enfin entre envers environ es ès essai est et étaient étais était etant étant état etc été étée étées étés êtes étiez étions etre être eu eue eues euh eûmes eurent eus eusse eussent eusses eussiez eussions eut eût eûtes eux eux-mêmes exactement excepté extenso exterieur f façon fais faisaient faisant fait faites feront fi flac floc fois font force fûmes furent fus fusse fussent fusses fussiez fussions fut fût fûtes g gens h ha haut hé hein hélas hem hep hi ho holà hop hormis hors hou houp href html http https hue hui huit huitième hum hurrah i ï ici  il ils importe j je jusqu jusque juste k l la la là laisser laquelle las le lequel les les lès lesquelles lesquels leur leurs longtemps lors lorsque lui lui-meme lui-même m ma maint maintenant mais malgre malgré maximale me meme même memes mêmes merci mes mien mienne miennes miens mille mince mine minimale moi moi-meme moi-même moindres moins mon mot moyennant multiple multiples n ñ  na naturel naturelle naturelles ne ne neanmoins néanmoins necessaire necessairement neuf neuvième ni nombreuses nombreux nommés non nos notamment notre nôtre nôtres nous nous-mêmes nouveau nouveaux nul o ó ò ô ö o| oh ohé olé ollé on on ont onze onzième ore ou où ouf ouias oust ouste outre ouvert ouverte ouverts p paf page pages pan par parce parfois parle parlent parler parmi parole parseme partant particulier particulière particulièrement pas passé pendant pense permet personne personnes peu peut peuvent peux pff pfft pfut pièce pif pire plein plouf plupart plus plusieurs plutôt possessif possessifs possible possibles post posts pouah pour pourquoi pourrais pourrait pouvait prealable precisement premier première premièrement pres près probable probante procedant proche psitt pu puis puisque pur pure q qu quand quant quant-à-soi quanta quarante quatorze quatre quatre-vingt quatrième quatrièmement que que quel quelconque quelle quelles quelqu'un quelque quelques quels qui quiconque quinze quoi quoique r rare rarement rares re relative relativement remarquable rend rendre restant reste restent restrictif retour revoici revoilà rien rt s sa sacrebleu sait sans sapristi sauf se sein seize selon semblable semblaient semble semblent sent sept septième sera serai seraient serais serait seras serez seriez serions serons seront ses seul seule seulement si sien sienne siennes siens sinon six sixième soi soi-même soient sois soit soixante sommes son sont sous souvent soyez soyons specifique specifiques speculatif ß stop strictement subtiles suffisant suffisante suffit suis suit suivant suivante suivantes suivants suivre sujet superpose sur sur surtout t ta tac tandis tant tardive te té tel telle tellement telles tels tenant tend tenir tente tes tic tien tienne tiennes tiens toc toi toi-même ton touchant toujours tous tout toute toutefois toutes treize trente tres très trois troisième troisièmement trop tsoin tsouin tu u ú ù ü un un une unes uniformement unique uniques uns url v va vais valeur vas vé vers via via vif vifs vingt vivat vive vives vlan voici voie voient voilà vont vos votre vôtre vôtres vous vous vous-mêmes vu w www x y z zut #39 quot▓SentimentList1Name░List1▓SentimentList2Name░List2▓SentimentList3Name░List3▓SentimentList1FriendlyName░Positive▓SentimentList2FriendlyName░Negative▓SentimentList3FriendlyName░(Add your own word list)▓SentimentWordsInList1░abondance abondant abondante abonde abordable accessible acclamation acclamé accolade accolades accompli accomplir accomplissement accord accroître accueil accueillant accueillir achever actionner adaptable adaptatif adapté adéquat adéquate admirable admirablement admirateur admiratif admiration admire admirer admissible adorable adore adoré adorée adorer adresse adroit affable affaire affectée affection affectueusement affectueux affiné affiner affinité affirmation affirmative affirmer affluence affluent affranchir agile agilité agréable agréablement agrément aidé aider aiguiser aimable aimablement aimant aime aimé aimer aisance alcoolique alliance allié alliée altruiste amant aman</t>
  </si>
  <si>
    <t>te ambitieux ambition amélioration améliorations améliore amélioré améliorée améliorer amende amender amener ami amiable amical amicale amicalement amorcé amour amoureux amovible ample amplement amusant amusante amuse amusement amuser analogue ange angélique animé animée animer apaiser appeler applaudir appréciable apprécie apprécié apprécier approbation approprié approuve approuvé approuver âpre ardemment ardent ardeur aristocrate aristocratique aromatique articulé articuler aspiration aspirations aspire aspirer assainir assez assiduité assouplissement assurance assurances assurant assure assuré assurer atout attachant attentif attentionné attentive attester attirance attirant attirer attractif attraction attractive attrayant attribuer aubaine aube audible augmentation augmenter augure aurore auspices authentique autonome autorisé autoriser autorité available avancé avancée avancement avantage avantages avantageux aventureux avocat avocate award awards balayage balayant battement béatitude beau beauté beautiful belle ben bénédiction bénéfice bénéficiaire bénéfique bénir best bétail better bien bienfaisance bienfaiteur bienheureuse bienheureux bienveillance bienveillant bienveillante bienvenu bienvenue blockbuster bol bôme bon bonbon bonheur bonne bons bonté bonus boom bosser branché brave braver bravoure brillamment brillant brillants briller briquet brise calme calmer capable capacité capital capitale caractériser caractéristiques célébration célébré célèbre célébrer céleste chaleur chaleureuse chaleureusement chaleureux champ champion championne chance chanceux charismatique charisme charitable charmant charme charmer chaste chaud chaude chaudement chauffer chauffeur chéri chérie chevaleresque chevalerie chevronné chic chouchou chouette ciel cime civilité clair claire clairement clairvoyance clarifier clarté classe classic classique clean clear coffre cohérence cohérent cohérente cohésion coloré combattant commander comme commode commodité compact compacte compatible compétences compétitif complément complémentaire compléments complet complétée compléter compliment compliments compréhensible comprendre comprimer conciliant conciliante concilier concis concise conduire conduit confiance confiant confidence confident confier confirmé conforme confort confortable confortablement conquérir consciencieux conseils considérer consistent consolation consoler consommé consommer constant constructif constructive content contente contentement continuité contribution convaincant convaincante convaincre convenable convivialité cool coopératif coopérative copieux copine cordial cordiale correct correctement corriger costaud coupant courage courageusement courageux courant courante couronner courtiser courtois couvercle créatif création creative créative crédible crédit crème croyant cultivé cure d'élite d'or débiteur débrouillard décence décent décerné décerner décidé décidée décisif décisive défaite défaites défendre défenseur défenseurs définir défricher dégagé dégager délicat délicatesse délicieuse délicieux dépasse dépassement dépasser désintéressé désirable désirant désireux dessus destin destinée détendu déterminé déterminée deviner dévot dévoué dièse digne dignité diligence diplomatique direct dirigeants diriger discret disculper disponible disposition distinctif distinction distinctive distingué diversifié diversifiée divertir divertissant divertissement divin divine domine dominé dominer doré douce doucement douceur doué doux droit droite droiture durabilité durable duvet dynamique dynamisme easy éblouissant éblouissante éclairant éclaircir éclairer éclat éclatant économie économies économique écoutez écurie édifiant éduqués efface effective efficace efficacement efficacité effilé élastique élégamment élégance élégant élever élite éloquence éloquent éloquente embellir embrasser éminence éminent empathie empressement enchanté enchanteur encourage encourageant encouragement encourager endémique endetté endettés endosser énergétique enflammé enflammée engageant engagement enjoué enlèvement énormément enough enrichir enrichissement entériner enthousiasme enthousiaste entrain entraînant entreprenant enviable envier épargnant épargne épicé épris éprouvé éprouvée équilibre équilibré équipement équitable équitablement équivalent érudit érudite estime estimer étable éternel éthique étonnamment étonnant étonné étonnement étonner évocateur évocatrice exact exaltation exalté exalter excéder excelle excellence excellent excellente exceptionnel excitant excitation excite excité exciter exemplaire exemple exhaustif exigeant experte exquis extase extraordinaire extraordinairement extrêmement exubérant exubérante fabuleux facile facilement facilite facilité faciliter fair faisable fameux fanfare fans fantastique farouche fascinant fascination fast faste faveur favorable favori favorisé favoriser favorite feat fécond félicitations félicité féliciter ferme fermement fertile fervent ferveur festive fête fêter feu fiabilité fiable fidèle fidèlement fidélité fier fierté fin fine finement finesse flatter flatteur fleur fleurir flexibilité flexible floraison florissant flottant flottante foi foire fonctionne fonctionner fond formidable forte fortuit fortuite fortune fougueux fraîche frais franchise frappant frappante fraternel free freedom friandise frisson frissons frite fructueuse fructueux fulgurant fun futuriste gagnant gagnants gagne gagné gagner gai gaiement gaieté gain gains galant galanterie Gallant garant garantie garantir gem gemme gemmes généreuse généreusement généreux générosité génie genre gentil gentille gentillesse gentiment glamour Glee gloire glorieux glorifier gold golden good gourmandise goût goûts grace grâce grâces gracieuse gracieusement gracieux grand grande grandeur grandiose gratification gratitude gratuit gratuitement great grêle groupe guérir guérison guidé guider habile habilement habileté happy harde hardi Hardy harmonie harmonieusement harmonieux harmoniser haut hein héroïne héroïqu</t>
  </si>
  <si>
    <t>e héroïquement héros heureuse heureusement heureux hommage honnête honnêteté honneur honorable honorant honoré honorer hospitalier hot humain humaine humilité humoristique humour idéal idéalement idol idole idyllique illimité illumination illustre imagé imaginatif imbattable immaculé immaculée immédiatement immense impartial impartiale impartialité impeccable impérieux importance important importante impressionnant impressionnante impressionne impressionné impressionner incontestable incontestablement incontesté indigène indiscutable individualisé indolore indubitablement indulgence indulgent inébranlable inégalée inestimable infaillible influence influent influente informer informés ingénieuse ingénieux ingéniosité innovante innovation inoffensif inoffensifs inoffensive inoubliable inoxydable inspirant inspiration inspire inspiré inspirer instructif instruit instrumental intacts intégral intégrale intégrante intégré intègre intelligence intelligent intelligente intelligible intéressant intérêts intime intimité intrépide intrigant intrigante intuitif intuitive inventif inventive invincible invite invulnérable irremplaçable irréprochable irrésistible jeûne jeûner jeunesse joie joli jolie joliment Jolly joueur jouir jouissance jouissant jovial joyau joyeuse joyeusement joyeux judicieusement judicieux juste justement justice justiciables juvénile l'amélioration l'assurance l'équité l'inspiration l'unité laisse large largement lead led légal légalement légendaire légitime libération libéré libérer liberté libertés libre librement licite like lisible lissage lisse lisser logique louable louange louer love lover loyal loyauté lucide lucky lucratif lucrative ludique luisant lumières lumineux lustre luxe luxueux luxuriante lyrique magic magie magique magnificence magnifique magnifiquement maintenir maître maîtres maîtrise majesté majestueux maniable marché marcher marque martinet Marvel massif master masters mature maturité médaille meilleur mélodieux mémorable ménager mener merci méritant méritants mérite mériter méritoire merveille merveilles merveilleusement merveilleux méticuleuse méticuleusement mieux mignon mignonne mince mine minutieusement miracle miracles miraculeuse miraculeusement miraculeux miséricorde miséricordieux modern moderne modeste modestie molle moralité mordu motivé motivée motiver motivés mousseux mouvementé mûr mûre mûrir naître nanti nappe naturel navigable négocier net nette nettoyant nettoyer nettoyeur noble notable notamment nourrir nourriture nouveau nouveauté nouveaux nouvel nouvelle nouvelles novateur oasis obsession obsessions obtenus odorant œuvre offre offrir oh opportun optimal optimale optimisme optimiste or ordonnance ordonné ordonnée organisateur orientation originalité oser ouah ouvertement ouverture ovation pacifique pacifiquement paisible paix palatial panoramique paradis parcimonie pardon pareil parfaire parfait parfaitement parfumé parfumer passion Passion passionnant passionné passionnément patiemment patience patient patiente patients patriote patriotique peace pêche pêcher peluche penchant pencher percée percées perche perfect perfection perfectionnement perfectionner permanent permettre permis persévérance persévérer personnage personnages personnalisé personnaliser perspicace perspicacité phénoménal pic piété pile piquant piste pittoresque plaider plaire plaisant plaisir plaît pleine plomb poétique poignant poindre pointu poli polie politesse polyvalent populaire popular portable portatif porteur portion positif positifs positive positivement positives possible pousser pratique précieux précis précise précisément préconisé préconiser prédilection prédire prééminent préférable préférant préféré préfère préférence préférer premier Premier préparer présage pressing prestige prestigieux prêt prête preux prévenant prévoyance prime primordial primordiale principal privilège privilégié privilégier prix pro probant prodige prodigieux prodiguer productif productive proéminence proéminent profit profiter profond profonde profondément profusion progrès progresser progressif progression progressiste progressive prolifique promesse promet prometteur prometteurs promettre promis promise promises promoteur promouvoir prompt prôner propice propre proprement propreté pros prospère prospérer prospérité protagoniste protecteur protection protéger protubérance prouesse prouesses prouvant prouve prouver providence prudence puissamment puissant puits pur pure purifier qualifié qualifier qualifiés rachat racheter rachis radioactif raffiné raffinement rafraîchir rafraîchissant raisonnable raisonnablement raisonner rajeunir rangé ranger rapide rapidement rapport rapprochement rassurant rassurante rassurer rationaliser rationnel rationnelle ravi ravir ravis rayonnante rayonnement ready réaffirmer réalisable réalisation réalisations réaliser réaliste réceptif recevoir réchauffer recommandation recommandations recommandé recommander récompense récompenser récompenses réconciliation réconcilier réconfort réconforter reconnaissant reconnu recours recouvrer rectification rectifier récupérer rédemption redresser réfléchi réflexe réforme réformé réformée réformer réformes regard réglable régulier réjouir réjouissances relancer relève relief remarquable remarquablement remboursé rembourser remède remédier remercier rémission renaissance renforcement renforcer renom renommé renommée renouveau renouvelé renseignements répit répondre repos réputation rescapé rescapée résistant résolu résolue résolument respect respectable respecter respectueux ressource restauré restaurer restructuration restructure restructuré restructurer rétablissement retentissant retentissement rétractable réussi réussir réussissant révélation Revere révérence revitaliser revival révolutionnaire révolutionné révolutionner riche richement riches richesse right robuste romantique rose rosé royal s'approprier s'efforçant s'épanouir s'imaginer sacré sagacité sage sagement sagesse saillant sain saine saint sainte salu</t>
  </si>
  <si>
    <t>er salut satisfaire satisfaisant satisfaisante satisfait satisfaite sauf sauveur savant savourer savoureux scénique secours sécurité séduisant séduisante sélectif sensation sensationnel sensations sensé sensible sensiblement sensitive sentimental serein sérénité sérieusement serré serrer serviable sexy significatif significative silencieux simple simplifie simplifié simplifiée simplifier sincère sincèrement sincérité smart smooth sociable soft soigné soigneusement solid solidarité solide solidement solidité solvabilité sommet somptueusement somptueux sonde sophistiqué soudain souhaitable soulagement soulager souple souplesse source souriant sourire sourires soutenir soutenu soutien soutient spacieux spectaculaire spirituel spirituelle splendeur splendide spontané spontanée sportif stabilisation stabiliser stabilité stable stellaire stimulant stimulante stimulants stimule stimuler stupéfaction stupéfiant stylisé suave sublime substantiel substantif subvention subventionné subventionner succède succéder succès sucré sucreries suffire suffisamment suffisante suffit superbe superbement supérieur supérieure supériorité support supports suprématie suprême sûr surpasser surréaliste survie survival survivant survivante sweet Swift sympa sympathie sympathique taire talent talents talentueux tenace ténacité tender tendrement tenir tentant théologien tolérable tolérance tonus top toujours toupie traction traitement traiter tranchant tranquille tranquillement tranquillité transcender transe transparent transparente travail travaillé travailler triomphal triomphale triomphalement triomphant triomphe triompher trompette trompettiste trophée trouée troupeau Trump trust tuyau uniformément unité utile utilisable vaillamment vaillance vaillant vaincre vaincu vainqueur valeur veine velours vénérer ventilateur véracité véridique vérifiable véritable versatile vertu vertueux veuillez viable vibrante victoire victorieux vif vigilance vigilant vigilants vigile visionnaire vite vivace vive vivement vœu volontaire volontiers welcome well won work works zénith zeste▓SentimentWordsInList2░abandon abandonne abandonné abandonner abattage abattre abattu abattus aberrant abîme abîmé abolir abominable abondant abonde abrupt abruptement absence absent abstraction absurde absurdité abus abuse abusé abuser abusif abusive abyssale accablant accablé accalmie accélérateur accentuation accès accessible accident accidenté accidentée accidentel accidentelle accidents acclamé accolades accomplir accord accro accroché accrocher accueil accueillir accumuler accusant accusation accusations accuse accuser acharnement actionner adaptatif adéquat adjacent admettre admirable admirateur admiration admirer adorable adoré adorer adoucir adroit adversaire adverse affaibli affaiblir affaiblissant affaiblissement affaire affaissement affecté affection affectueux affiner affirmation affirmer affligé affluent affreuse affreux affront affrontement affronter agaçant agace agacé aggravant aggravation aggraver agile agitation agité agonie agonisant agréable agrément agresser agresseur agression agressivité aider aigre aimable aimant aimé aisance alarmant alarme alésage aliénation aliéné allégation allégations allergie allergies allergique alliance alliée altercation altérée altérer amant amasser ambigu ambiguïté ambitieux ambivalence ambivalent amélioration améliore améliorée amende amener amer amèrement amertume amiable amicale amorcé amortir amortissement amortisseur amoureux ample ampoule amusant amuse amuser analphabète analphabètes anarchie anarchisme anarchiste anéantir ange angoissante angoisse angoisses anguleux animé animer animosité annulation annuler anodin anomalie anormal anormale antagonisme antagoniste antipathie antre anxiété anxieux apocalypse apocalyptique appât appauvri appeler appréciable apprécié appréhension approbation approuve approuver approximatif aptitude aquarium arbitraire archaïque ardemment ardeur ardu ardue aristocratique armé arnaque arracher arrestation arrêt arrêter arrière arrogance arrogant arrogante articulé artificiel aspiration aspire assainir assassin assassinat assassiné assassiner assaut asséché assertion asservir assiduité assidûment assiégé assiéger assignation assigner assouvir assujetti assurance assurant assuré astuce atone atout atroce atrocités atrophie attack attaque attaquer attaques attardé atteinte attentif attention attentive atterrissage attirance attirer attraction attraper attrayant aubaine audacieux audible augmenter aurore austère authentique autocratique automne autorisé autoritaire autorité avalanche avancé avancement avantages avarice aventureux averse aversion averti avertir avertissement aveugle avocate avorté avorter avouer awards ax bad baise baisse baisser balancer balayant balle ballon banal banc bandit banni bannir bannissement barbare barricade bas bâtard bâtards battage battu battues bavarder béatitude beauté bêche bégaiement béguin belle belliqueux bénédiction bénéficiaire bénir berner bétail bête bêtement bêtise biaisé biaisée bien bienfaiteur bienheureux bienveillant bienvenu bile bizarre bizarrement bizarrerie blabla blablabla blague blah blâme blâmer blasphème blé blesse blessé blesser blessure blessures bleu blind blocage blockbuster bloquer bœuf bogue bogues boiteux bombarde bombardement bombardements bombarder bombe bôme bonbon bondage bonne bonté boom bordel bore borné bornée bosse bosses bouché boucher bouchère bouchon boucle boucler boudé boue boueux bouffon bouillant bouillir bouleversant bouleverse bouleversé bouleversement bouleverser bourde bourré bourru bousculade bout bouteille boycott boycotter branché braver bravo break breaks brèche brillamment brillants briquet brisant brisé briser brouillage brouillard brouille brouiller brouillon broyer bruit bruits brûlant brûlé brûler brûlure brûlures brume brumes brumeux brusque brut brutal brutale brutalement brutalité brute bruyamment bruyant bruyante bruyants bug bugs burlesque buste bustes butin buveur cabane cach</t>
  </si>
  <si>
    <t>er cachette cachot cadavre caduc calamité calamités cale caler calibre calme calomnie calvaire camper canaille cancan cancer cancéreux caniveau cannibale canular capable capital capitulation capituler caprice capricieuse capricieux caractère caractériser caramel carcasse carence caricatural caricature caricaturer carnage carpe cascade cassé casser casserole castré cataclysme catastrophe catastrophes catastrophique catégorique catégoriquement cauchemar cauchemardesque causer caustique cave caverne céder célébration célèbre céleste célibataire censure censurer cérémonie cessé cesser chagrin chaîne chaleureuse chaleureux champion chance chancelante chantage chaos chaotique charge chargé charger charismatique charitable charlatan charme chaste chatte chaude chauffer chavirer cheminée cher chère chéri chevaleresque chevronné chiant chienne chier chimérique choc chômage chômeur chômeurs choquant choquante choqué choquer chouchou chronique chute chutes cicatrice cicatrices ciel cinglant cire citation citerne citron civilité claire clairvoyance claque claquer clarté clash classic clé clean Cliche cliché clique cliquetis cloaque clochard cloud cochon coercitif coercition cœur coffre cohérent cohésion coin coincé coincer cold colère collant collapse collé collet collusion colossal combat combatif combattant combattre combler comédie comique comme commodité commotion compacte compétences compétitives complainte complément compléments complétée complètement complex complication complice complices complicité compliment compliquer complot comploter composer compréhensible comprimer compromettre compulsif con concédé concéder concerné concerner concession concessions conciliante concis condamnable condamnation condamne condamné condamner conduire confesser confession confessions confiance confidence confier confiné confiture conflictuelle conflit conflits confond confondre confondu conforme confortable confrontation confronter confus confuse confuses confusion confusions congélation congelé congelés congestion connerie conneries conquérir cons conseils conservateur conservative considérablement consistent consoler consommer conspirateur conspiration conspirations consternation consterné constructif contagieuse contagieux contaminant contamination contaminer contaminés contenir content contentement contentieux contention contestation contesté contestée contester contracté contradiction contradictoire contradictoires contraindre contraint contrarié contrarier contre contrecarrer contredire contrefaçon contrevenant contribution controverse controversé controversée convaincante convaincantes convenable cool coopératifs coopérative copine corbeille cordiale correctement corrompre corrompu corrosif corrosion corruption corvée costaud couche couchette coude coulé coup coupable coupé coups courage courageux courante courbe courbé coureur courge courroux courtiser couteau coûteuse coûteux couve couvée couver couvercle couvrir crachant crack craindre craintes craquer crash crasse création créative crédit crétin creux crevasse cri crier crime criminel criminelle crise critique critiqué critiquer critiques croquant croyant cru cruauté cruel cruellement culpabilité cupide cupidité cure curieux cuve cynique cynisme d'invasion d'or d'urgence dallage damnation danger dangereuse dangereux dark dé dead death débâcle débandade débattre débauche débile débrouillard décadence décadent décadente décalage décalages décédé décent déception déceptions décerner décès décevant décevante décevoir déchaînement décharger décharges déchéance déchet déchets déchiqueté déchirant déchiré déchirer déchirure déchu décidée décisive déclenchement déclin déclinant décliner découragé décourager décrépitude décrochage décrocher décroissance décroissant décroissante déçu dédain défaillant défait défaites défaut défauts défaveur défavorable défavorisé défavorisés défectueux défenseur défensif defensive défensive défi défiance déficience déficiences déficient défier défilé défiler définir défit déformation déforme déformé déformée déformer défunt défunte dégagé dégât dégâts dégénéré dégénérer dégénérés dégénérescence dégoût dégoûté dégradant dégradants dégradation dégrader déjouer délabré délabrée délai délétère délicat délicieuse délinquance délinquant délirant délire délivrer déloyale déluge Déluge démangeaisons démêler dément demeuré démission démissionné démodé démolir démon démoniaque démuni démunis déni dénigrement dénigrer dénoncer dénonciation dénonciations dénouer dense dent dentelé dépasse dépassée dépasser dépendant dépérissement dépit déplacé déplacer déplaisant déplaisir déplorable déplorer déporter déposer dépouillé dépourvu dépression dépressions déprimé déraisonnable dérange dérangé dérangeant dérangement déranger dérision dérisoire dérogatoire déroutant déroutante dérouter désabusé désaccord désactivé désactiver désagréable désagrément désapprobation désarmer désarroi désastre désastreux descendre descente désemparé déséquilibre déséquilibré désert déserter désertion désertique désespérant désespéré désespérée désespérément désespoir désillusion désintégration désintègre désintégrer désintéressement désintérêt désirable désireux désobéir désobéissance désolation désolé désordonné désordonnée désordre désorganisé despote despotique despotisme destin destituer destroyer destructeur destructif destruction destructive désuet désunion détacher détail détendu détérioration détérioré détériorer déterminée déteste détesté détester détresse détriment détruire dette dettes deuil dévastateur dévastation dévastatrice dévastée dévaster devenir déversant déverser déviant déviation dévier dévorer dévot diable Diable diabolique diagramme diamétralement diatribe Dick dictateur dictatorial die dies dièse diffamation diffamatoire différé différend difficulté difficultés difforme dignité dilemme dim diminuant diminuer diminution din diplomatique dirigeants discipline discontinu discontinue discontinuité discorde discrédit discréditer discret discri</t>
  </si>
  <si>
    <t>mination discriminatoire discriminer discutable discuter disette disgrâce disgracié disparaître disparition disponible disproportionné disproportionnée dispute dissension dissidence dissident dissidente dissidents dissimulé dissimuler dissolue dissolution dissonance dissuade dissuader dissuasif dissuasion distant distinctif distinctive distorsion distraction distraire distrait divergent divergente divers Divers diversifié divertir divertissement divine divisé diviser division dogmatique dominatrice dominé dommage dommages donjon donjons Doom doom Doomsday doré doucement doué douleur douleurs douloureusement douloureux doute douter doutes douteuse douteux drag dragon draguer drain drainé drainer drastique drogue droit droiture drone drones dubitatif duel dump dumping dupe dupé duper dur durable durcir dure durement dureté dynamique dynamité easy éblouissante éboulement ébullition échappatoire échappement échappements échapper échec échecs échoue échoué échouer éclaircir éclat éclatement éclater économie économique écoute écrasant écrasé écrasement écraser écume écurie éduqués effective efficacement effigie effilé effondrement effrayant effrayante effrayé effrayer effréné effroi effroyable égaré égarés égoïsme égoïste élégamment élégant élimination élite éloigner éloquent émanations embarras embarrassé embellir embêter embuscade éminence émoi empathie empêchement empêcher emphatique empiéter empoisonner emprisonnement emprisonner encastrée encens encerclé enchanté enchevêtrement encombrant encombrants encombrement encourage encouragement endémique endettés endommagé endommageant endommager endurance endurer énergétique énergiquement énervé enfantin enfer enflammée enflammer enfreindre engagement engouement enlèvement ennemi ennemis ennui ennuyé ennuyeuse ennuyeux énorme enough enragé enrayer enrichissement entaché entachée entaille enthousiasme entrain entraînement entrave entravé entraver entreprenant envahi envahir envahissant enveloppée envelopper envier épais épargne épave éperdument éphémère épidémie épidémique épineux éponge épouvantable épreuve épreuves épris éprouvée épuisé épuisement épuiser équilibré équitable équivalent équivoque équivoques érosion errant errante erratique errer erreur erreurs erroné erronée erronément error érudite éruption éruptions escarmouche escarpé esclavage esclave esclaves escrocs escroquerie ésotérique espace esquiver estimer étals étau éteindre éteint éternel étonnamment étonné étonner étouffant étouffer étrange étrangement étranger étrangère étrangler étroit étroite évacuation évacuer évanoui évasif évasion événements éviter évocatrice exagération exagérées exagérer exaltation exalter exaspéré excelle excellent excentricité excentrique exceptionnel excès excessive excessivement excitation excité exclu exclusion excuse excuser excuses exemplaire exhaustif exil exile exilé exorbitant expérimentalement experte expire expiré exploitation exploiter exploser explosif explosion explosions explosive exposer expropriation expulser extase extermination exterminer extorquer extraordinairement extravagant extrême extrémiste extrémistes exubérant fabrication fabriquer fabuleux fâché fâcher facilement facilité factice fade faible faiblesse faiblesses faiblir faille failles failli faillite fair fall fallacieux falsifié falsifier fameux famine fanatique fanatiques fanatisme fans fantaisiste fantasque fantoche farce farceur fardeau farfelu farouche fascination fascisme fasciste faste fastidieux fat fatal fatidique fatigue fatigué fatiguée fatiguer fauche fauché faufiler faussaire faussement fausser faute faux favorable favorisé favorite favoritisme fébrile fécond feindre feint feinte félicité fendre fendu ferme féroce férocité ferraille ferreux fertile ferveur fesses fête fétide feu feuilletée fiable fiasco fichu fictif fiction fictive fidèlement fiel fier fièvre fièvres fige filière fin finement fissure fissures flagrant flagrante flair flamme flatter fléau fleur flexibilité flic flirt flirter flocon floraison flottant flou floue flous fluage foi folie folle follement foncé foncer fonctionne fond fondamentalisme fondre forage forcé forcer forfait forgé forgée forte fortifié fortuite fou foudroyé fouet fouets fouetter fougueux foule fourbe foutre foutu fracas fractionnement fracture fracturé fragile fragment fragmenté fraiches frais frappant frapper fraternel fraude frauduleux freedom freiner frêle frénésie frénétique fret frettes fric friction frisson frit frite frivole froid froidement froisser fromage frottement frottis fructueux frustrant frustration frustrations frustré fuck fugace fugitif fuir fuite fuites fumant fumble fume fumée fumées fumer fumier fun funèbre funeste funky fureur furie furieusement furieux furtif fusées futile futilité fuyant gâcher gâchis gadget gaffe gagnant gagne gagner gaiement gain galant Gallant galles gangster garantie gaspillage gaspiller gâté gauche gel gelé geler gem gemmes gênant gênante gêne gêné gêner généreusement générosité génocide genre gentille gentiment ghetto gifle gigantesque gigue gimmick givre glacial glauque Glee glissée glissement glisser glorieux gluant gold gonflé gonflement good gosse gothique gouffre gourmand goût gouttière grace grâces gracieusement graisse grand grandement grandeur graphique grappin gras gratification gratter gratuit grave graveleux gravement graver gravier gravité great greffe greffer greffon grève grief griefs grille grillé grinçant gros grosse grossier grossière grossièrement grossir grotesque grotte groupe guérison guerrier gueule guider habilement habiter hache haché hack haie haine haineux haïr hallucination handicap handicapé handicapés hanté hanter hantise happy harangue harcelé harcèlement harceler harcelés hard hardi harmonie harmonieux hasard hâte hâtivement haut hautain hébergeant héberger hedge hédoniste hégémonie hémorragie herbe hérédité hérésie hérétique héroïne héroïquement hésitant hésitation hétéroclite heureuse heureux heurté heurter hideux histoires hollow homicide honnête h</t>
  </si>
  <si>
    <t>onneur honorant honorer honte honteux horrible horribles horrifique hostile hostilité hostilités hot houlette houleuse hum humaine humbles humide humiliant humiliation humoristique hurler hypocrisie hypocrite hystérique idéal idiot idiots idol idyllique ignorance ignorant ignore ignoré ignorer illégal illégale illégalement illégalité illégitime illettré illicite illisible illumination illusion illusions illusoire imagé imbattable imbécile imitation imiter immaculée immatériel immature immense immeuble imminent imminente immobile immobilisation immobilisé immobiliser immoral immorale impair imparfait imparfaite imparfaitement impartiale impasse impatience impatient impeccable impédance impénétrable impensable imperceptible imperfections impérialiste impersonnel impersonnelle impétueux impitoyable impitoyablement implacable implication impliqué impliquer implorer impopulaire importance importante impose imposer imposition impossibilité impossible imposteur impraticable imprécis imprécise imprécision impressionnante impressionné imprévu improbable impropre impropres improvisé imprudemment imprudence imprudent impuissance impuissant impulsive impunité impur inacceptable inaccessible inachevé inachevée inactif inactive inadapté inadéquat inaperçu inapproprié inappropriée inapte inattendu inattendue incapable incapacité incendiaire incendie incertain incertaine incessant incitation incite incohérence incohérences incohérent incompatibilité incompatible incompétence incompétent incomplet incomplète incompréhensible incompris inconcevable inconditionnelle inconfortable incongru inconnu inconnue inconscient inconstitutionnelle incontestable incontesté incontournable incontrôlable inconvénient inconvénients incorrect incorrecte incorrectement incrédule incriminé inculquer indécis indécise indéfini indésirable indéterminé indéterminée indifférence indifférent indifférente indigents indignation indigne indigné indiscutable indisponible indistinctement indolore indulgence inébranlable inefficace inefficacité inégal inégale inégalité inégalités inéligible inéluctable inéluctablement inestimable inévitable inévitablement inexacte inexactes inexactitudes inexistant inexorablement inexpérience inexpérimenté infâme infecté infection infections inféodée inférieur inférieure infériorité infernal infesté infidèle infidèles infiltrés infirme infirmer infirmes inflammation inflammatoire inflexible infliger influence influencer influente informés infos infraction infractions infructueux ingénieux ingérence inhabituel inhiber inhibition inhumain inhumains inimaginable inimitié inintelligible injure injuste injustement injustice injustices injustifié injustifiée innovante inoccupé inoffensif inoffensive inondation inondé inonder inoxydable inquiet inquiétant inquiéter inquiétude insaisissable insalubres insatiable insatisfaction insatisfait insecte insécurité insensé insensible insignifiant insignifiante insolite insoumis insoutenable inspiration inspiré instabilité instable instigateur instigateurs instructif instrumental insuffisamment insuffisance insuffisant insuffisante insulaire insultant insulte insulté insulter insultes insupportable insurmontable insurrection intacte intégral intégrante intègre intelligent intelligible intempestif intenable intercepter interception interdiction interdire interdisant interdit intérêts interfère interférer intermittent interrompre interrompu interruption interruptions intimider intimité intolérable intolérance intraitable intransigeant intransigeante intrigant intrusion intuitif inutile inutilement inutiles inutilisables invalide invalider invasif invasive inventif invincible invisible involontaire involontairement invraisemblable invulnérable ironie ironique ironiquement Ironiquement irrationnel irrationnelle irréaliste irréfutable irrégularité irréparable irréprochable irrespectueux irresponsable irréversible irritable irritant irritation irrité irruption isolation isolé isolée isolement isoler issue issues ivre ivrogne jalouse jalousement jalousie jaloux jam jaunâtre jeté jeûne jeunesse Joker joker joli joliment joueur jouissance jovial joyeuse joyeux judicieux juguler justement justiciables justifier kill killer kitsch knock krach l'adversité l'amélioration l'anarchisme l'écart l'égoïsme l'ennui l'équité l'érosion l'impunité l'incitation l'instabilité l'intimidation l'intolérance l'unité labeur laborieux lâche laconique lacune lacunes laid laideur lambeaux lame lamentable lamentation lande laps large larguer las lasse lasser latence lead légal légendaire légèrement léguer lent lente lentement lésée lésion létale léthargie leurre liaison libération libérer libertés librement lie lied lies like limace limit limitation limitations limite limité limited limitée limiter limites limitrophe linceul lissage lisser litige livrer logo longue longuement lopin loser lost louable louche louer lourd lourde louve lover loyauté lucky lucrative lugubre luisant lumineux lutte lutté lutter luttes luxe luxuriante mac macabre Mademoiselle mademoiselle magic magique magnifique magot mainmise maintenir maîtres maîtresse majesté mal malade malades maladie maladresse maladroit malaise malaisé malchance malchanceux malédiction malédictions maléfique malencontreusement malentendu malentendus malgré malheur Malheur malheureusement malheureux malhonnête malhonnêteté malice malicieux malsain malveillance malveillant malveillants maniable maniaque manie manifestation manifestations manipulateur manipulation manipulatrice manipuler manque manqué manquements manquer maquillé mar marasme marcher marginal marionnette marionnettes marrant martinet martyre masquer massacre massacrer massacres massif masters mate maturité maudit maudite mauvais mauvaise maux méchanceté méchant méchante méchants mécontent mécontentement mécontents médiocre médiocrité méfait méfaits méfiance méfiant meilleur mélancolie mélancolique mêlé mêler mémorable menaçant menace menacer menaces mendiant mendicité mendier mener mensonge</t>
  </si>
  <si>
    <t xml:space="preserve"> mensonges menteur menteurs mentir méprendre mépris méprisant méprisante méprisé mépriser merde méritant mérite méritoire merveilles merveilleux mésaventure mess messe messes méticuleusement meurt meurtre meurtri meurtrier meurtrière micro microbe mignon milieu militant militante militantisme minable mince miné miner minuscule minutieusement miracles miraculeusement mirage mire misérable misérablement misère miséricorde miss moche modérer modern modeste modique mœurs molle monotone monotonie monstre monstrueux Moody moquer moquerie morbide morceau mordu moribond morne morose mort mortel mortellement mortification morts morue motivée motivés motocross moudre mourant mourir mousse mouvementé mûre musaraigne mutilé mutiler mystère mystérieusement mystérieux mystification mythe naïf nain naine naître naïve naïvement nappe naufrage navigable Nazi néant nécessiteux néfaste négatif négatifs négation négative négligé négligeable négligence négligent négliger népotisme nerveux nervosité net nettement nettoyant nettoyeur névrotique niais nie nier nocif nocives noir noirceur noise nostalgie notable notoire notoirement notoriété nouer noués nourrir nouveau nouveaux nouvelle novateur noyade nuage nuageux nui nuire nuisance nuisible nuisibles nul nulle obèse object objection objections objet oblique obscène obscur obscure obscures obscurité obsédé obsession obsessionnel obsolète obstacle obstiné obstinée obstinément obstruction obtenus obtus odeur odeurs odieux odorat œuvre offense offenser offenses offensif offensive offrir ombragé ombre omettre omission opaque opiniâtre opportun opportuniste oppose opposer opposition oppositions oppression optimale optimiste orageux ordinaire ordonnance ordonnée ordures orientation original orphelin orpheline orthodoxe osciller osé oser ostensiblement otage oubli oublier outrage outrages outrageusement outsider ouvertement ovation pacifiquement paf pagaille païen païens pain pains paix pal pale pâle palissade pan panache panique panne panoramique paquet paradoxal paradoxalement paralysé paralysée paralyser paralysie parano paranoïa paranoïaque parasite parasites parcelle parcimonie pareil paresse paresseux parfait parfum parfumé paria parodie parodier part parterre partialité particulier particulière partiel partisane partisans passage passe passible passif passion passionnant passionnément passive pat pathétique patience patiente patine patriote pause pauvre pauvrement pauvres pauvreté peace péage péché pêcher pédant peine peines péjoratif pelle pénaliser pénalité penalty penchant pend pendaison pendre pénétrant pénible pénurie pépin pépins percée percer perche percuter perd perdant perdants perdre perdu perfection perfectionner perfide péril périlleuse périlleux périphérique périr permettre pernicieuse perplexe persécuter persécution persévérance personnage personnalisé perspicace perte pertes pertinent perturbant perturbateur perturbateurs perturbation perturbé perturber pervers perverse perversion pesant peser pessimisme pessimiste peste petit petitesse pétrifié peu peur peureux phénoménal phobie piégé piège piégeage piéger piété piètre pigeon pillage piller pincée pincer pipe piquant pique piquet piquets piqûre pirater pire pitié pitoyable pittoresque plaie plaignait plaindre plainte plaintes plaire plaisanterie plaise plaisir plancher planer planter plébéien pleine pleurer pli plot poche poêle poétique poignarder poil poindre poing pointilleux poison polarisation polémique poli politesse pollué polluer pollution pompeux populaire porc porcs port portable porté porteur ports poser positif positive positives poupe pourri pourrir pourriture poursuivi poursuivre pousser poussière poussiéreux précaire précieux précipice précipitamment précipité précipitée précipiter précise préconisé précurseur prédateur prédilection prééminent préférant préfère préférer préjudice préjudiciable préjugé préjugés prématuré prématurément prémédité Premier préoccupation préoccupations préoccupé préoccuper préparés présage pressentiment prestige prêt prétendre prétentieux prétention prétexte preux prévoyance primitif primitive primordial principal prison prisonnier privation privé priver privilégié prix probant problem problématique problème problèmes prodigieux productif proéminence profane profit profond profondément profondeur progrès progressif progressiste prohibitif proie prolifique prolongé prolongée promet prometteurs promis promises promouvoir prôner propagande prophète propre propreté propriétaire proscrit prospère prospérité prostituée prostituer protecteur protéger protestant protestation protester prouesse prouvant prouver provisoire provisoirement provocant provocateur provocation provoquent provoquer proxénétisme prudence psychotique puéril puissant pulvériser punaise punir punissable punitive punk Punk pur purée purifier putain pute qualifier quartier queer quelconque quelqu'un querelle querelles question questions queue race rachat rachis racine racisme raciste racistes radical radicale radicalement radicalisation radicaux raffiné rafraîchir rage ragoût raide raideur rail railler railleries raisonnable raisonner râle ralenti ralentir ralentissement râler Rampage rampant rampante ramper rancune rangé râpé rapide rapport rare rares rareté rassurant rassurer raté ratée rater rationnel ravage ravager ravageur ravi ravis rayer rayonnement rayure rayures réactionnaire réaffirmer réalisation réaliser rebelle récalcitrant réceptif récession réchauffer rechute recommandations recommander récompenser réconciliation réconfort reconnaissant reconnaître recours rectification recul reculer récupérer récuser reddition redondance redondant redondante redouter redresser réduire réduit réflexe réformé réformer réfractaire refroidissement refus refusant refuse refusé refusée refuser réfutant réfutation réfute réfutée réfuter regard régresser régression regret regrets regrettable regretté regretter régulier rejet rejetant rejeté rejeter rejette réjouissances relève remarquable remboursé re</t>
  </si>
  <si>
    <t>mède remercier remise remords renaissance renaissant rencontre rendre renforcer renommé renoncer renonciation renouveau renseignements rentable renversement renverser renvoyé renvoyer répandu répartir répercussions répétitif répétitive répondre repoussant repoussé repousser répréhensible représailles répressif répression réprimande réprimer reproche reprocher répudiation répudier répugnance répugnant répulsif réputation requin rescapée réservé réservoir réservoirs résignation résigné résistance résolu résolument résoudre respectable respectueux responsabilité ressentiment restauré reste restreindre restreint restrictif restriction restrictive restructuration restructuré rétablissement retard retardant retardé retarder retards retenir retentissement réticence réticent réticents retirer retombées retomber rétorsion retourner rétracter retraite retraité rétrograder réussi réussissant réveil revenir Revere revers revert revitaliser révolte révolter révolutionnaire révolutionner révoquer rhétorique rhume richement richesse ride rides ridicule ridicules ridiculise ridiculiser rien rift Rift rigide rigidité rigolo rigoureux riposter risque risqué risquer risques rival rivaliser rivalité robuste rocheuse rocheux rompre rompu rongeur rose rot rouille rouler royal rude ruée rugueux ruinant ruine ruiné ruiner ruines rumeur rumeurs Runaway rupture ruptures ruse rusé rut s'accrocher s'adonner s'affronter s'aggraver s'arranger s'arrêter s'écarter s'écraser s'effondrer s'efforçant s'efforcer s'enfoncer s'enfuir s'enfuit s'estomper s'exiler s'imaginer s'inquiéter s'opposer sabot sabotage saboter sac saccage saccagé saccager sacrifié sacrifiée sacrilège sagacité sagement saigne saignée saignement saignements saigner saillant saine sainte sale saleté salir salut sanglant sanglante sanguinaire saoul SAP sape saper sarcasme sarcastique sarrasins Satan satire satirique satisfaisant satisfait sauf sauter sauvage sauvagement sauvagerie sauvages savant savoureux scandale scandales scandaleux scepticisme sceptique scinder scission scratch scrupule sec sécheresse secoué secouer secours secousse secrètes sédentaire séduire séduisant séjourner sélectif sénestre sensationnel sensé sensiblement sensibles sentant sentimental sentir séparé séparer sérénité serf serré servage serviable servile servitude seul sève sévère sévérité sévit siège sifflement sifflements siffler signalisation signes significatif silencieux sillonner simplifie simplifiée simpliste sin sincère sincérité singularité sinistre sinistrée siphon situation slave slaves slow Smash smooth snob snobisme sobre soft soif soigneusement sole solennel solennelle solidarité solidement solitaire solitude solvabilité sombre sombrer sommaire somptueusement sonde sonner sophisme sordide sorry sot sottise souche souches souci soucieux soucis soudain souffert souffler soufflet souffrance souffrant souffre souffrir souillé souillure soulagement souligne souligner soumettre soumis soupçonner soupçons souple sour source sourd sourds sourire sournois soustraire soutenir soutien spacieux spirituel splendeur split spontané sporadique sportif squash squelette squelettes stabiliser stable stagnante stagnation stalles stand Stark starter static statique stéréotype stéréotypé stérile stigmate stigmatisation stimulant stimulants stimuler stopper store stratagème stratégie stress strict strictement strike stupéfiant stupeur stupide stupidité style suaire suave subalterne subalternes subjugué submergé submerger subordonné subordonnée subordonnées subordonnés substantiel subvention subventionner subversif subversion subversive succéder succion succombent succomber sucer sucré sue suffire suffisante suicidaire suicide suicidé suicidée sujétion superbe supercherie superficiel superficielle superficiellement superflu supérieur supériorité superposé superstitieux superstition superviser supplier supports suppression supprimer suprême surabondance surchargé surcharger surpasser surprenant surprenante surrection sursaut surveillance surveiller survie survivant susceptible susciter suspect suspecter suspectes suspicieux suspicion suspicions sweet sympa sympathique symptôme symptômes syndrome tabou tache taches tacheté taciturne tactique talent talentueux tank tanks tapage taquiner tardif tardive taupe taxation tease téméraire tempérament tempérer tempête temps ténacité tendance tendrement tendresse tendu tendue ténèbres tension tentant tentation tentative ténu terne ternie ternir terre terreur terrible terriblement terroriser terrorisme tétras têtu thrash tic tiède timide tirer titanesque tolérable tollé tombé tomber tonus tordre tordu torrent torsion tort torture torturé torturer tortures totalement totalitaire toucher toujours tourment tourmente tourmenté tourmentée tourmenter tourner toxicomane toxicomanes toxique tracas trace tracer traceur traceurs traction tragédie tragique tragiquement trahir trahison trahissant trahit traînant traîne traîné trainée traînée traîner traiter traitre traître traîtrise trame tranquille tranquillité transe transgresser transgression transparente trap trappe trash traumatique traumatisme travaillé travestissement trébuche tremblement trembler trempe trempé tremper triché tricher tricherie tricheur trick trio triomphal triomphalement triomphe triste tristement tristesse trivial triviale trompant tromper tromperie trompette trompeur trompeuse trophée troublant trouble troublé troublée troubler troubles troupeau truand truc truie truqué trust tue tué tuer tueur tumulte tumultueuse tumultueux turbulent turbulente twist type tyran tyrannie tyrannique ultérieur ultimatum undefined uniformément unique urgence urgences urgent usé user usurpateur usurper utile utiliser vacarme vagabond vagabonde vague vaillamment vaillant vain vaincu vaine vainement valeur vanité vanter variateur vase vaseux véhémence velours vengeance venger vengeur venimeux venin vent ventilateur ventouse véridique véritable vernis vert vertu vestige vestiges veuillez vexé vibrante vibration v</t>
  </si>
  <si>
    <t>ice vicieux victime victorieux vidange vide vider vieilli vieux vigilance vigilants vil vilain vile viol violation violé violée violemment violent violer vipère virer virulence virulent virus visiblement visionnaire vit vivace vivement vogue voilé voiles voisin vol volage volatil volatile volatilité vole volé volée voler volontaire volumineux vomir vomissement vomissements voyant voyante voyantes voyou vraiment vulgaire vulnérable vulnérables wedge welcome wild won works wrong zélé zeste zizanie zombie zut▓AddVertexContent░False▓AddWordList░False&lt;/value&gt;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&lt;value&gt;CalculateGraphMetrics, AutoFillWorkbook,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t>
  </si>
  <si>
    <t>yapi chris damana dieu ouattara christ ivoire vérité pays dramane</t>
  </si>
  <si>
    <t>barry peulh guinée jamais mossi burkina keita origine barri</t>
  </si>
  <si>
    <t>gbagbo jamais commencer élections justement faut peur pays dramane gagné</t>
  </si>
  <si>
    <t>gbagbo tour voix élections pdci ouattara question fpi candide 83</t>
  </si>
  <si>
    <t>soni koko salim yazid david ouatt</t>
  </si>
  <si>
    <t>dieu nuit amen bonne</t>
  </si>
  <si>
    <t>côte,ivoire</t>
  </si>
  <si>
    <t>ange,christ</t>
  </si>
  <si>
    <t>damana,pikass</t>
  </si>
  <si>
    <t>barry,mossi</t>
  </si>
  <si>
    <t>chris,yapi  christ,yapi  alassane,dramane  dramane,ouattara  gbagbo,gagné  gagné,élections  côte,ivoire  ange,christ  laurent,gbagbo  damana,pikass</t>
  </si>
  <si>
    <t>bonne,nuit  amen,amen</t>
  </si>
  <si>
    <t>tjrs yapitiquement calé info amoureux vérité</t>
  </si>
  <si>
    <t>barry mossi peuhl</t>
  </si>
  <si>
    <t>barry peulh mr yapi mossi hetnie burkina mali guinée</t>
  </si>
  <si>
    <t>peulh barry keita origine barri typiquement diallo diakité sidibé sangare</t>
  </si>
  <si>
    <t>regarder vidéo chris yapi dormir tranquille</t>
  </si>
  <si>
    <t>monde entier presi laurent gbagbo gagné élections présidentielles 2010 français</t>
  </si>
  <si>
    <t>cy mai souhaite joyeux anniversaire president bedie patriarche ahhh faut</t>
  </si>
  <si>
    <t>jours vraie amitié époque devient calcul intérêts influencer image personnelle</t>
  </si>
  <si>
    <t>vraiment jours amitiés exploitation</t>
  </si>
  <si>
    <t>temps esclavage alassane ouattara vendu complet</t>
  </si>
  <si>
    <t>amen dieu abois</t>
  </si>
  <si>
    <t>koh fiole gauche tuéeeeeee wooooobouuhet jarrets adia regarde assi tabourets</t>
  </si>
  <si>
    <t>recomptage voix proposé président laurent gbagbo dis raison donne chance</t>
  </si>
  <si>
    <t>chris yapi fm actualité rendez</t>
  </si>
  <si>
    <t>assoua adou peureux vrai combattant regretté abou dramane sangaré aime</t>
  </si>
  <si>
    <t>ange christ yapi mr amen miroir fière richement bénis vérité</t>
  </si>
  <si>
    <t>extra terrestre</t>
  </si>
  <si>
    <t>sonnerie entends sais chris yapi</t>
  </si>
  <si>
    <t>gbagbo commencer justement disais hier attendons rentre pays savons vrai</t>
  </si>
  <si>
    <t>salim yazid david ouatt ok excusé répète mise pied attend</t>
  </si>
  <si>
    <t>boss déjà parlé désolé retard heure parceque dormais excuses chris</t>
  </si>
  <si>
    <t>soni koko salim yazid démocratie république dramanienne</t>
  </si>
  <si>
    <t>djaaaaa cy veut enfants côte ivoire</t>
  </si>
  <si>
    <t>christo attendait tard dormi accra pays maternel</t>
  </si>
  <si>
    <t>croyez hypocrisie dramane prêt</t>
  </si>
  <si>
    <t>chris yapi fort ado arrete dpickass preuve prêt réconciliation</t>
  </si>
  <si>
    <t>jamais justement fallait dangereux régime vaut mieux tard vivant espoir</t>
  </si>
  <si>
    <t>alpha barry membre lion club ouagadougou</t>
  </si>
  <si>
    <t>voulez développer pays résoudre problèmes paix réconciliation développement leurre</t>
  </si>
  <si>
    <t>cy vraiment met laurent gbagbo gagné élections envoyé guerre damanan</t>
  </si>
  <si>
    <t>mr christ yapi posso né cote ivoire mossi burkina</t>
  </si>
  <si>
    <t>tour élections vomi cnt déjà refais calcul 100 réellement suivi</t>
  </si>
  <si>
    <t>peulh wallah comprends gbagbo gagné 2010 ouattara feticheur saindoux humilié</t>
  </si>
  <si>
    <t>france pays problème responsable mascarade côte ivoire imposer wattara bagbo</t>
  </si>
  <si>
    <t>burkinabé grand mentor chris yapi alpha barry perd attendre</t>
  </si>
  <si>
    <t>communaute internationale pression bgagbo voit eme joue sourd oreille ca</t>
  </si>
  <si>
    <t>pikass faire arrêter vérité existe bouches cote ivoire</t>
  </si>
  <si>
    <t>propre champion</t>
  </si>
  <si>
    <t>grand frère justice dieu cours explique stp rebelle pouvais aller</t>
  </si>
  <si>
    <t>chris yapi œil divin pouvoir dieu nature histoire observons amén</t>
  </si>
  <si>
    <t>face vidéo certainement fera tour monde vit injustice mr pikas</t>
  </si>
  <si>
    <t>alassane dramane ouattara henri konan bédié élections 2010 part démocratique</t>
  </si>
  <si>
    <t>peuples blancs race afrique terme prêts sacrifier héro assure noirs</t>
  </si>
  <si>
    <t>05 2021 côte ivoire</t>
  </si>
  <si>
    <t>damana adia picas discour chris yapi woody gnakpa</t>
  </si>
  <si>
    <t>confondez voix chris yapi dame</t>
  </si>
  <si>
    <t>afrique chris yapi estime décourage etoile arrives réunir union africaine</t>
  </si>
  <si>
    <t>lieu amis electricité met argent vrais mort sages observent savent</t>
  </si>
  <si>
    <t>chris yapi futur président république côte ivoire resté fidèle peuple</t>
  </si>
  <si>
    <t>cas let wait and see croisons bras</t>
  </si>
  <si>
    <t>couillu venir semaine prend soin cousin damana</t>
  </si>
  <si>
    <t>bonjour famille damana picass entrain faire cas vient arriver frère</t>
  </si>
  <si>
    <t>simplement formidable</t>
  </si>
  <si>
    <t>aller amant pikass</t>
  </si>
  <si>
    <t>damana pikas raison rapport élection présidentielle 2010 camp adverse accepté</t>
  </si>
  <si>
    <t>dignes fils ivoiriens expriment vérité pique nom piquase</t>
  </si>
  <si>
    <t>damana picas maman garçon dieu créateur ciel terre protège bénisse</t>
  </si>
  <si>
    <t>respect demande extra terrestre chris yapi</t>
  </si>
  <si>
    <t>damana picass doucement pouvoir zéro tolérance</t>
  </si>
  <si>
    <t>ivoiriens tourner souffert crise préparons avenir prudent serpent simple colombe</t>
  </si>
  <si>
    <t>laurent gbagbo gagné élections</t>
  </si>
  <si>
    <t>yapi hier dubaï supermarché entendis sonnerie christ abordé dame demandant</t>
  </si>
  <si>
    <t>mr yapi mossi hetnie burkina mali guinée barry peulh</t>
  </si>
  <si>
    <t>barry keita origine barri typiquement diallo diakité sidibé sangare fouta</t>
  </si>
  <si>
    <t>salim yazid démocratie république dramanienne soni koko</t>
  </si>
  <si>
    <t>peuples afrique terme prêts sacrifier héro assure noirs plan caché</t>
  </si>
  <si>
    <t>tjrs,yapitiquement  yapitiquement,calé  calé,tjrs  tjrs,info  info,amoureux  amoureux,vérité</t>
  </si>
  <si>
    <t>barry,mossi  mossi,peuhl</t>
  </si>
  <si>
    <t>mr,yapi  yapi,barry  barry,mossi  mossi,peulh  barry,hetnie  hetnie,peulh  peulh,burkina  burkina,mali  mali,guinée</t>
  </si>
  <si>
    <t>regarder,vidéo  vidéo,chris  chris,yapi  yapi,dormir  dormir,tranquille</t>
  </si>
  <si>
    <t>monde,entier  entier,presi  presi,laurent  laurent,gbagbo  gbagbo,gagné  gagné,élections  élections,présidentielles  présidentielles,2010  2010,français  français,fumistent</t>
  </si>
  <si>
    <t>cy,mai  mai,souhaite  souhaite,joyeux  joyeux,anniversaire  anniversaire,president  president,bedie  bedie,patriarche  patriarche,ahhh  ahhh,faut  faut,rattraper</t>
  </si>
  <si>
    <t>jours,vraie  vraie,amitié  amitié,époque  époque,devient  devient,calcul  calcul,intérêts  intérêts,influencer  influencer,image  image,personnelle</t>
  </si>
  <si>
    <t>vraiment,jours  jours,amitiés  amitiés,exploitation</t>
  </si>
  <si>
    <t>temps,esclavage  esclavage,alassane  alassane,ouattara  ouattara,vendu  vendu,complet</t>
  </si>
  <si>
    <t>amen,amen  amen,dieu  dieu,abois</t>
  </si>
  <si>
    <t>koh,fiole  fiole,gauche  gauche,tuéeeeeee  tuéeeeeee,wooooobouuhet  wooooobouuhet,jarrets  jarrets,adia  adia,regarde  regarde,assi  assi,tabourets  tabourets,prête</t>
  </si>
  <si>
    <t>recomptage,voix  voix,proposé  proposé,président  président,laurent  laurent,gbagbo  gbagbo,dis  dis,raison  raison,donne  donne,chance  chance,trouver</t>
  </si>
  <si>
    <t>faut,jamais  jamais,faire  faire,affaires  affaires,traîtres  traîtres,vrai  bonnes,choses  choses,mettent  mettent,temps</t>
  </si>
  <si>
    <t>chris,yapi  yapi,fm  fm,actualité  actualité,rendez</t>
  </si>
  <si>
    <t>assoua,adou  adou,peureux  peureux,vrai  vrai,combattant  combattant,regretté  regretté,abou  abou,dramane  dramane,sangaré  sangaré,aime  aime,titres</t>
  </si>
  <si>
    <t>ange,christ  christ,yapi  mr,ange  yapi,richement  richement,bénis  bénis,miroir  miroir,vérité  vérité,miroir  miroir,côté  côté,ivoire</t>
  </si>
  <si>
    <t>extra,terrestre</t>
  </si>
  <si>
    <t>sonnerie,entends  entends,sais  sais,chris  chris,yapi</t>
  </si>
  <si>
    <t>rentrera,reprendre  reprendre,place  place,ado  ado,france  france,onu  onu,savent  damanan,pickass  pickass,vérité  vérité,dramane  dramane,ouattara</t>
  </si>
  <si>
    <t>justement,disais  disais,hier  hier,attendons  attendons,gbagbo  gbagbo,rentre  rentre,pays  pays,commencer  savons,vrai  vrai,voulez  voulez,arrivée</t>
  </si>
  <si>
    <t>salim,yazid  david,ouatt  ok,excusé  excusé,répète  répète,mise  mise,pied  pied,attend</t>
  </si>
  <si>
    <t>boss,déjà  déjà,parlé  parlé,désolé  désolé,retard  retard,heure  heure,parceque  parceque,dormais  dormais,excuses  excuses,chris  chris,yapi</t>
  </si>
  <si>
    <t>soni,koko  salim,yazid  koko,démocratie  démocratie,république  république,dramanienne</t>
  </si>
  <si>
    <t>djaaaaa,cy  cy,veut  veut,enfants  enfants,côte  côte,ivoire</t>
  </si>
  <si>
    <t>christo,attendait  attendait,tard  tard,dormi  dormi,accra  accra,pays  pays,maternel</t>
  </si>
  <si>
    <t>croyez,hypocrisie  hypocrisie,dramane  dramane,prêt</t>
  </si>
  <si>
    <t>chris,yapi  yapi,fort  fort,ado  ado,arrete  arrete,dpickass  dpickass,preuve  preuve,prêt  prêt,réconciliation</t>
  </si>
  <si>
    <t>justement,fallait  fallait,dangereux  dangereux,régime  régime,vaut  vaut,mieux  mieux,tard  tard,jamais  jamais,vivant  vivant,espoir  espoir,faut</t>
  </si>
  <si>
    <t>alpha,barry  barry,membre  membre,lion  lion,club  club,ouagadougou</t>
  </si>
  <si>
    <t>voulez,développer  développer,pays  pays,résoudre  résoudre,problèmes  problèmes,paix  paix,réconciliation  réconciliation,développement  développement,leurre</t>
  </si>
  <si>
    <t>vraiment,cy  cy,met  met,laurent  laurent,gbagbo  gbagbo,gagné  gagné,élections  élections,envoyé  envoyé,guerre  guerre,cy  cy,damanan</t>
  </si>
  <si>
    <t>mr,christ  christ,yapi  yapi,posso  posso,né  né,cote  cote,ivoire  ivoire,mossi  mossi,burkina</t>
  </si>
  <si>
    <t>wallah,comprends  comprends,gbagbo  gbagbo,gagné  gagné,2010  2010,ouattara  ouattara,feticheur  feticheur,saindoux  saindoux,humilié  humilié,dieu  dieu,meilleur</t>
  </si>
  <si>
    <t>problème,france  france,responsable  responsable,mascarade  mascarade,côte  côte,ivoire  ivoire,imposer  imposer,wattara  wattara,bagbo  bagbo,gagné  gagné,élections</t>
  </si>
  <si>
    <t>burkinabé,grand  grand,mentor  mentor,chris  chris,yapi  yapi,alpha  alpha,barry  barry,perd  perd,attendre</t>
  </si>
  <si>
    <t>communaute,internationale  internationale,pression  pression,bgagbo  bgagbo,voit  voit,eme  eme,joue  joue,sourd  sourd,oreille  oreille,ca  ca,voudrait</t>
  </si>
  <si>
    <t>pikass,faire  faire,arrêter  arrêter,vérité  vérité,existe  existe,bouches  bouches,cote  cote,ivoire</t>
  </si>
  <si>
    <t>propre,champion</t>
  </si>
  <si>
    <t>grand,frère  frère,justice  justice,dieu  dieu,cours  cours,explique  explique,stp  rebelle,pouvais  pouvais,aller  aller,prisons  prisons,dame</t>
  </si>
  <si>
    <t>chris,yapi  yapi,œil  œil,divin  divin,pouvoir  pouvoir,dieu  dieu,nature  nature,histoire  histoire,observons  observons,amén</t>
  </si>
  <si>
    <t>face,vidéo  vidéo,certainement  certainement,fera  fera,tour  tour,monde  monde,vit  vit,injustice  injustice,mr  mr,pikas  pikas,face</t>
  </si>
  <si>
    <t>alassane,dramane  dramane,ouattara  henri,konan  konan,bédié  doute,esprit  esprit,âme  âme,conscience  conscience,laurent  laurent,gbagbo  gbagbo,gagné</t>
  </si>
  <si>
    <t>assure,peuples  peuples,noirs  noirs,plan  plan,caché  caché,blancs  blancs,destruction  destruction,systématique  systématique,totale  totale,race  race,noire</t>
  </si>
  <si>
    <t>05,05  05,2021  2021,côte  côte,ivoire</t>
  </si>
  <si>
    <t>damana,adia  adia,picas  picas,discour  discour,chris  chris,yapi  woody,gnakpa</t>
  </si>
  <si>
    <t>confondez,voix  voix,chris  chris,yapi  yapi,dame</t>
  </si>
  <si>
    <t>chris,yapi  yapi,estime  estime,décourage  décourage,etoile  etoile,afrique  afrique,arrives  arrives,réunir  réunir,afrique  afrique,union  union,africaine</t>
  </si>
  <si>
    <t>chris,yapi  yapi,futur  futur,président  président,république  république,côte  côte,ivoire  ivoire,resté  resté,fidèle  fidèle,peuple  peuple,ivoirien</t>
  </si>
  <si>
    <t>cas,let  let,wait  wait,and  and,see  see,croisons  croisons,bras</t>
  </si>
  <si>
    <t>couillu,venir  venir,semaine  semaine,prend  prend,soin  soin,cousin  cousin,damana</t>
  </si>
  <si>
    <t>bonjour,famille  famille,damana  damana,picass  picass,entrain  entrain,faire  faire,cas  cas,vient  vient,arriver  arriver,frère  frère,fiole</t>
  </si>
  <si>
    <t>simplement,formidable</t>
  </si>
  <si>
    <t>aller,amant  amant,pikass</t>
  </si>
  <si>
    <t>damana,pikas  pikas,raison  raison,rapport  rapport,élection  élection,présidentielle  présidentielle,2010  2010,camp  camp,adverse  adverse,accepté  accepté,recomptage</t>
  </si>
  <si>
    <t>dignes,fils  fils,ivoiriens  ivoiriens,expriment  expriment,vérité  vérité,pique  pique,nom  nom,piquase</t>
  </si>
  <si>
    <t>damana,picas  picas,maman  maman,garçon  garçon,dieu  dieu,créateur  créateur,ciel  ciel,terre  terre,protège  protège,bénisse  bénisse,puissamment</t>
  </si>
  <si>
    <t>respect,demande  demande,extra  extra,terrestre  terrestre,chris  chris,yapi</t>
  </si>
  <si>
    <t>damana,picass  picass,doucement  doucement,pouvoir  pouvoir,zéro  zéro,tolérance</t>
  </si>
  <si>
    <t>ivoiriens,tourner  tourner,souffert  souffert,crise  crise,préparons  préparons,avenir  avenir,prudent  prudent,serpent  serpent,simple  simple,colombe  colombe,côte</t>
  </si>
  <si>
    <t>connais,famille  famille,attends  attends,donnez  donnez,origines  origines,plaît  christ,yapi  yapi,donner  donner,identité  identité,origine  origine,damana</t>
  </si>
  <si>
    <t>laurent,gbagbo  gbagbo,gagné  gagné,élections</t>
  </si>
  <si>
    <t>hier,dubaï  dubaï,supermarché  supermarché,entendis  entendis,sonnerie  sonnerie,christ  christ,yapi  yapi,abordé  abordé,dame  dame,demandant  demandant,ivoirienne</t>
  </si>
  <si>
    <t>salim,yazid  koko,démocratie  démocratie,république  république,dramanienne  soni,koko</t>
  </si>
  <si>
    <t>192, 192, 192</t>
  </si>
  <si>
    <t>213, 128, 128</t>
  </si>
  <si>
    <t>234, 64, 64</t>
  </si>
  <si>
    <t>G1: yapi chris damana dieu ouattara christ ivoire vérité pays dramane</t>
  </si>
  <si>
    <t>G2: barry peulh guinée jamais mossi burkina keita origine barri</t>
  </si>
  <si>
    <t>G3: gbagbo jamais commencer élections justement faut peur pays dramane gagné</t>
  </si>
  <si>
    <t>G4: gbagbo tour voix élections pdci ouattara question fpi candide 83</t>
  </si>
  <si>
    <t>G6: chris yapi</t>
  </si>
  <si>
    <t>G7: soni koko salim yazid david ouatt</t>
  </si>
  <si>
    <t>G8: jours</t>
  </si>
  <si>
    <t>G10: yapi</t>
  </si>
  <si>
    <t>G13: 05</t>
  </si>
  <si>
    <t>G15: prêt</t>
  </si>
  <si>
    <t>G16: dieu nuit amen bonne</t>
  </si>
  <si>
    <t>Edge Weight▓1▓4▓0▓True▓Silver▓Red▓▓Edge Weight▓1▓1▓0▓3▓10▓False▓Edge Weight▓1▓1▓0▓40▓15▓False▓▓0▓0▓0▓True▓Black▓Black▓▓In-Degree▓0▓4▓0▓150▓1000▓False▓▓0▓0▓0▓0▓0▓False▓▓0▓0▓0▓0▓0▓False▓▓0▓0▓0▓0▓0▓False</t>
  </si>
  <si>
    <t xml:space="preserve">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t>
  </si>
  <si>
    <t>YouTubeUser</t>
  </si>
  <si>
    <t>NodeXL</t>
  </si>
  <si>
    <t>The graph represents the network of YouTube videos whose title, keywords, description, categories, or author's username contain "NodeXL".  The network was obtained from YouTube on Wednesday, 12 May 2021 at 12:41 UTC.
The network was limited to 100 videos.
There is an edge for each user who comented an a video.  There is an edge for each user who replied to a comment.</t>
  </si>
  <si>
    <t>The graph was laid out using the Harel-Koren Fast Multiscale layout algorithm.</t>
  </si>
  <si>
    <t>The graph's vertices were grouped by cluster using the Clauset-Newman-Moore cluster algorithm.</t>
  </si>
  <si>
    <t>https://nodexlgraphgallery.org/Pages/Graph.aspx?graphID=254702</t>
  </si>
  <si>
    <t>https://nodexlgraphgallery.org/Images/Image.ashx?graphID=254702&amp;type=f</t>
  </si>
  <si>
    <t>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</si>
</sst>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2"/>
      <tableStyleElement type="headerRow" dxfId="331"/>
    </tableStyle>
    <tableStyle name="NodeXL Table" pivot="0" count="1">
      <tableStyleElement type="headerRow" dxfId="33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453571"/>
        <c:axId val="22864412"/>
      </c:barChart>
      <c:catAx>
        <c:axId val="174535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864412"/>
        <c:crosses val="autoZero"/>
        <c:auto val="1"/>
        <c:lblOffset val="100"/>
        <c:noMultiLvlLbl val="0"/>
      </c:catAx>
      <c:valAx>
        <c:axId val="22864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53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YouTube User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4"/>
                <c:pt idx="0">
                  <c:v>6-May
May
2021</c:v>
                </c:pt>
                <c:pt idx="1">
                  <c:v>7-May</c:v>
                </c:pt>
                <c:pt idx="2">
                  <c:v>8-May</c:v>
                </c:pt>
                <c:pt idx="3">
                  <c:v>10-May</c:v>
                </c:pt>
              </c:strCache>
            </c:strRef>
          </c:cat>
          <c:val>
            <c:numRef>
              <c:f>'Time Series'!$B$26:$B$32</c:f>
              <c:numCache>
                <c:formatCode>General</c:formatCode>
                <c:ptCount val="4"/>
                <c:pt idx="0">
                  <c:v>171</c:v>
                </c:pt>
                <c:pt idx="1">
                  <c:v>11</c:v>
                </c:pt>
                <c:pt idx="2">
                  <c:v>1</c:v>
                </c:pt>
                <c:pt idx="3">
                  <c:v>1</c:v>
                </c:pt>
              </c:numCache>
            </c:numRef>
          </c:val>
        </c:ser>
        <c:axId val="50364237"/>
        <c:axId val="50624950"/>
      </c:barChart>
      <c:catAx>
        <c:axId val="50364237"/>
        <c:scaling>
          <c:orientation val="minMax"/>
        </c:scaling>
        <c:axPos val="b"/>
        <c:delete val="0"/>
        <c:numFmt formatCode="General" sourceLinked="1"/>
        <c:majorTickMark val="out"/>
        <c:minorTickMark val="none"/>
        <c:tickLblPos val="nextTo"/>
        <c:crossAx val="50624950"/>
        <c:crosses val="autoZero"/>
        <c:auto val="1"/>
        <c:lblOffset val="100"/>
        <c:noMultiLvlLbl val="0"/>
      </c:catAx>
      <c:valAx>
        <c:axId val="50624950"/>
        <c:scaling>
          <c:orientation val="minMax"/>
        </c:scaling>
        <c:axPos val="l"/>
        <c:majorGridlines/>
        <c:delete val="0"/>
        <c:numFmt formatCode="General" sourceLinked="1"/>
        <c:majorTickMark val="out"/>
        <c:minorTickMark val="none"/>
        <c:tickLblPos val="nextTo"/>
        <c:crossAx val="503642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53117"/>
        <c:axId val="40078054"/>
      </c:barChart>
      <c:catAx>
        <c:axId val="44531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078054"/>
        <c:crosses val="autoZero"/>
        <c:auto val="1"/>
        <c:lblOffset val="100"/>
        <c:noMultiLvlLbl val="0"/>
      </c:catAx>
      <c:valAx>
        <c:axId val="40078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3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158167"/>
        <c:axId val="25096912"/>
      </c:barChart>
      <c:catAx>
        <c:axId val="251581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096912"/>
        <c:crosses val="autoZero"/>
        <c:auto val="1"/>
        <c:lblOffset val="100"/>
        <c:noMultiLvlLbl val="0"/>
      </c:catAx>
      <c:valAx>
        <c:axId val="25096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58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545617"/>
        <c:axId val="19583962"/>
      </c:barChart>
      <c:catAx>
        <c:axId val="245456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583962"/>
        <c:crosses val="autoZero"/>
        <c:auto val="1"/>
        <c:lblOffset val="100"/>
        <c:noMultiLvlLbl val="0"/>
      </c:catAx>
      <c:valAx>
        <c:axId val="19583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45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037931"/>
        <c:axId val="42797060"/>
      </c:barChart>
      <c:catAx>
        <c:axId val="420379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797060"/>
        <c:crosses val="autoZero"/>
        <c:auto val="1"/>
        <c:lblOffset val="100"/>
        <c:noMultiLvlLbl val="0"/>
      </c:catAx>
      <c:valAx>
        <c:axId val="42797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37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629221"/>
        <c:axId val="44009806"/>
      </c:barChart>
      <c:catAx>
        <c:axId val="496292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009806"/>
        <c:crosses val="autoZero"/>
        <c:auto val="1"/>
        <c:lblOffset val="100"/>
        <c:noMultiLvlLbl val="0"/>
      </c:catAx>
      <c:valAx>
        <c:axId val="44009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29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543935"/>
        <c:axId val="8024504"/>
      </c:barChart>
      <c:catAx>
        <c:axId val="605439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024504"/>
        <c:crosses val="autoZero"/>
        <c:auto val="1"/>
        <c:lblOffset val="100"/>
        <c:noMultiLvlLbl val="0"/>
      </c:catAx>
      <c:valAx>
        <c:axId val="8024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43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11673"/>
        <c:axId val="46005058"/>
      </c:barChart>
      <c:catAx>
        <c:axId val="51116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005058"/>
        <c:crosses val="autoZero"/>
        <c:auto val="1"/>
        <c:lblOffset val="100"/>
        <c:noMultiLvlLbl val="0"/>
      </c:catAx>
      <c:valAx>
        <c:axId val="46005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1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392339"/>
        <c:axId val="35422188"/>
      </c:barChart>
      <c:catAx>
        <c:axId val="11392339"/>
        <c:scaling>
          <c:orientation val="minMax"/>
        </c:scaling>
        <c:axPos val="b"/>
        <c:delete val="1"/>
        <c:majorTickMark val="out"/>
        <c:minorTickMark val="none"/>
        <c:tickLblPos val="none"/>
        <c:crossAx val="35422188"/>
        <c:crosses val="autoZero"/>
        <c:auto val="1"/>
        <c:lblOffset val="100"/>
        <c:noMultiLvlLbl val="0"/>
      </c:catAx>
      <c:valAx>
        <c:axId val="35422188"/>
        <c:scaling>
          <c:orientation val="minMax"/>
        </c:scaling>
        <c:axPos val="l"/>
        <c:delete val="1"/>
        <c:majorTickMark val="out"/>
        <c:minorTickMark val="none"/>
        <c:tickLblPos val="none"/>
        <c:crossAx val="113923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4" refreshedBy="Digital Space Lab" refreshedVersion="7">
  <cacheSource type="worksheet">
    <worksheetSource ref="A2:AP186" sheet="Edges"/>
  </cacheSource>
  <cacheFields count="44">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3">
        <s v="Comment"/>
        <s v="Reply"/>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Blank="1" containsMixedTypes="0"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181">
        <d v="2021-05-06T00:47:08.000"/>
        <d v="2021-05-06T00:47:11.000"/>
        <d v="2021-05-06T00:47:15.000"/>
        <d v="2021-05-06T00:47:16.000"/>
        <d v="2021-05-06T00:47:18.000"/>
        <d v="2021-05-06T00:47:35.000"/>
        <d v="2021-05-06T11:49:43.000"/>
        <d v="2021-05-06T17:59:27.000"/>
        <d v="2021-05-06T20:07:43.000"/>
        <d v="2021-05-07T01:08:50.000"/>
        <d v="2021-05-06T00:49:01.000"/>
        <d v="2021-05-06T03:49:59.000"/>
        <d v="2021-05-06T00:59:49.000"/>
        <d v="2021-05-06T01:18:39.000"/>
        <d v="2021-05-06T01:24:42.000"/>
        <d v="2021-05-06T00:50:15.000"/>
        <d v="2021-05-06T00:50:27.000"/>
        <d v="2021-05-06T00:50:52.000"/>
        <d v="2021-05-06T01:30:42.000"/>
        <d v="2021-05-06T02:17:31.000"/>
        <d v="2021-05-06T00:51:08.000"/>
        <d v="2021-05-06T00:51:22.000"/>
        <d v="2021-05-06T08:35:34.000"/>
        <d v="2021-05-06T00:46:51.000"/>
        <d v="2021-05-06T08:45:16.000"/>
        <d v="2021-05-06T00:53:35.000"/>
        <d v="2021-05-06T00:54:17.000"/>
        <d v="2021-05-06T00:54:22.000"/>
        <d v="2021-05-06T00:54:29.000"/>
        <d v="2021-05-06T00:54:41.000"/>
        <d v="2021-05-06T15:36:06.000"/>
        <d v="2021-05-06T22:45:03.000"/>
        <d v="2021-05-06T00:54:42.000"/>
        <d v="2021-05-06T00:56:07.000"/>
        <d v="2021-05-06T01:00:24.000"/>
        <d v="2021-05-06T01:01:18.000"/>
        <d v="2021-05-06T01:40:58.000"/>
        <d v="2021-05-06T01:41:46.000"/>
        <d v="2021-05-06T01:01:35.000"/>
        <d v="2021-05-06T01:04:49.000"/>
        <d v="2021-05-06T01:05:31.000"/>
        <d v="2021-05-06T01:08:22.000"/>
        <d v="2021-05-06T01:08:28.000"/>
        <d v="2021-05-06T08:59:20.000"/>
        <d v="2021-05-06T11:45:03.000"/>
        <d v="2021-05-06T01:09:57.000"/>
        <d v="2021-05-06T01:27:52.000"/>
        <d v="2021-05-06T01:34:40.000"/>
        <d v="2021-05-06T00:58:52.000"/>
        <d v="2021-05-06T02:02:09.000"/>
        <d v="2021-05-06T01:10:04.000"/>
        <d v="2021-05-06T01:10:33.000"/>
        <d v="2021-05-06T01:12:39.000"/>
        <d v="2021-05-06T01:14:32.000"/>
        <d v="2021-05-06T01:02:32.000"/>
        <d v="2021-05-06T01:15:55.000"/>
        <d v="2021-05-06T01:16:41.000"/>
        <d v="2021-05-06T01:17:17.000"/>
        <d v="2021-05-06T01:19:09.000"/>
        <d v="2021-05-06T01:20:00.000"/>
        <d v="2021-05-06T01:21:04.000"/>
        <d v="2021-05-06T01:28:17.000"/>
        <d v="2021-05-06T01:32:51.000"/>
        <d v="2021-05-06T01:37:08.000"/>
        <d v="2021-05-06T01:44:28.000"/>
        <d v="2021-05-06T04:14:00.000"/>
        <d v="2021-05-06T09:59:19.000"/>
        <d v="2021-05-06T01:51:44.000"/>
        <d v="2021-05-06T01:52:01.000"/>
        <d v="2021-05-06T01:52:34.000"/>
        <d v="2021-05-06T01:56:39.000"/>
        <d v="2021-05-06T01:56:42.000"/>
        <d v="2021-05-06T01:57:17.000"/>
        <d v="2021-05-06T02:20:28.000"/>
        <d v="2021-05-06T12:43:03.000"/>
        <d v="2021-05-06T23:58:45.000"/>
        <d v="2021-05-06T02:22:37.000"/>
        <d v="2021-05-07T09:24:45.000"/>
        <d v="2021-05-07T09:24:59.000"/>
        <d v="2021-05-06T22:26:59.000"/>
        <d v="2021-05-06T02:00:36.000"/>
        <d v="2021-05-06T02:02:55.000"/>
        <d v="2021-05-06T02:10:58.000"/>
        <d v="2021-05-06T02:15:58.000"/>
        <d v="2021-05-06T02:17:39.000"/>
        <d v="2021-05-06T02:21:45.000"/>
        <d v="2021-05-06T02:41:57.000"/>
        <d v="2021-05-07T01:08:16.000"/>
        <d v="2021-05-06T02:44:15.000"/>
        <d v="2021-05-06T08:03:57.000"/>
        <d v="2021-05-06T10:03:26.000"/>
        <d v="2021-05-07T11:17:37.000"/>
        <d v="2021-05-06T03:14:17.000"/>
        <d v="2021-05-06T03:39:50.000"/>
        <d v="2021-05-06T04:10:55.000"/>
        <d v="2021-05-06T04:37:44.000"/>
        <d v="2021-05-06T06:16:04.000"/>
        <d v="2021-05-06T06:20:02.000"/>
        <d v="2021-05-06T06:36:56.000"/>
        <d v="2021-05-06T06:38:07.000"/>
        <d v="2021-05-06T06:38:55.000"/>
        <d v="2021-05-06T06:42:36.000"/>
        <d v="2021-05-06T11:17:45.000"/>
        <d v="2021-05-06T13:00:57.000"/>
        <d v="2021-05-06T15:56:03.000"/>
        <d v="2021-05-06T11:47:28.000"/>
        <d v="2021-05-06T15:48:10.000"/>
        <d v="2021-05-06T16:12:11.000"/>
        <d v="2021-05-06T16:18:25.000"/>
        <d v="2021-05-06T06:55:21.000"/>
        <d v="2021-05-06T06:54:58.000"/>
        <d v="2021-05-06T06:56:16.000"/>
        <d v="2021-05-06T06:59:38.000"/>
        <d v="2021-05-06T07:02:33.000"/>
        <d v="2021-05-06T07:02:43.000"/>
        <d v="2021-05-06T07:17:45.000"/>
        <d v="2021-05-06T07:28:43.000"/>
        <d v="2021-05-06T07:51:57.000"/>
        <d v="2021-05-06T08:12:28.000"/>
        <d v="2021-05-06T08:25:22.000"/>
        <d v="2021-05-06T08:37:25.000"/>
        <d v="2021-05-06T08:38:25.000"/>
        <d v="2021-05-06T08:40:52.000"/>
        <d v="2021-05-06T08:49:21.000"/>
        <d v="2021-05-06T08:50:32.000"/>
        <d v="2021-05-06T08:59:03.000"/>
        <d v="2021-05-06T09:15:26.000"/>
        <d v="2021-05-06T09:21:24.000"/>
        <d v="2021-05-06T09:28:06.000"/>
        <d v="2021-05-06T17:21:00.000"/>
        <d v="2021-05-06T19:26:57.000"/>
        <d v="2021-05-06T09:30:26.000"/>
        <d v="2021-05-06T20:51:01.000"/>
        <d v="2021-05-06T10:22:43.000"/>
        <d v="2021-05-06T10:31:04.000"/>
        <d v="2021-05-06T10:33:32.000"/>
        <d v="2021-05-06T10:35:26.000"/>
        <d v="2021-05-06T10:46:12.000"/>
        <d v="2021-05-06T11:49:11.000"/>
        <d v="2021-05-06T11:38:21.000"/>
        <d v="2021-05-06T11:49:53.000"/>
        <d v="2021-05-06T12:42:10.000"/>
        <d v="2021-05-06T16:06:49.000"/>
        <d v="2021-05-06T12:12:03.000"/>
        <d v="2021-05-06T12:23:31.000"/>
        <d v="2021-05-06T12:17:00.000"/>
        <d v="2021-05-06T12:21:56.000"/>
        <d v="2021-05-06T12:27:32.000"/>
        <d v="2021-05-06T12:58:16.000"/>
        <d v="2021-05-06T12:48:51.000"/>
        <d v="2021-05-06T13:03:28.000"/>
        <d v="2021-05-06T14:06:49.000"/>
        <d v="2021-05-06T14:33:07.000"/>
        <d v="2021-05-06T15:11:24.000"/>
        <d v="2021-05-06T15:30:25.000"/>
        <d v="2021-05-06T16:13:39.000"/>
        <d v="2021-05-06T16:33:49.000"/>
        <d v="2021-05-06T16:55:13.000"/>
        <d v="2021-05-06T17:38:46.000"/>
        <d v="2021-05-06T17:56:01.000"/>
        <d v="2021-05-06T18:09:16.000"/>
        <d v="2021-05-06T18:14:04.000"/>
        <d v="2021-05-06T20:41:25.000"/>
        <d v="2021-05-06T21:35:23.000"/>
        <d v="2021-05-06T22:27:43.000"/>
        <d v="2021-05-06T22:28:39.000"/>
        <d v="2021-05-06T22:29:20.000"/>
        <d v="2021-05-06T23:10:45.000"/>
        <d v="2021-05-06T23:15:48.000"/>
        <d v="2021-05-06T23:59:27.000"/>
        <d v="2021-05-07T01:08:56.000"/>
        <d v="2021-05-07T12:50:38.000"/>
        <d v="2021-05-07T16:19:52.000"/>
        <d v="2021-05-07T16:22:22.000"/>
        <d v="2021-05-07T20:18:10.000"/>
        <d v="2021-05-07T22:01:17.000"/>
        <d v="2021-05-08T22:19:51.000"/>
        <d v="2021-05-10T08:47:06.000"/>
        <d v="2021-05-06T11:40:37.000"/>
        <d v="2021-05-06T08:27:51.000"/>
        <d v="2021-05-06T00:46:34.000"/>
      </sharedItems>
      <fieldGroup par="43" base="25">
        <rangePr groupBy="days" autoEnd="1" autoStart="1" startDate="2021-05-06T00:46:34.000" endDate="2021-05-10T08:47:06.000"/>
        <groupItems count="368">
          <s v="&lt;5/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0/2021"/>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21-05-06T00:46:34.000" endDate="2021-05-10T08:47:06.000"/>
        <groupItems count="14">
          <s v="&lt;5/6/2021"/>
          <s v="Jan"/>
          <s v="Feb"/>
          <s v="Mar"/>
          <s v="Apr"/>
          <s v="May"/>
          <s v="Jun"/>
          <s v="Jul"/>
          <s v="Aug"/>
          <s v="Sep"/>
          <s v="Oct"/>
          <s v="Nov"/>
          <s v="Dec"/>
          <s v="&gt;5/10/2021"/>
        </groupItems>
      </fieldGroup>
    </cacheField>
    <cacheField name="Years" databaseField="0">
      <sharedItems containsMixedTypes="0" count="0"/>
      <fieldGroup base="25">
        <rangePr groupBy="years" autoEnd="1" autoStart="1" startDate="2021-05-06T00:46:34.000" endDate="2021-05-10T08:47:06.000"/>
        <groupItems count="3">
          <s v="&lt;5/6/2021"/>
          <s v="2021"/>
          <s v="&gt;5/10/2021"/>
        </groupItems>
      </fieldGroup>
    </cacheField>
  </cacheFields>
  <extLst>
    <ext xmlns:x14="http://schemas.microsoft.com/office/spreadsheetml/2009/9/main" uri="{725AE2AE-9491-48be-B2B4-4EB974FC3084}">
      <x14:pivotCacheDefinition pivotCacheId="941840120"/>
    </ext>
  </extLst>
</pivotCacheDefinition>
</file>

<file path=xl/pivotCache/pivotCacheRecords1.xml><?xml version="1.0" encoding="utf-8"?>
<pivotCacheRecords xmlns="http://schemas.openxmlformats.org/spreadsheetml/2006/main" xmlns:r="http://schemas.openxmlformats.org/officeDocument/2006/relationships" count="184">
  <r>
    <s v="UC1W6BV2qFMEWnMBbCN5txMg"/>
    <s v="UCrrFW5ckKRfBEOBxH3k9anQ"/>
    <s v="128, 128, 128"/>
    <n v="3"/>
    <m/>
    <n v="40"/>
    <m/>
    <m/>
    <m/>
    <m/>
    <s v="No"/>
    <n v="3"/>
    <m/>
    <m/>
    <s v="Commented Video"/>
    <x v="0"/>
    <s v="Chris Yapi Chris Yapi Chris Yapi 👏"/>
    <s v="UC1W6BV2qFMEWnMBbCN5txMg"/>
    <s v="Hima Ibrahima"/>
    <s v="http://www.youtube.com/channel/UC1W6BV2qFMEWnMBbCN5txMg"/>
    <m/>
    <s v="Ci9JYIJstPY"/>
    <s v="https://www.youtube.com/watch?v=Ci9JYIJstPY"/>
    <s v="none"/>
    <n v="4"/>
    <x v="0"/>
    <d v="2021-05-06T00:47:08.000"/>
    <m/>
    <m/>
    <s v=""/>
    <n v="1"/>
    <s v="1"/>
    <s v="1"/>
    <n v="0"/>
    <n v="0"/>
    <n v="0"/>
    <n v="0"/>
    <n v="0"/>
    <n v="0"/>
    <n v="6"/>
    <n v="100"/>
    <n v="6"/>
  </r>
  <r>
    <s v="UCJeHiMICYm6RdaqvukoCR2A"/>
    <s v="UCrrFW5ckKRfBEOBxH3k9anQ"/>
    <s v="128, 128, 128"/>
    <n v="3"/>
    <m/>
    <n v="40"/>
    <m/>
    <m/>
    <m/>
    <m/>
    <s v="No"/>
    <n v="4"/>
    <m/>
    <m/>
    <s v="Commented Video"/>
    <x v="0"/>
    <s v="Je suis là"/>
    <s v="UCJeHiMICYm6RdaqvukoCR2A"/>
    <s v="yves roland kouassi"/>
    <s v="http://www.youtube.com/channel/UCJeHiMICYm6RdaqvukoCR2A"/>
    <m/>
    <s v="Ci9JYIJstPY"/>
    <s v="https://www.youtube.com/watch?v=Ci9JYIJstPY"/>
    <s v="none"/>
    <n v="1"/>
    <x v="1"/>
    <d v="2021-05-06T00:47:11.000"/>
    <m/>
    <m/>
    <s v=""/>
    <n v="1"/>
    <s v="1"/>
    <s v="1"/>
    <n v="0"/>
    <n v="0"/>
    <n v="0"/>
    <n v="0"/>
    <n v="0"/>
    <n v="0"/>
    <n v="3"/>
    <n v="100"/>
    <n v="3"/>
  </r>
  <r>
    <s v="UCOMPKGVxY-2Mklt0Ccuy2EA"/>
    <s v="UCrrFW5ckKRfBEOBxH3k9anQ"/>
    <s v="128, 128, 128"/>
    <n v="3"/>
    <m/>
    <n v="40"/>
    <m/>
    <m/>
    <m/>
    <m/>
    <s v="No"/>
    <n v="5"/>
    <m/>
    <m/>
    <s v="Commented Video"/>
    <x v="0"/>
    <s v="Toujours au rendez-vous de Chris yapi"/>
    <s v="UCOMPKGVxY-2Mklt0Ccuy2EA"/>
    <s v="Mamadou Ouologuem"/>
    <s v="http://www.youtube.com/channel/UCOMPKGVxY-2Mklt0Ccuy2EA"/>
    <m/>
    <s v="Ci9JYIJstPY"/>
    <s v="https://www.youtube.com/watch?v=Ci9JYIJstPY"/>
    <s v="none"/>
    <n v="2"/>
    <x v="2"/>
    <d v="2021-05-06T00:47:15.000"/>
    <m/>
    <m/>
    <s v=""/>
    <n v="1"/>
    <s v="1"/>
    <s v="1"/>
    <n v="1"/>
    <n v="14.285714285714286"/>
    <n v="1"/>
    <n v="14.285714285714286"/>
    <n v="0"/>
    <n v="0"/>
    <n v="6"/>
    <n v="85.71428571428571"/>
    <n v="7"/>
  </r>
  <r>
    <s v="UClzPVk0jQBCao2obuQboocQ"/>
    <s v="UCrrFW5ckKRfBEOBxH3k9anQ"/>
    <s v="128, 128, 128"/>
    <n v="3"/>
    <m/>
    <n v="40"/>
    <m/>
    <m/>
    <m/>
    <m/>
    <s v="No"/>
    <n v="6"/>
    <m/>
    <m/>
    <s v="Commented Video"/>
    <x v="0"/>
    <s v="Courage frère"/>
    <s v="UClzPVk0jQBCao2obuQboocQ"/>
    <s v="Maliano Dolby"/>
    <s v="http://www.youtube.com/channel/UClzPVk0jQBCao2obuQboocQ"/>
    <m/>
    <s v="Ci9JYIJstPY"/>
    <s v="https://www.youtube.com/watch?v=Ci9JYIJstPY"/>
    <s v="none"/>
    <n v="4"/>
    <x v="2"/>
    <d v="2021-05-06T00:47:15.000"/>
    <m/>
    <m/>
    <s v=""/>
    <n v="1"/>
    <s v="1"/>
    <s v="1"/>
    <n v="1"/>
    <n v="50"/>
    <n v="1"/>
    <n v="50"/>
    <n v="0"/>
    <n v="0"/>
    <n v="1"/>
    <n v="50"/>
    <n v="2"/>
  </r>
  <r>
    <s v="UCHU71QXv1P91-ohYiBaaoaQ"/>
    <s v="UCrrFW5ckKRfBEOBxH3k9anQ"/>
    <s v="128, 128, 128"/>
    <n v="3"/>
    <m/>
    <n v="40"/>
    <m/>
    <m/>
    <m/>
    <m/>
    <s v="No"/>
    <n v="7"/>
    <m/>
    <m/>
    <s v="Commented Video"/>
    <x v="0"/>
    <s v="Ah oui tu es un chef"/>
    <s v="UCHU71QXv1P91-ohYiBaaoaQ"/>
    <s v="konan francois kouakou"/>
    <s v="http://www.youtube.com/channel/UCHU71QXv1P91-ohYiBaaoaQ"/>
    <m/>
    <s v="Ci9JYIJstPY"/>
    <s v="https://www.youtube.com/watch?v=Ci9JYIJstPY"/>
    <s v="none"/>
    <n v="4"/>
    <x v="3"/>
    <d v="2021-05-06T00:47:16.000"/>
    <m/>
    <m/>
    <s v=""/>
    <n v="1"/>
    <s v="1"/>
    <s v="1"/>
    <n v="0"/>
    <n v="0"/>
    <n v="0"/>
    <n v="0"/>
    <n v="0"/>
    <n v="0"/>
    <n v="6"/>
    <n v="100"/>
    <n v="6"/>
  </r>
  <r>
    <s v="UCNdwsLhhuDuBep5DVHzqZeQ"/>
    <s v="UCrrFW5ckKRfBEOBxH3k9anQ"/>
    <s v="128, 128, 128"/>
    <n v="3"/>
    <m/>
    <n v="40"/>
    <m/>
    <m/>
    <m/>
    <m/>
    <s v="No"/>
    <n v="8"/>
    <m/>
    <m/>
    <s v="Commented Video"/>
    <x v="0"/>
    <s v="Humm Chris yapi"/>
    <s v="UCNdwsLhhuDuBep5DVHzqZeQ"/>
    <s v="Gaston Gbomila"/>
    <s v="http://www.youtube.com/channel/UCNdwsLhhuDuBep5DVHzqZeQ"/>
    <m/>
    <s v="Ci9JYIJstPY"/>
    <s v="https://www.youtube.com/watch?v=Ci9JYIJstPY"/>
    <s v="none"/>
    <n v="0"/>
    <x v="4"/>
    <d v="2021-05-06T00:47:18.000"/>
    <m/>
    <m/>
    <s v=""/>
    <n v="1"/>
    <s v="1"/>
    <s v="1"/>
    <n v="0"/>
    <n v="0"/>
    <n v="0"/>
    <n v="0"/>
    <n v="0"/>
    <n v="0"/>
    <n v="3"/>
    <n v="100"/>
    <n v="3"/>
  </r>
  <r>
    <s v="UCPv4RA_MIqx_Wa9HNUAO4vw"/>
    <s v="UCrrFW5ckKRfBEOBxH3k9anQ"/>
    <s v="128, 128, 128"/>
    <n v="3"/>
    <m/>
    <n v="40"/>
    <m/>
    <m/>
    <m/>
    <m/>
    <s v="No"/>
    <n v="9"/>
    <m/>
    <m/>
    <s v="Commented Video"/>
    <x v="0"/>
    <s v="tjrs yapitiquement calé.merci tjrs pour l&amp;#39;info pour nous les amoureux de la vérité.👍👍👍👊👊👊🙏🙏🙏"/>
    <s v="UCPv4RA_MIqx_Wa9HNUAO4vw"/>
    <s v="Camara nakpo Franck Étienne"/>
    <s v="http://www.youtube.com/channel/UCPv4RA_MIqx_Wa9HNUAO4vw"/>
    <m/>
    <s v="Ci9JYIJstPY"/>
    <s v="https://www.youtube.com/watch?v=Ci9JYIJstPY"/>
    <s v="none"/>
    <n v="15"/>
    <x v="5"/>
    <d v="2021-05-06T00:47:35.000"/>
    <m/>
    <m/>
    <s v=""/>
    <n v="1"/>
    <s v="1"/>
    <s v="1"/>
    <n v="2"/>
    <n v="12.5"/>
    <n v="1"/>
    <n v="6.25"/>
    <n v="0"/>
    <n v="0"/>
    <n v="14"/>
    <n v="87.5"/>
    <n v="16"/>
  </r>
  <r>
    <s v="UCnZQzTqGBNRA4_HEODkRwEw"/>
    <s v="UC3TmlkyMLVtPRgucjAx0Ltg"/>
    <s v="128, 128, 128"/>
    <n v="3"/>
    <m/>
    <n v="40"/>
    <m/>
    <m/>
    <m/>
    <m/>
    <s v="No"/>
    <n v="10"/>
    <m/>
    <m/>
    <s v="Replied Comment"/>
    <x v="1"/>
    <s v="😄😄😄"/>
    <s v="UCnZQzTqGBNRA4_HEODkRwEw"/>
    <s v="kinklin Hmtw"/>
    <s v="http://www.youtube.com/channel/UCnZQzTqGBNRA4_HEODkRwEw"/>
    <s v="UgwXpFcMS5MHTouFtzV4AaABAg"/>
    <s v="Ci9JYIJstPY"/>
    <s v="https://www.youtube.com/watch?v=Ci9JYIJstPY"/>
    <s v="none"/>
    <n v="1"/>
    <x v="6"/>
    <d v="2021-05-06T11:49:43.000"/>
    <m/>
    <m/>
    <s v=""/>
    <n v="1"/>
    <s v="5"/>
    <s v="5"/>
    <n v="0"/>
    <n v="0"/>
    <n v="0"/>
    <n v="0"/>
    <n v="0"/>
    <n v="0"/>
    <n v="0"/>
    <n v="0"/>
    <n v="0"/>
  </r>
  <r>
    <s v="UCEUXal6BPmfaBlXDUgBxYKw"/>
    <s v="UC3TmlkyMLVtPRgucjAx0Ltg"/>
    <s v="128, 128, 128"/>
    <n v="3"/>
    <m/>
    <n v="40"/>
    <m/>
    <m/>
    <m/>
    <m/>
    <s v="No"/>
    <n v="11"/>
    <m/>
    <m/>
    <s v="Replied Comment"/>
    <x v="1"/>
    <s v="Vraiment 😀😀😀"/>
    <s v="UCEUXal6BPmfaBlXDUgBxYKw"/>
    <s v="Ahmed Fofana"/>
    <s v="http://www.youtube.com/channel/UCEUXal6BPmfaBlXDUgBxYKw"/>
    <s v="UgwXpFcMS5MHTouFtzV4AaABAg"/>
    <s v="Ci9JYIJstPY"/>
    <s v="https://www.youtube.com/watch?v=Ci9JYIJstPY"/>
    <s v="none"/>
    <n v="0"/>
    <x v="7"/>
    <d v="2021-05-06T17:59:27.000"/>
    <m/>
    <m/>
    <s v=""/>
    <n v="1"/>
    <s v="5"/>
    <s v="5"/>
    <n v="0"/>
    <n v="0"/>
    <n v="1"/>
    <n v="100"/>
    <n v="0"/>
    <n v="0"/>
    <n v="0"/>
    <n v="0"/>
    <n v="1"/>
  </r>
  <r>
    <s v="UCeyiDSEDNrGph88osV5u9ww"/>
    <s v="UC3TmlkyMLVtPRgucjAx0Ltg"/>
    <s v="128, 128, 128"/>
    <n v="3"/>
    <m/>
    <n v="40"/>
    <m/>
    <m/>
    <m/>
    <m/>
    <s v="No"/>
    <n v="12"/>
    <m/>
    <m/>
    <s v="Replied Comment"/>
    <x v="1"/>
    <s v="Mais et dessin animé des enfants 🤣🤣"/>
    <s v="UCeyiDSEDNrGph88osV5u9ww"/>
    <s v="Deliko Nahomie"/>
    <s v="http://www.youtube.com/channel/UCeyiDSEDNrGph88osV5u9ww"/>
    <s v="UgwXpFcMS5MHTouFtzV4AaABAg"/>
    <s v="Ci9JYIJstPY"/>
    <s v="https://www.youtube.com/watch?v=Ci9JYIJstPY"/>
    <s v="none"/>
    <n v="0"/>
    <x v="8"/>
    <d v="2021-05-06T20:07:43.000"/>
    <m/>
    <m/>
    <s v=""/>
    <n v="1"/>
    <s v="5"/>
    <s v="5"/>
    <n v="1"/>
    <n v="16.666666666666668"/>
    <n v="1"/>
    <n v="16.666666666666668"/>
    <n v="0"/>
    <n v="0"/>
    <n v="5"/>
    <n v="83.33333333333333"/>
    <n v="6"/>
  </r>
  <r>
    <s v="UCSnWL77qsUeISHxIDhGWzRQ"/>
    <s v="UC3TmlkyMLVtPRgucjAx0Ltg"/>
    <s v="128, 128, 128"/>
    <n v="3"/>
    <m/>
    <n v="40"/>
    <m/>
    <m/>
    <m/>
    <m/>
    <s v="No"/>
    <n v="13"/>
    <m/>
    <m/>
    <s v="Replied Comment"/>
    <x v="1"/>
    <s v="Aiiii 😀 😀 😀"/>
    <s v="UCSnWL77qsUeISHxIDhGWzRQ"/>
    <s v="SEKA Françoise"/>
    <s v="http://www.youtube.com/channel/UCSnWL77qsUeISHxIDhGWzRQ"/>
    <s v="UgwXpFcMS5MHTouFtzV4AaABAg"/>
    <s v="Ci9JYIJstPY"/>
    <s v="https://www.youtube.com/watch?v=Ci9JYIJstPY"/>
    <s v="none"/>
    <n v="0"/>
    <x v="9"/>
    <d v="2021-05-07T01:08:50.000"/>
    <m/>
    <m/>
    <s v=""/>
    <n v="1"/>
    <s v="5"/>
    <s v="5"/>
    <n v="0"/>
    <n v="0"/>
    <n v="0"/>
    <n v="0"/>
    <n v="0"/>
    <n v="0"/>
    <n v="1"/>
    <n v="100"/>
    <n v="1"/>
  </r>
  <r>
    <s v="UC3TmlkyMLVtPRgucjAx0Ltg"/>
    <s v="UCrrFW5ckKRfBEOBxH3k9anQ"/>
    <s v="128, 128, 128"/>
    <n v="3"/>
    <m/>
    <n v="40"/>
    <m/>
    <m/>
    <m/>
    <m/>
    <s v="No"/>
    <n v="14"/>
    <m/>
    <m/>
    <s v="Commented Video"/>
    <x v="0"/>
    <s v="Toujours au journal de Chris Yapi. à cause de toi je ne paye plus canal + c’est mieux de souscrire internet 10000f"/>
    <s v="UC3TmlkyMLVtPRgucjAx0Ltg"/>
    <s v="BabiActu Buzz &amp; news"/>
    <s v="http://www.youtube.com/channel/UC3TmlkyMLVtPRgucjAx0Ltg"/>
    <m/>
    <s v="Ci9JYIJstPY"/>
    <s v="https://www.youtube.com/watch?v=Ci9JYIJstPY"/>
    <s v="none"/>
    <n v="57"/>
    <x v="10"/>
    <d v="2021-05-06T00:49:01.000"/>
    <m/>
    <m/>
    <s v=""/>
    <n v="1"/>
    <s v="5"/>
    <s v="1"/>
    <n v="2"/>
    <n v="9.090909090909092"/>
    <n v="1"/>
    <n v="4.545454545454546"/>
    <n v="0"/>
    <n v="0"/>
    <n v="20"/>
    <n v="90.9090909090909"/>
    <n v="22"/>
  </r>
  <r>
    <s v="UCPog7wBEVDO7s-vabvZVNXg"/>
    <s v="UCYSE6P4YdKtcJVgsxubD99w"/>
    <s v="128, 128, 128"/>
    <n v="3"/>
    <m/>
    <n v="40"/>
    <m/>
    <m/>
    <m/>
    <m/>
    <s v="No"/>
    <n v="15"/>
    <m/>
    <m/>
    <s v="Replied Comment"/>
    <x v="1"/>
    <s v="Barry n&amp;#39;est pas mossi, c&amp;#39;est un peuhl"/>
    <s v="UCPog7wBEVDO7s-vabvZVNXg"/>
    <s v="Yssak Ydjaloub"/>
    <s v="http://www.youtube.com/channel/UCPog7wBEVDO7s-vabvZVNXg"/>
    <s v="UgywVJBFDtz2fvXRZtZ4AaABAg"/>
    <s v="Ci9JYIJstPY"/>
    <s v="https://www.youtube.com/watch?v=Ci9JYIJstPY"/>
    <s v="none"/>
    <n v="1"/>
    <x v="11"/>
    <d v="2021-05-06T03:49:59.000"/>
    <m/>
    <m/>
    <s v=""/>
    <n v="1"/>
    <s v="2"/>
    <s v="2"/>
    <n v="0"/>
    <n v="0"/>
    <n v="0"/>
    <n v="0"/>
    <n v="0"/>
    <n v="0"/>
    <n v="11"/>
    <n v="100"/>
    <n v="11"/>
  </r>
  <r>
    <s v="UCz12X8InPaYO_uCl0d6EtUA"/>
    <s v="UCYSE6P4YdKtcJVgsxubD99w"/>
    <s v="128, 128, 128"/>
    <n v="3"/>
    <m/>
    <n v="40"/>
    <m/>
    <m/>
    <m/>
    <m/>
    <s v="No"/>
    <n v="16"/>
    <m/>
    <m/>
    <s v="Replied Comment"/>
    <x v="1"/>
    <s v="Vraiment il sont guinéen...car il y a également un Barry Moussa barké au togo"/>
    <s v="UCz12X8InPaYO_uCl0d6EtUA"/>
    <s v="Fatbé mamer Talakaena"/>
    <s v="http://www.youtube.com/channel/UCz12X8InPaYO_uCl0d6EtUA"/>
    <s v="UgywVJBFDtz2fvXRZtZ4AaABAg"/>
    <s v="Ci9JYIJstPY"/>
    <s v="https://www.youtube.com/watch?v=Ci9JYIJstPY"/>
    <s v="none"/>
    <n v="1"/>
    <x v="12"/>
    <d v="2021-05-06T00:59:49.000"/>
    <m/>
    <m/>
    <s v=""/>
    <n v="1"/>
    <s v="2"/>
    <s v="2"/>
    <n v="0"/>
    <n v="0"/>
    <n v="1"/>
    <n v="6.666666666666667"/>
    <n v="0"/>
    <n v="0"/>
    <n v="14"/>
    <n v="93.33333333333333"/>
    <n v="15"/>
  </r>
  <r>
    <s v="UCqaRNBLGkTej2D0R7550KNA"/>
    <s v="UCYSE6P4YdKtcJVgsxubD99w"/>
    <s v="128, 128, 128"/>
    <n v="3"/>
    <m/>
    <n v="40"/>
    <m/>
    <m/>
    <m/>
    <m/>
    <s v="No"/>
    <n v="17"/>
    <m/>
    <m/>
    <s v="Replied Comment"/>
    <x v="1"/>
    <s v="Les Barry sont de l&amp;#39;hetnie peulh au Burkina,au Mali et en Guinée"/>
    <s v="UCqaRNBLGkTej2D0R7550KNA"/>
    <s v="Abdoul Nignan"/>
    <s v="http://www.youtube.com/channel/UCqaRNBLGkTej2D0R7550KNA"/>
    <s v="UgywVJBFDtz2fvXRZtZ4AaABAg"/>
    <s v="Ci9JYIJstPY"/>
    <s v="https://www.youtube.com/watch?v=Ci9JYIJstPY"/>
    <s v="none"/>
    <n v="3"/>
    <x v="13"/>
    <d v="2021-05-06T01:18:39.000"/>
    <m/>
    <m/>
    <s v=""/>
    <n v="1"/>
    <s v="2"/>
    <s v="2"/>
    <n v="0"/>
    <n v="0"/>
    <n v="0"/>
    <n v="0"/>
    <n v="0"/>
    <n v="0"/>
    <n v="15"/>
    <n v="100"/>
    <n v="15"/>
  </r>
  <r>
    <s v="UClanhoQVUQAXPY1ibUnRU1w"/>
    <s v="UCYSE6P4YdKtcJVgsxubD99w"/>
    <s v="128, 128, 128"/>
    <n v="3"/>
    <m/>
    <n v="40"/>
    <m/>
    <m/>
    <m/>
    <m/>
    <s v="No"/>
    <n v="18"/>
    <m/>
    <m/>
    <s v="Replied Comment"/>
    <x v="1"/>
    <s v="Tous les Barry sont de la Guinée descendants des keita..au fait a l origine ils sont keita de mère peulh. &lt;br /&gt;Je vais chez mon oncle en Malinke, vous trouverez au bout de la phrase le mot N&amp;#39;BARRI qui donna naissance à BARRI ou BARRY en écriture..&lt;br /&gt;BARRY a l origine n est pas un nom de famille peulh ni chez les nobles ni au sein des  castes peulhs"/>
    <s v="UClanhoQVUQAXPY1ibUnRU1w"/>
    <s v="Massa Massa"/>
    <s v="http://www.youtube.com/channel/UClanhoQVUQAXPY1ibUnRU1w"/>
    <s v="UgywVJBFDtz2fvXRZtZ4AaABAg"/>
    <s v="Ci9JYIJstPY"/>
    <s v="https://www.youtube.com/watch?v=Ci9JYIJstPY"/>
    <s v="none"/>
    <n v="1"/>
    <x v="14"/>
    <d v="2021-05-06T01:24:42.000"/>
    <m/>
    <m/>
    <s v=""/>
    <n v="1"/>
    <s v="2"/>
    <s v="2"/>
    <n v="0"/>
    <n v="0"/>
    <n v="1"/>
    <n v="1.36986301369863"/>
    <n v="0"/>
    <n v="0"/>
    <n v="72"/>
    <n v="98.63013698630137"/>
    <n v="73"/>
  </r>
  <r>
    <s v="UCYSE6P4YdKtcJVgsxubD99w"/>
    <s v="UCrrFW5ckKRfBEOBxH3k9anQ"/>
    <s v="128, 128, 128"/>
    <n v="3"/>
    <m/>
    <n v="40"/>
    <m/>
    <m/>
    <m/>
    <m/>
    <s v="No"/>
    <n v="19"/>
    <m/>
    <m/>
    <s v="Commented Video"/>
    <x v="0"/>
    <s v="Les Barry ne viennent pas du Burkina mais plus tôt de la Guinée Conakry"/>
    <s v="UCYSE6P4YdKtcJVgsxubD99w"/>
    <s v="Anderson N'zue"/>
    <s v="http://www.youtube.com/channel/UCYSE6P4YdKtcJVgsxubD99w"/>
    <m/>
    <s v="Ci9JYIJstPY"/>
    <s v="https://www.youtube.com/watch?v=Ci9JYIJstPY"/>
    <s v="none"/>
    <n v="11"/>
    <x v="15"/>
    <d v="2021-05-06T00:50:15.000"/>
    <m/>
    <m/>
    <s v=""/>
    <n v="1"/>
    <s v="2"/>
    <s v="1"/>
    <n v="0"/>
    <n v="0"/>
    <n v="0"/>
    <n v="0"/>
    <n v="0"/>
    <n v="0"/>
    <n v="14"/>
    <n v="100"/>
    <n v="14"/>
  </r>
  <r>
    <s v="UCzrwc2lCv-ZzMRMegkZpC3g"/>
    <s v="UCrrFW5ckKRfBEOBxH3k9anQ"/>
    <s v="128, 128, 128"/>
    <n v="3"/>
    <m/>
    <n v="40"/>
    <m/>
    <m/>
    <m/>
    <m/>
    <s v="No"/>
    <n v="20"/>
    <m/>
    <m/>
    <s v="Commented Video"/>
    <x v="0"/>
    <s v="Wow! Ivory Coast 😭"/>
    <s v="UCzrwc2lCv-ZzMRMegkZpC3g"/>
    <s v="CeShakara"/>
    <s v="http://www.youtube.com/channel/UCzrwc2lCv-ZzMRMegkZpC3g"/>
    <m/>
    <s v="Ci9JYIJstPY"/>
    <s v="https://www.youtube.com/watch?v=Ci9JYIJstPY"/>
    <s v="none"/>
    <n v="2"/>
    <x v="16"/>
    <d v="2021-05-06T00:50:27.000"/>
    <m/>
    <m/>
    <s v=""/>
    <n v="1"/>
    <s v="1"/>
    <s v="1"/>
    <n v="0"/>
    <n v="0"/>
    <n v="0"/>
    <n v="0"/>
    <n v="0"/>
    <n v="0"/>
    <n v="3"/>
    <n v="100"/>
    <n v="3"/>
  </r>
  <r>
    <s v="UCX8GwAV7-mZWpP6wKyvJCww"/>
    <s v="UCrrFW5ckKRfBEOBxH3k9anQ"/>
    <s v="128, 128, 128"/>
    <n v="3"/>
    <m/>
    <n v="40"/>
    <m/>
    <m/>
    <m/>
    <m/>
    <s v="No"/>
    <n v="21"/>
    <m/>
    <m/>
    <s v="Commented Video"/>
    <x v="0"/>
    <s v="M Yapi"/>
    <s v="UCX8GwAV7-mZWpP6wKyvJCww"/>
    <s v="Ousmane Diallo"/>
    <s v="http://www.youtube.com/channel/UCX8GwAV7-mZWpP6wKyvJCww"/>
    <m/>
    <s v="Ci9JYIJstPY"/>
    <s v="https://www.youtube.com/watch?v=Ci9JYIJstPY"/>
    <s v="none"/>
    <n v="1"/>
    <x v="17"/>
    <d v="2021-05-06T00:50:52.000"/>
    <m/>
    <m/>
    <s v=""/>
    <n v="1"/>
    <s v="1"/>
    <s v="1"/>
    <n v="0"/>
    <n v="0"/>
    <n v="0"/>
    <n v="0"/>
    <n v="0"/>
    <n v="0"/>
    <n v="2"/>
    <n v="100"/>
    <n v="2"/>
  </r>
  <r>
    <s v="UCkfOE4pCYbH-BLwo_75tmSA"/>
    <s v="UC59BfWXrQndBPmqKq4IgRZQ"/>
    <s v="128, 128, 128"/>
    <n v="3"/>
    <m/>
    <n v="40"/>
    <m/>
    <m/>
    <m/>
    <m/>
    <s v="No"/>
    <n v="22"/>
    <m/>
    <m/>
    <s v="Replied Comment"/>
    <x v="1"/>
    <s v="😂😂😂 , vraiment"/>
    <s v="UCkfOE4pCYbH-BLwo_75tmSA"/>
    <s v="Tania Pascale Yerebo"/>
    <s v="http://www.youtube.com/channel/UCkfOE4pCYbH-BLwo_75tmSA"/>
    <s v="UgzawAE3ne-c85uRHF94AaABAg"/>
    <s v="Ci9JYIJstPY"/>
    <s v="https://www.youtube.com/watch?v=Ci9JYIJstPY"/>
    <s v="none"/>
    <n v="1"/>
    <x v="18"/>
    <d v="2021-05-06T01:30:42.000"/>
    <m/>
    <m/>
    <s v=""/>
    <n v="1"/>
    <s v="9"/>
    <s v="9"/>
    <n v="0"/>
    <n v="0"/>
    <n v="1"/>
    <n v="100"/>
    <n v="0"/>
    <n v="0"/>
    <n v="0"/>
    <n v="0"/>
    <n v="1"/>
  </r>
  <r>
    <s v="UCbzcSwLyP4DYIxDbVaBQ6Hw"/>
    <s v="UC59BfWXrQndBPmqKq4IgRZQ"/>
    <s v="128, 128, 128"/>
    <n v="3"/>
    <m/>
    <n v="40"/>
    <m/>
    <m/>
    <m/>
    <m/>
    <s v="No"/>
    <n v="23"/>
    <m/>
    <m/>
    <s v="Replied Comment"/>
    <x v="1"/>
    <s v="😁😁😁😁"/>
    <s v="UCbzcSwLyP4DYIxDbVaBQ6Hw"/>
    <s v="Alexis Grovogui"/>
    <s v="http://www.youtube.com/channel/UCbzcSwLyP4DYIxDbVaBQ6Hw"/>
    <s v="UgzawAE3ne-c85uRHF94AaABAg"/>
    <s v="Ci9JYIJstPY"/>
    <s v="https://www.youtube.com/watch?v=Ci9JYIJstPY"/>
    <s v="none"/>
    <n v="0"/>
    <x v="19"/>
    <d v="2021-05-06T02:17:31.000"/>
    <m/>
    <m/>
    <s v=""/>
    <n v="1"/>
    <s v="9"/>
    <s v="9"/>
    <n v="0"/>
    <n v="0"/>
    <n v="0"/>
    <n v="0"/>
    <n v="0"/>
    <n v="0"/>
    <n v="0"/>
    <n v="0"/>
    <n v="0"/>
  </r>
  <r>
    <s v="UC59BfWXrQndBPmqKq4IgRZQ"/>
    <s v="UCrrFW5ckKRfBEOBxH3k9anQ"/>
    <s v="128, 128, 128"/>
    <n v="3"/>
    <m/>
    <n v="40"/>
    <m/>
    <m/>
    <m/>
    <m/>
    <s v="No"/>
    <n v="24"/>
    <m/>
    <m/>
    <s v="Commented Video"/>
    <x v="0"/>
    <s v="J&amp;#39;ai enfin regarder la vidéo de Chris yapi je peux dormir tranquille maintenant"/>
    <s v="UC59BfWXrQndBPmqKq4IgRZQ"/>
    <s v="Ismail Doumbia"/>
    <s v="http://www.youtube.com/channel/UC59BfWXrQndBPmqKq4IgRZQ"/>
    <m/>
    <s v="Ci9JYIJstPY"/>
    <s v="https://www.youtube.com/watch?v=Ci9JYIJstPY"/>
    <s v="none"/>
    <n v="29"/>
    <x v="20"/>
    <d v="2021-05-06T00:51:08.000"/>
    <m/>
    <m/>
    <s v=""/>
    <n v="1"/>
    <s v="9"/>
    <s v="1"/>
    <n v="1"/>
    <n v="6.666666666666667"/>
    <n v="1"/>
    <n v="6.666666666666667"/>
    <n v="0"/>
    <n v="0"/>
    <n v="14"/>
    <n v="93.33333333333333"/>
    <n v="15"/>
  </r>
  <r>
    <s v="UCx54gVMTbOXZqYU0btCl7Xg"/>
    <s v="UCrrFW5ckKRfBEOBxH3k9anQ"/>
    <s v="128, 128, 128"/>
    <n v="3"/>
    <m/>
    <n v="40"/>
    <m/>
    <m/>
    <m/>
    <m/>
    <s v="No"/>
    <n v="25"/>
    <m/>
    <m/>
    <s v="Commented Video"/>
    <x v="0"/>
    <s v="🤞"/>
    <s v="UCx54gVMTbOXZqYU0btCl7Xg"/>
    <s v="Angela-Klara VALTER"/>
    <s v="http://www.youtube.com/channel/UCx54gVMTbOXZqYU0btCl7Xg"/>
    <m/>
    <s v="Ci9JYIJstPY"/>
    <s v="https://www.youtube.com/watch?v=Ci9JYIJstPY"/>
    <s v="none"/>
    <n v="0"/>
    <x v="21"/>
    <d v="2021-05-06T00:51:22.000"/>
    <m/>
    <m/>
    <s v=""/>
    <n v="1"/>
    <s v="1"/>
    <s v="1"/>
    <n v="0"/>
    <n v="0"/>
    <n v="0"/>
    <n v="0"/>
    <n v="0"/>
    <n v="0"/>
    <n v="0"/>
    <n v="0"/>
    <n v="0"/>
  </r>
  <r>
    <s v="UC3uvWFMnLdPQ-YPYb1EUQRQ"/>
    <s v="UCMpKt3R83_bsj58AWV9Fm_g"/>
    <s v="128, 128, 128"/>
    <n v="3"/>
    <m/>
    <n v="40"/>
    <m/>
    <m/>
    <m/>
    <m/>
    <s v="No"/>
    <n v="26"/>
    <m/>
    <m/>
    <s v="Replied Comment"/>
    <x v="1"/>
    <s v="Tout le monde entier le sait que c&amp;#39;est le presi Laurent Gbagbo qui a gagné les élections présidentielles de 2010. Sauf les français fumistent kpakpato là !"/>
    <s v="UC3uvWFMnLdPQ-YPYb1EUQRQ"/>
    <s v="Solange OUEDRAOGO"/>
    <s v="http://www.youtube.com/channel/UC3uvWFMnLdPQ-YPYb1EUQRQ"/>
    <s v="UgzyVvRKa3eVpxSEjXx4AaABAg"/>
    <s v="Ci9JYIJstPY"/>
    <s v="https://www.youtube.com/watch?v=Ci9JYIJstPY"/>
    <s v="none"/>
    <n v="1"/>
    <x v="22"/>
    <d v="2021-05-06T08:35:34.000"/>
    <m/>
    <m/>
    <s v=""/>
    <n v="1"/>
    <s v="17"/>
    <s v="17"/>
    <n v="2"/>
    <n v="7.142857142857143"/>
    <n v="1"/>
    <n v="3.5714285714285716"/>
    <n v="0"/>
    <n v="0"/>
    <n v="26"/>
    <n v="92.85714285714286"/>
    <n v="28"/>
  </r>
  <r>
    <s v="UCMpKt3R83_bsj58AWV9Fm_g"/>
    <s v="UCrrFW5ckKRfBEOBxH3k9anQ"/>
    <s v="171, 85, 85"/>
    <n v="3"/>
    <m/>
    <n v="40"/>
    <m/>
    <m/>
    <m/>
    <m/>
    <s v="No"/>
    <n v="27"/>
    <m/>
    <m/>
    <s v="Commented Video"/>
    <x v="0"/>
    <s v="Enfin 😅😅"/>
    <s v="UCMpKt3R83_bsj58AWV9Fm_g"/>
    <s v="Oli Le beni"/>
    <s v="http://www.youtube.com/channel/UCMpKt3R83_bsj58AWV9Fm_g"/>
    <m/>
    <s v="Ci9JYIJstPY"/>
    <s v="https://www.youtube.com/watch?v=Ci9JYIJstPY"/>
    <s v="none"/>
    <n v="1"/>
    <x v="23"/>
    <d v="2021-05-06T00:46:51.000"/>
    <m/>
    <m/>
    <s v=""/>
    <n v="2"/>
    <s v="17"/>
    <s v="1"/>
    <n v="0"/>
    <n v="0"/>
    <n v="0"/>
    <n v="0"/>
    <n v="0"/>
    <n v="0"/>
    <n v="1"/>
    <n v="100"/>
    <n v="1"/>
  </r>
  <r>
    <s v="UCMpKt3R83_bsj58AWV9Fm_g"/>
    <s v="UCMpKt3R83_bsj58AWV9Fm_g"/>
    <s v="128, 128, 128"/>
    <n v="3"/>
    <m/>
    <n v="40"/>
    <m/>
    <m/>
    <m/>
    <m/>
    <s v="No"/>
    <n v="28"/>
    <m/>
    <m/>
    <s v="Replied Comment"/>
    <x v="1"/>
    <s v="@Solange OUEDRAOGO vraiment"/>
    <s v="UCMpKt3R83_bsj58AWV9Fm_g"/>
    <s v="Oli Le beni"/>
    <s v="http://www.youtube.com/channel/UCMpKt3R83_bsj58AWV9Fm_g"/>
    <s v="UgzyVvRKa3eVpxSEjXx4AaABAg"/>
    <s v="Ci9JYIJstPY"/>
    <s v="https://www.youtube.com/watch?v=Ci9JYIJstPY"/>
    <s v="none"/>
    <n v="0"/>
    <x v="24"/>
    <d v="2021-05-06T08:45:16.000"/>
    <m/>
    <m/>
    <s v=""/>
    <n v="1"/>
    <s v="17"/>
    <s v="17"/>
    <n v="0"/>
    <n v="0"/>
    <n v="1"/>
    <n v="33.333333333333336"/>
    <n v="0"/>
    <n v="0"/>
    <n v="2"/>
    <n v="66.66666666666667"/>
    <n v="3"/>
  </r>
  <r>
    <s v="UCMpKt3R83_bsj58AWV9Fm_g"/>
    <s v="UCrrFW5ckKRfBEOBxH3k9anQ"/>
    <s v="171, 85, 85"/>
    <n v="3"/>
    <m/>
    <n v="40"/>
    <m/>
    <m/>
    <m/>
    <m/>
    <s v="No"/>
    <n v="29"/>
    <m/>
    <m/>
    <s v="Commented Video"/>
    <x v="0"/>
    <s v="On est au courant qu Ado n a jamais gagné les,élections 2010"/>
    <s v="UCMpKt3R83_bsj58AWV9Fm_g"/>
    <s v="Oli Le beni"/>
    <s v="http://www.youtube.com/channel/UCMpKt3R83_bsj58AWV9Fm_g"/>
    <m/>
    <s v="Ci9JYIJstPY"/>
    <s v="https://www.youtube.com/watch?v=Ci9JYIJstPY"/>
    <s v="none"/>
    <n v="10"/>
    <x v="25"/>
    <d v="2021-05-06T00:53:35.000"/>
    <m/>
    <m/>
    <s v=""/>
    <n v="2"/>
    <s v="17"/>
    <s v="1"/>
    <n v="2"/>
    <n v="15.384615384615385"/>
    <n v="0"/>
    <n v="0"/>
    <n v="0"/>
    <n v="0"/>
    <n v="11"/>
    <n v="84.61538461538461"/>
    <n v="13"/>
  </r>
  <r>
    <s v="UCb_HJ0MPee9-CKKd5yRD7aw"/>
    <s v="UCrrFW5ckKRfBEOBxH3k9anQ"/>
    <s v="128, 128, 128"/>
    <n v="3"/>
    <m/>
    <n v="40"/>
    <m/>
    <m/>
    <m/>
    <m/>
    <s v="No"/>
    <n v="30"/>
    <m/>
    <m/>
    <s v="Commented Video"/>
    <x v="0"/>
    <s v="respect à vous ..."/>
    <s v="UCb_HJ0MPee9-CKKd5yRD7aw"/>
    <s v="Mossah Banissi"/>
    <s v="http://www.youtube.com/channel/UCb_HJ0MPee9-CKKd5yRD7aw"/>
    <m/>
    <s v="Ci9JYIJstPY"/>
    <s v="https://www.youtube.com/watch?v=Ci9JYIJstPY"/>
    <s v="none"/>
    <n v="2"/>
    <x v="26"/>
    <d v="2021-05-06T00:54:17.000"/>
    <m/>
    <m/>
    <s v=""/>
    <n v="1"/>
    <s v="1"/>
    <s v="1"/>
    <n v="1"/>
    <n v="33.333333333333336"/>
    <n v="0"/>
    <n v="0"/>
    <n v="0"/>
    <n v="0"/>
    <n v="2"/>
    <n v="66.66666666666667"/>
    <n v="3"/>
  </r>
  <r>
    <s v="UCrRHeAGbtjROfUpoGxJKkLA"/>
    <s v="UCrrFW5ckKRfBEOBxH3k9anQ"/>
    <s v="128, 128, 128"/>
    <n v="3"/>
    <m/>
    <n v="40"/>
    <m/>
    <m/>
    <m/>
    <m/>
    <s v="No"/>
    <n v="31"/>
    <m/>
    <m/>
    <s v="Commented Video"/>
    <x v="0"/>
    <s v="CY en ce 5 Mai tu n&amp;#39;as pas souhaite joyeux anniversaire au president Bedie notre patriarche...ahhh faut te rattraper ein..meme l&amp;#39;humoriste Papitou l&amp;#39;a fait 😊"/>
    <s v="UCrRHeAGbtjROfUpoGxJKkLA"/>
    <s v="ineecmiss"/>
    <s v="http://www.youtube.com/channel/UCrRHeAGbtjROfUpoGxJKkLA"/>
    <m/>
    <s v="Ci9JYIJstPY"/>
    <s v="https://www.youtube.com/watch?v=Ci9JYIJstPY"/>
    <s v="none"/>
    <n v="3"/>
    <x v="27"/>
    <d v="2021-05-06T00:54:22.000"/>
    <m/>
    <m/>
    <s v=""/>
    <n v="1"/>
    <s v="1"/>
    <s v="1"/>
    <n v="1"/>
    <n v="3.125"/>
    <n v="1"/>
    <n v="3.125"/>
    <n v="0"/>
    <n v="0"/>
    <n v="31"/>
    <n v="96.875"/>
    <n v="32"/>
  </r>
  <r>
    <s v="UCFtZFrT1qchibJXIm7Lg4yQ"/>
    <s v="UCrrFW5ckKRfBEOBxH3k9anQ"/>
    <s v="128, 128, 128"/>
    <n v="3"/>
    <m/>
    <n v="40"/>
    <m/>
    <m/>
    <m/>
    <m/>
    <s v="No"/>
    <n v="32"/>
    <m/>
    <m/>
    <s v="Commented Video"/>
    <x v="0"/>
    <s v="Toujours une très bonne analyse"/>
    <s v="UCFtZFrT1qchibJXIm7Lg4yQ"/>
    <s v="Claude Honoré"/>
    <s v="http://www.youtube.com/channel/UCFtZFrT1qchibJXIm7Lg4yQ"/>
    <m/>
    <s v="Ci9JYIJstPY"/>
    <s v="https://www.youtube.com/watch?v=Ci9JYIJstPY"/>
    <s v="none"/>
    <n v="3"/>
    <x v="28"/>
    <d v="2021-05-06T00:54:29.000"/>
    <m/>
    <m/>
    <s v=""/>
    <n v="1"/>
    <s v="1"/>
    <s v="1"/>
    <n v="2"/>
    <n v="40"/>
    <n v="2"/>
    <n v="40"/>
    <n v="0"/>
    <n v="0"/>
    <n v="3"/>
    <n v="60"/>
    <n v="5"/>
  </r>
  <r>
    <s v="UCz12X8InPaYO_uCl0d6EtUA"/>
    <s v="UCrrFW5ckKRfBEOBxH3k9anQ"/>
    <s v="128, 128, 128"/>
    <n v="3"/>
    <m/>
    <n v="40"/>
    <m/>
    <m/>
    <m/>
    <m/>
    <s v="No"/>
    <n v="33"/>
    <m/>
    <m/>
    <s v="Commented Video"/>
    <x v="0"/>
    <s v="Sauront-jamais"/>
    <s v="UCz12X8InPaYO_uCl0d6EtUA"/>
    <s v="Fatbé mamer Talakaena"/>
    <s v="http://www.youtube.com/channel/UCz12X8InPaYO_uCl0d6EtUA"/>
    <m/>
    <s v="Ci9JYIJstPY"/>
    <s v="https://www.youtube.com/watch?v=Ci9JYIJstPY"/>
    <s v="none"/>
    <n v="1"/>
    <x v="29"/>
    <d v="2021-05-06T00:54:41.000"/>
    <m/>
    <m/>
    <s v=""/>
    <n v="1"/>
    <s v="2"/>
    <s v="1"/>
    <n v="0"/>
    <n v="0"/>
    <n v="0"/>
    <n v="0"/>
    <n v="0"/>
    <n v="0"/>
    <n v="2"/>
    <n v="100"/>
    <n v="2"/>
  </r>
  <r>
    <s v="UCnoEi3PvX_Cy_sP37Sefn0w"/>
    <s v="UC553r5zKT7KkG7bdWAt3XuA"/>
    <s v="128, 128, 128"/>
    <n v="3"/>
    <m/>
    <n v="40"/>
    <m/>
    <m/>
    <m/>
    <m/>
    <s v="No"/>
    <n v="34"/>
    <m/>
    <m/>
    <s v="Replied Comment"/>
    <x v="1"/>
    <s v="Tout a fait. Dieu nous donne la bonne compréhension 🙏"/>
    <s v="UCnoEi3PvX_Cy_sP37Sefn0w"/>
    <s v="Kwt Kwt"/>
    <s v="http://www.youtube.com/channel/UCnoEi3PvX_Cy_sP37Sefn0w"/>
    <s v="UgxKOCdGPBQR_jwEuXp4AaABAg"/>
    <s v="Ci9JYIJstPY"/>
    <s v="https://www.youtube.com/watch?v=Ci9JYIJstPY"/>
    <s v="none"/>
    <n v="2"/>
    <x v="30"/>
    <d v="2021-05-06T15:36:06.000"/>
    <m/>
    <m/>
    <s v=""/>
    <n v="1"/>
    <s v="8"/>
    <s v="8"/>
    <n v="1"/>
    <n v="11.11111111111111"/>
    <n v="1"/>
    <n v="11.11111111111111"/>
    <n v="0"/>
    <n v="0"/>
    <n v="8"/>
    <n v="88.88888888888889"/>
    <n v="9"/>
  </r>
  <r>
    <s v="UCBBQVtSH7RfBLgLiLplXdsw"/>
    <s v="UC553r5zKT7KkG7bdWAt3XuA"/>
    <s v="128, 128, 128"/>
    <n v="3"/>
    <m/>
    <n v="40"/>
    <m/>
    <m/>
    <m/>
    <m/>
    <s v="No"/>
    <n v="35"/>
    <m/>
    <m/>
    <s v="Replied Comment"/>
    <x v="1"/>
    <s v="Vraiment , de nos jours on a que des amitiés d&amp;#39;exploitation"/>
    <s v="UCBBQVtSH7RfBLgLiLplXdsw"/>
    <s v="Arsène Damiba"/>
    <s v="http://www.youtube.com/channel/UCBBQVtSH7RfBLgLiLplXdsw"/>
    <s v="UgxKOCdGPBQR_jwEuXp4AaABAg"/>
    <s v="Ci9JYIJstPY"/>
    <s v="https://www.youtube.com/watch?v=Ci9JYIJstPY"/>
    <s v="none"/>
    <n v="1"/>
    <x v="31"/>
    <d v="2021-05-06T22:45:03.000"/>
    <m/>
    <m/>
    <s v=""/>
    <n v="1"/>
    <s v="8"/>
    <s v="8"/>
    <n v="0"/>
    <n v="0"/>
    <n v="2"/>
    <n v="16.666666666666668"/>
    <n v="0"/>
    <n v="0"/>
    <n v="10"/>
    <n v="83.33333333333333"/>
    <n v="12"/>
  </r>
  <r>
    <s v="UC553r5zKT7KkG7bdWAt3XuA"/>
    <s v="UCrrFW5ckKRfBEOBxH3k9anQ"/>
    <s v="128, 128, 128"/>
    <n v="3"/>
    <m/>
    <n v="40"/>
    <m/>
    <m/>
    <m/>
    <m/>
    <s v="No"/>
    <n v="36"/>
    <m/>
    <m/>
    <s v="Commented Video"/>
    <x v="0"/>
    <s v="De nos jours, une vraie amitié de l&amp;#39;époque, devient de plus en plus rare, chacun calcul ses intérêts pour influencer son image personnelle 🥴😏🙆🏿‍♂️"/>
    <s v="UC553r5zKT7KkG7bdWAt3XuA"/>
    <s v="Ognok"/>
    <s v="http://www.youtube.com/channel/UC553r5zKT7KkG7bdWAt3XuA"/>
    <m/>
    <s v="Ci9JYIJstPY"/>
    <s v="https://www.youtube.com/watch?v=Ci9JYIJstPY"/>
    <s v="none"/>
    <n v="34"/>
    <x v="32"/>
    <d v="2021-05-06T00:54:42.000"/>
    <m/>
    <m/>
    <s v=""/>
    <n v="1"/>
    <s v="8"/>
    <s v="1"/>
    <n v="1"/>
    <n v="4"/>
    <n v="3"/>
    <n v="12"/>
    <n v="0"/>
    <n v="0"/>
    <n v="22"/>
    <n v="88"/>
    <n v="25"/>
  </r>
  <r>
    <s v="UC9lCFBbUwe9g39h0aw0XLNQ"/>
    <s v="UCrrFW5ckKRfBEOBxH3k9anQ"/>
    <s v="128, 128, 128"/>
    <n v="3"/>
    <m/>
    <n v="40"/>
    <m/>
    <m/>
    <m/>
    <m/>
    <s v="No"/>
    <n v="37"/>
    <m/>
    <m/>
    <s v="Commented Video"/>
    <x v="0"/>
    <s v="très cool"/>
    <s v="UC9lCFBbUwe9g39h0aw0XLNQ"/>
    <s v="Abobolais Kadjo"/>
    <s v="http://www.youtube.com/channel/UC9lCFBbUwe9g39h0aw0XLNQ"/>
    <m/>
    <s v="Ci9JYIJstPY"/>
    <s v="https://www.youtube.com/watch?v=Ci9JYIJstPY"/>
    <s v="none"/>
    <n v="0"/>
    <x v="32"/>
    <d v="2021-05-06T00:54:42.000"/>
    <m/>
    <m/>
    <s v=""/>
    <n v="1"/>
    <s v="1"/>
    <s v="1"/>
    <n v="1"/>
    <n v="50"/>
    <n v="1"/>
    <n v="50"/>
    <n v="0"/>
    <n v="0"/>
    <n v="1"/>
    <n v="50"/>
    <n v="2"/>
  </r>
  <r>
    <s v="UC14Bw1lEduGx4Ier_6EFzFA"/>
    <s v="UCrrFW5ckKRfBEOBxH3k9anQ"/>
    <s v="128, 128, 128"/>
    <n v="3"/>
    <m/>
    <n v="40"/>
    <m/>
    <m/>
    <m/>
    <m/>
    <s v="No"/>
    <n v="38"/>
    <m/>
    <m/>
    <s v="Commented Video"/>
    <x v="0"/>
    <s v="Vraiment merci beaucoup Chris yapi pour tout ces informations"/>
    <s v="UC14Bw1lEduGx4Ier_6EFzFA"/>
    <s v="Wizy Fredi71"/>
    <s v="http://www.youtube.com/channel/UC14Bw1lEduGx4Ier_6EFzFA"/>
    <m/>
    <s v="Ci9JYIJstPY"/>
    <s v="https://www.youtube.com/watch?v=Ci9JYIJstPY"/>
    <s v="none"/>
    <n v="5"/>
    <x v="33"/>
    <d v="2021-05-06T00:56:07.000"/>
    <m/>
    <m/>
    <s v=""/>
    <n v="1"/>
    <s v="1"/>
    <s v="1"/>
    <n v="1"/>
    <n v="11.11111111111111"/>
    <n v="1"/>
    <n v="11.11111111111111"/>
    <n v="0"/>
    <n v="0"/>
    <n v="7"/>
    <n v="77.77777777777777"/>
    <n v="9"/>
  </r>
  <r>
    <s v="UCpvC0AYTJDYzRx8Fo0Sjwng"/>
    <s v="UCrrFW5ckKRfBEOBxH3k9anQ"/>
    <s v="128, 128, 128"/>
    <n v="3"/>
    <m/>
    <n v="40"/>
    <m/>
    <m/>
    <m/>
    <m/>
    <s v="No"/>
    <n v="39"/>
    <m/>
    <m/>
    <s v="Commented Video"/>
    <x v="0"/>
    <s v="Sinon était encore au temps de l&amp;#39;esclavage Alassane Ouattara nous aurait tous vendu. Tout serait complet"/>
    <s v="UCpvC0AYTJDYzRx8Fo0Sjwng"/>
    <s v="Nick De paris"/>
    <s v="http://www.youtube.com/channel/UCpvC0AYTJDYzRx8Fo0Sjwng"/>
    <m/>
    <s v="Ci9JYIJstPY"/>
    <s v="https://www.youtube.com/watch?v=Ci9JYIJstPY"/>
    <s v="none"/>
    <n v="12"/>
    <x v="34"/>
    <d v="2021-05-06T01:00:24.000"/>
    <m/>
    <m/>
    <s v=""/>
    <n v="1"/>
    <s v="1"/>
    <s v="1"/>
    <n v="1"/>
    <n v="5.555555555555555"/>
    <n v="2"/>
    <n v="11.11111111111111"/>
    <n v="0"/>
    <n v="0"/>
    <n v="15"/>
    <n v="83.33333333333333"/>
    <n v="18"/>
  </r>
  <r>
    <s v="UCBZhB7BmkDyoSkITH78tBJg"/>
    <s v="UCrrFW5ckKRfBEOBxH3k9anQ"/>
    <s v="128, 128, 128"/>
    <n v="3"/>
    <m/>
    <n v="40"/>
    <m/>
    <m/>
    <m/>
    <m/>
    <s v="No"/>
    <n v="40"/>
    <m/>
    <m/>
    <s v="Commented Video"/>
    <x v="0"/>
    <s v="Cool"/>
    <s v="UCBZhB7BmkDyoSkITH78tBJg"/>
    <s v="Ange parker"/>
    <s v="http://www.youtube.com/channel/UCBZhB7BmkDyoSkITH78tBJg"/>
    <m/>
    <s v="Ci9JYIJstPY"/>
    <s v="https://www.youtube.com/watch?v=Ci9JYIJstPY"/>
    <s v="none"/>
    <n v="1"/>
    <x v="35"/>
    <d v="2021-05-06T01:01:18.000"/>
    <m/>
    <m/>
    <s v=""/>
    <n v="1"/>
    <s v="1"/>
    <s v="1"/>
    <n v="1"/>
    <n v="100"/>
    <n v="1"/>
    <n v="100"/>
    <n v="0"/>
    <n v="0"/>
    <n v="0"/>
    <n v="0"/>
    <n v="1"/>
  </r>
  <r>
    <s v="UCDnbk1vF_Xsm-Aez4PiQJmg"/>
    <s v="UCBi2S797df91VqaRzGfntUA"/>
    <s v="171, 85, 85"/>
    <n v="3"/>
    <m/>
    <n v="40"/>
    <m/>
    <m/>
    <m/>
    <m/>
    <s v="No"/>
    <n v="41"/>
    <m/>
    <m/>
    <s v="Replied Comment"/>
    <x v="1"/>
    <s v="Amen Amen Amen ce que Dieu  f est Bon  sont &amp;#39;&amp;#39;aux abois&amp;#39;&amp;#39; .."/>
    <s v="UCDnbk1vF_Xsm-Aez4PiQJmg"/>
    <s v="Eulalie Mainge"/>
    <s v="http://www.youtube.com/channel/UCDnbk1vF_Xsm-Aez4PiQJmg"/>
    <s v="UgzlXNt0ZaUdEbMHWFp4AaABAg"/>
    <s v="Ci9JYIJstPY"/>
    <s v="https://www.youtube.com/watch?v=Ci9JYIJstPY"/>
    <s v="none"/>
    <n v="2"/>
    <x v="36"/>
    <d v="2021-05-06T01:40:58.000"/>
    <m/>
    <m/>
    <s v=""/>
    <n v="2"/>
    <s v="16"/>
    <s v="16"/>
    <n v="1"/>
    <n v="6.25"/>
    <n v="0"/>
    <n v="0"/>
    <n v="0"/>
    <n v="0"/>
    <n v="15"/>
    <n v="93.75"/>
    <n v="16"/>
  </r>
  <r>
    <s v="UCDnbk1vF_Xsm-Aez4PiQJmg"/>
    <s v="UCBi2S797df91VqaRzGfntUA"/>
    <s v="171, 85, 85"/>
    <n v="3"/>
    <m/>
    <n v="40"/>
    <m/>
    <m/>
    <m/>
    <m/>
    <s v="No"/>
    <n v="42"/>
    <m/>
    <m/>
    <s v="Replied Comment"/>
    <x v="1"/>
    <s v="Merci !"/>
    <s v="UCDnbk1vF_Xsm-Aez4PiQJmg"/>
    <s v="Eulalie Mainge"/>
    <s v="http://www.youtube.com/channel/UCDnbk1vF_Xsm-Aez4PiQJmg"/>
    <s v="UgzlXNt0ZaUdEbMHWFp4AaABAg"/>
    <s v="Ci9JYIJstPY"/>
    <s v="https://www.youtube.com/watch?v=Ci9JYIJstPY"/>
    <s v="none"/>
    <n v="3"/>
    <x v="37"/>
    <d v="2021-05-06T01:41:46.000"/>
    <m/>
    <m/>
    <s v=""/>
    <n v="2"/>
    <s v="16"/>
    <s v="16"/>
    <n v="1"/>
    <n v="100"/>
    <n v="0"/>
    <n v="0"/>
    <n v="0"/>
    <n v="0"/>
    <n v="0"/>
    <n v="0"/>
    <n v="1"/>
  </r>
  <r>
    <s v="UCBi2S797df91VqaRzGfntUA"/>
    <s v="UCrrFW5ckKRfBEOBxH3k9anQ"/>
    <s v="128, 128, 128"/>
    <n v="3"/>
    <m/>
    <n v="40"/>
    <m/>
    <m/>
    <m/>
    <m/>
    <s v="No"/>
    <n v="43"/>
    <m/>
    <m/>
    <s v="Commented Video"/>
    <x v="0"/>
    <s v="Dieu nous garde tous et veille aussi dur la  Côte d’Ivoire. Bonne nuit à tous les frères et sœurs épris de justice t de paix. Que la réconciliation des fils de ce pays  face parti de nos rêves durant cette nuit. &lt;br /&gt;Bonne nuit à tous et à demain si Dieu le veut. 🌙💤💤💤💤💤💤💤🌙💤💤💤💤💤💤"/>
    <s v="UCBi2S797df91VqaRzGfntUA"/>
    <s v="Gola Mi"/>
    <s v="http://www.youtube.com/channel/UCBi2S797df91VqaRzGfntUA"/>
    <m/>
    <s v="Ci9JYIJstPY"/>
    <s v="https://www.youtube.com/watch?v=Ci9JYIJstPY"/>
    <s v="none"/>
    <n v="8"/>
    <x v="38"/>
    <d v="2021-05-06T01:01:35.000"/>
    <m/>
    <m/>
    <s v=""/>
    <n v="1"/>
    <s v="16"/>
    <s v="1"/>
    <n v="6"/>
    <n v="11.11111111111111"/>
    <n v="6"/>
    <n v="11.11111111111111"/>
    <n v="0"/>
    <n v="0"/>
    <n v="47"/>
    <n v="87.03703703703704"/>
    <n v="54"/>
  </r>
  <r>
    <s v="UCFi5-VNJF_wWECWQug1R2rg"/>
    <s v="UCrrFW5ckKRfBEOBxH3k9anQ"/>
    <s v="128, 128, 128"/>
    <n v="3"/>
    <m/>
    <n v="40"/>
    <m/>
    <m/>
    <m/>
    <m/>
    <s v="No"/>
    <n v="44"/>
    <m/>
    <m/>
    <s v="Commented Video"/>
    <x v="0"/>
    <s v="Koh LA FIOLE À GAUCHE TU M&amp;#39;AS TUÉEEEEEE 😂😂😂😂😂😂😂WOOOOOBOUUHET LES JARRETS. ADIA MERCI. ON REGARDE ET ON EST ASSI SUR NOS TABOURETS ON NE PRÊTE PAS TABOURET À QUELQU&amp;#39;UN DÉS 🤔🤔🤔👀👀👀😞😞😞😇😇😇😁😁😅😅🤣🤣🤣"/>
    <s v="UCFi5-VNJF_wWECWQug1R2rg"/>
    <s v="Angela Bosso"/>
    <s v="http://www.youtube.com/channel/UCFi5-VNJF_wWECWQug1R2rg"/>
    <m/>
    <s v="Ci9JYIJstPY"/>
    <s v="https://www.youtube.com/watch?v=Ci9JYIJstPY"/>
    <s v="none"/>
    <n v="0"/>
    <x v="39"/>
    <d v="2021-05-06T01:04:49.000"/>
    <m/>
    <m/>
    <s v=""/>
    <n v="1"/>
    <s v="1"/>
    <s v="1"/>
    <n v="2"/>
    <n v="5.882352941176471"/>
    <n v="1"/>
    <n v="2.9411764705882355"/>
    <n v="0"/>
    <n v="0"/>
    <n v="31"/>
    <n v="91.17647058823529"/>
    <n v="34"/>
  </r>
  <r>
    <s v="UCmyT5zEwZIom3D-P8z41MaA"/>
    <s v="UCrrFW5ckKRfBEOBxH3k9anQ"/>
    <s v="128, 128, 128"/>
    <n v="3"/>
    <m/>
    <n v="40"/>
    <m/>
    <m/>
    <m/>
    <m/>
    <s v="No"/>
    <n v="45"/>
    <m/>
    <m/>
    <s v="Commented Video"/>
    <x v="0"/>
    <s v="Merci Chris yapi."/>
    <s v="UCmyT5zEwZIom3D-P8z41MaA"/>
    <s v="Ibrahim Mohamed Keita"/>
    <s v="http://www.youtube.com/channel/UCmyT5zEwZIom3D-P8z41MaA"/>
    <m/>
    <s v="Ci9JYIJstPY"/>
    <s v="https://www.youtube.com/watch?v=Ci9JYIJstPY"/>
    <s v="none"/>
    <n v="1"/>
    <x v="40"/>
    <d v="2021-05-06T01:05:31.000"/>
    <m/>
    <m/>
    <s v=""/>
    <n v="1"/>
    <s v="1"/>
    <s v="1"/>
    <n v="1"/>
    <n v="33.333333333333336"/>
    <n v="0"/>
    <n v="0"/>
    <n v="0"/>
    <n v="0"/>
    <n v="2"/>
    <n v="66.66666666666667"/>
    <n v="3"/>
  </r>
  <r>
    <s v="UCC1EVCiajteJsViVrJzvf9g"/>
    <s v="UCrrFW5ckKRfBEOBxH3k9anQ"/>
    <s v="128, 128, 128"/>
    <n v="3"/>
    <m/>
    <n v="40"/>
    <m/>
    <m/>
    <m/>
    <m/>
    <s v="No"/>
    <n v="46"/>
    <m/>
    <m/>
    <s v="Commented Video"/>
    <x v="0"/>
    <s v="l, hetre humain est tres mechant  damana la fiole trenne a abidjan  fait entention please 🙏🙏🙏"/>
    <s v="UCC1EVCiajteJsViVrJzvf9g"/>
    <s v="florence robinson"/>
    <s v="http://www.youtube.com/channel/UCC1EVCiajteJsViVrJzvf9g"/>
    <m/>
    <s v="Ci9JYIJstPY"/>
    <s v="https://www.youtube.com/watch?v=Ci9JYIJstPY"/>
    <s v="none"/>
    <n v="0"/>
    <x v="41"/>
    <d v="2021-05-06T01:08:22.000"/>
    <m/>
    <m/>
    <s v=""/>
    <n v="1"/>
    <s v="1"/>
    <s v="1"/>
    <n v="1"/>
    <n v="6.666666666666667"/>
    <n v="0"/>
    <n v="0"/>
    <n v="0"/>
    <n v="0"/>
    <n v="14"/>
    <n v="93.33333333333333"/>
    <n v="15"/>
  </r>
  <r>
    <s v="UC0dGMGoFHPbm6UmaUd8U4ZA"/>
    <s v="UCrrFW5ckKRfBEOBxH3k9anQ"/>
    <s v="128, 128, 128"/>
    <n v="3"/>
    <m/>
    <n v="40"/>
    <m/>
    <m/>
    <m/>
    <m/>
    <s v="No"/>
    <n v="47"/>
    <m/>
    <m/>
    <s v="Commented Video"/>
    <x v="0"/>
    <s v="Prado est au bout du tunnel, la chute est totalement proche, longue vie qui vivra verra"/>
    <s v="UC0dGMGoFHPbm6UmaUd8U4ZA"/>
    <s v="Mohamed Coulibaly"/>
    <s v="http://www.youtube.com/channel/UC0dGMGoFHPbm6UmaUd8U4ZA"/>
    <m/>
    <s v="Ci9JYIJstPY"/>
    <s v="https://www.youtube.com/watch?v=Ci9JYIJstPY"/>
    <s v="none"/>
    <n v="25"/>
    <x v="42"/>
    <d v="2021-05-06T01:08:28.000"/>
    <m/>
    <m/>
    <s v=""/>
    <n v="1"/>
    <s v="1"/>
    <s v="1"/>
    <n v="0"/>
    <n v="0"/>
    <n v="4"/>
    <n v="25"/>
    <n v="0"/>
    <n v="0"/>
    <n v="12"/>
    <n v="75"/>
    <n v="16"/>
  </r>
  <r>
    <s v="UCU2yAsII27kZBZuIPozMZCQ"/>
    <s v="UC-EiEjJHOpqaGvcT8f0pUIQ"/>
    <s v="128, 128, 128"/>
    <n v="3"/>
    <m/>
    <n v="40"/>
    <m/>
    <m/>
    <m/>
    <m/>
    <s v="No"/>
    <n v="48"/>
    <m/>
    <m/>
    <s v="Replied Comment"/>
    <x v="1"/>
    <s v="Je le crois aussi 💪💪💪🙏🙏🙏"/>
    <s v="UCU2yAsII27kZBZuIPozMZCQ"/>
    <s v="Sarah Mercier"/>
    <s v="http://www.youtube.com/channel/UCU2yAsII27kZBZuIPozMZCQ"/>
    <s v="UgxYXE_-Hv98cYZwrj54AaABAg"/>
    <s v="Ci9JYIJstPY"/>
    <s v="https://www.youtube.com/watch?v=Ci9JYIJstPY"/>
    <s v="none"/>
    <n v="1"/>
    <x v="43"/>
    <d v="2021-05-06T08:59:20.000"/>
    <m/>
    <m/>
    <s v=""/>
    <n v="1"/>
    <s v="4"/>
    <s v="4"/>
    <n v="0"/>
    <n v="0"/>
    <n v="0"/>
    <n v="0"/>
    <n v="0"/>
    <n v="0"/>
    <n v="4"/>
    <n v="100"/>
    <n v="4"/>
  </r>
  <r>
    <s v="UCa-c9vgdSoHvqOCFptOF0pw"/>
    <s v="UC-EiEjJHOpqaGvcT8f0pUIQ"/>
    <s v="128, 128, 128"/>
    <n v="3"/>
    <m/>
    <n v="40"/>
    <m/>
    <m/>
    <m/>
    <m/>
    <s v="No"/>
    <n v="49"/>
    <m/>
    <m/>
    <s v="Replied Comment"/>
    <x v="1"/>
    <s v="un vent nouveau tout le monde en a marre et maintenant il ya le retour de vrai leader qui vont incarner ca et mettre fin a cette imposture&lt;br /&gt;juste une question de temps"/>
    <s v="UCa-c9vgdSoHvqOCFptOF0pw"/>
    <s v="digbe gildas"/>
    <s v="http://www.youtube.com/channel/UCa-c9vgdSoHvqOCFptOF0pw"/>
    <s v="UgxYXE_-Hv98cYZwrj54AaABAg"/>
    <s v="Ci9JYIJstPY"/>
    <s v="https://www.youtube.com/watch?v=Ci9JYIJstPY"/>
    <s v="none"/>
    <n v="1"/>
    <x v="44"/>
    <d v="2021-05-06T11:45:03.000"/>
    <m/>
    <m/>
    <s v=""/>
    <n v="1"/>
    <s v="4"/>
    <s v="4"/>
    <n v="3"/>
    <n v="8.823529411764707"/>
    <n v="5"/>
    <n v="14.705882352941176"/>
    <n v="0"/>
    <n v="0"/>
    <n v="28"/>
    <n v="82.3529411764706"/>
    <n v="34"/>
  </r>
  <r>
    <s v="UC-EiEjJHOpqaGvcT8f0pUIQ"/>
    <s v="UCrrFW5ckKRfBEOBxH3k9anQ"/>
    <s v="128, 128, 128"/>
    <n v="3"/>
    <m/>
    <n v="40"/>
    <m/>
    <m/>
    <m/>
    <m/>
    <s v="No"/>
    <n v="50"/>
    <m/>
    <m/>
    <s v="Commented Video"/>
    <x v="0"/>
    <s v="Les choses viendront au fur et à mesure, quelque chose naîtra"/>
    <s v="UC-EiEjJHOpqaGvcT8f0pUIQ"/>
    <s v="Kanga Denis KOUADIO"/>
    <s v="http://www.youtube.com/channel/UC-EiEjJHOpqaGvcT8f0pUIQ"/>
    <m/>
    <s v="Ci9JYIJstPY"/>
    <s v="https://www.youtube.com/watch?v=Ci9JYIJstPY"/>
    <s v="none"/>
    <n v="13"/>
    <x v="45"/>
    <d v="2021-05-06T01:09:57.000"/>
    <m/>
    <m/>
    <s v=""/>
    <n v="1"/>
    <s v="4"/>
    <s v="1"/>
    <n v="0"/>
    <n v="0"/>
    <n v="0"/>
    <n v="0"/>
    <n v="0"/>
    <n v="0"/>
    <n v="11"/>
    <n v="100"/>
    <n v="11"/>
  </r>
  <r>
    <s v="UClanhoQVUQAXPY1ibUnRU1w"/>
    <s v="UCqaRNBLGkTej2D0R7550KNA"/>
    <s v="128, 128, 128"/>
    <n v="3"/>
    <m/>
    <n v="40"/>
    <m/>
    <m/>
    <m/>
    <m/>
    <s v="No"/>
    <n v="51"/>
    <m/>
    <m/>
    <s v="Replied Comment"/>
    <x v="1"/>
    <s v="Pas un peulh typiquement parler comme diallo ,Diakité, Sidibé et sangare ou peulh du fouta Toro"/>
    <s v="UClanhoQVUQAXPY1ibUnRU1w"/>
    <s v="Massa Massa"/>
    <s v="http://www.youtube.com/channel/UClanhoQVUQAXPY1ibUnRU1w"/>
    <s v="Ugx-ib1auNzfh6sQsPZ4AaABAg"/>
    <s v="Ci9JYIJstPY"/>
    <s v="https://www.youtube.com/watch?v=Ci9JYIJstPY"/>
    <s v="none"/>
    <n v="0"/>
    <x v="46"/>
    <d v="2021-05-06T01:27:52.000"/>
    <m/>
    <m/>
    <s v=""/>
    <n v="1"/>
    <s v="2"/>
    <s v="2"/>
    <n v="1"/>
    <n v="6.25"/>
    <n v="1"/>
    <n v="6.25"/>
    <n v="0"/>
    <n v="0"/>
    <n v="15"/>
    <n v="93.75"/>
    <n v="16"/>
  </r>
  <r>
    <s v="UCgnW8W4825dIsXARVEjRtNQ"/>
    <s v="UCqaRNBLGkTej2D0R7550KNA"/>
    <s v="128, 128, 128"/>
    <n v="3"/>
    <m/>
    <n v="40"/>
    <m/>
    <m/>
    <m/>
    <m/>
    <s v="No"/>
    <n v="52"/>
    <m/>
    <m/>
    <s v="Replied Comment"/>
    <x v="1"/>
    <s v="Thomas Sankara était aussi Peulh"/>
    <s v="UCgnW8W4825dIsXARVEjRtNQ"/>
    <s v="S. Tannon"/>
    <s v="http://www.youtube.com/channel/UCgnW8W4825dIsXARVEjRtNQ"/>
    <s v="Ugx-ib1auNzfh6sQsPZ4AaABAg"/>
    <s v="Ci9JYIJstPY"/>
    <s v="https://www.youtube.com/watch?v=Ci9JYIJstPY"/>
    <s v="none"/>
    <n v="0"/>
    <x v="47"/>
    <d v="2021-05-06T01:34:40.000"/>
    <m/>
    <m/>
    <s v=""/>
    <n v="1"/>
    <s v="2"/>
    <s v="2"/>
    <n v="0"/>
    <n v="0"/>
    <n v="0"/>
    <n v="0"/>
    <n v="0"/>
    <n v="0"/>
    <n v="5"/>
    <n v="100"/>
    <n v="5"/>
  </r>
  <r>
    <s v="UC92ojIkKymGd2b41Oq-aWDA"/>
    <s v="UCrrFW5ckKRfBEOBxH3k9anQ"/>
    <s v="128, 128, 128"/>
    <n v="3"/>
    <m/>
    <n v="40"/>
    <m/>
    <m/>
    <m/>
    <m/>
    <s v="No"/>
    <n v="53"/>
    <m/>
    <m/>
    <s v="Commented Video"/>
    <x v="0"/>
    <s v="Les bonnes choses mettent du temps. J&amp;#39;ai attendu"/>
    <s v="UC92ojIkKymGd2b41Oq-aWDA"/>
    <s v="Jean Claude Djiei"/>
    <s v="http://www.youtube.com/channel/UC92ojIkKymGd2b41Oq-aWDA"/>
    <m/>
    <s v="Ci9JYIJstPY"/>
    <s v="https://www.youtube.com/watch?v=Ci9JYIJstPY"/>
    <s v="none"/>
    <n v="5"/>
    <x v="48"/>
    <d v="2021-05-06T00:58:52.000"/>
    <m/>
    <m/>
    <s v=""/>
    <n v="1"/>
    <s v="2"/>
    <s v="1"/>
    <n v="0"/>
    <n v="0"/>
    <n v="1"/>
    <n v="10"/>
    <n v="0"/>
    <n v="0"/>
    <n v="9"/>
    <n v="90"/>
    <n v="10"/>
  </r>
  <r>
    <s v="UC92ojIkKymGd2b41Oq-aWDA"/>
    <s v="UCqaRNBLGkTej2D0R7550KNA"/>
    <s v="128, 128, 128"/>
    <n v="3"/>
    <m/>
    <n v="40"/>
    <m/>
    <m/>
    <m/>
    <m/>
    <s v="No"/>
    <n v="54"/>
    <m/>
    <m/>
    <s v="Replied Comment"/>
    <x v="1"/>
    <s v="On dit d&amp;#39;eux qu&amp;#39;il ne faut jamais faire affaires avec eux. Parce que traîtres, est ce vrai ?"/>
    <s v="UC92ojIkKymGd2b41Oq-aWDA"/>
    <s v="Jean Claude Djiei"/>
    <s v="http://www.youtube.com/channel/UC92ojIkKymGd2b41Oq-aWDA"/>
    <s v="Ugx-ib1auNzfh6sQsPZ4AaABAg"/>
    <s v="Ci9JYIJstPY"/>
    <s v="https://www.youtube.com/watch?v=Ci9JYIJstPY"/>
    <s v="none"/>
    <n v="0"/>
    <x v="49"/>
    <d v="2021-05-06T02:02:09.000"/>
    <m/>
    <m/>
    <s v=""/>
    <n v="1"/>
    <s v="2"/>
    <s v="2"/>
    <n v="0"/>
    <n v="0"/>
    <n v="0"/>
    <n v="0"/>
    <n v="0"/>
    <n v="0"/>
    <n v="21"/>
    <n v="100"/>
    <n v="21"/>
  </r>
  <r>
    <s v="UCqaRNBLGkTej2D0R7550KNA"/>
    <s v="UCrrFW5ckKRfBEOBxH3k9anQ"/>
    <s v="128, 128, 128"/>
    <n v="3"/>
    <m/>
    <n v="40"/>
    <m/>
    <m/>
    <m/>
    <m/>
    <s v="No"/>
    <n v="55"/>
    <m/>
    <m/>
    <s v="Commented Video"/>
    <x v="0"/>
    <s v="Mr Yapi ,Barry n&amp;#39;est pas mossi , mais un peulh."/>
    <s v="UCqaRNBLGkTej2D0R7550KNA"/>
    <s v="Abdoul Nignan"/>
    <s v="http://www.youtube.com/channel/UCqaRNBLGkTej2D0R7550KNA"/>
    <m/>
    <s v="Ci9JYIJstPY"/>
    <s v="https://www.youtube.com/watch?v=Ci9JYIJstPY"/>
    <s v="none"/>
    <n v="2"/>
    <x v="50"/>
    <d v="2021-05-06T01:10:04.000"/>
    <m/>
    <m/>
    <s v=""/>
    <n v="1"/>
    <s v="2"/>
    <s v="1"/>
    <n v="0"/>
    <n v="0"/>
    <n v="0"/>
    <n v="0"/>
    <n v="0"/>
    <n v="0"/>
    <n v="11"/>
    <n v="100"/>
    <n v="11"/>
  </r>
  <r>
    <s v="UC9UCsZNI5I9e8ez07eCzRBg"/>
    <s v="UCrrFW5ckKRfBEOBxH3k9anQ"/>
    <s v="128, 128, 128"/>
    <n v="3"/>
    <m/>
    <n v="40"/>
    <m/>
    <m/>
    <m/>
    <m/>
    <s v="No"/>
    <n v="56"/>
    <m/>
    <m/>
    <s v="Commented Video"/>
    <x v="0"/>
    <s v="Chez nous c&amp;#39;est Chris yapi FM, l&amp;#39;actualité au rendez vous"/>
    <s v="UC9UCsZNI5I9e8ez07eCzRBg"/>
    <s v="suah honore"/>
    <s v="http://www.youtube.com/channel/UC9UCsZNI5I9e8ez07eCzRBg"/>
    <m/>
    <s v="Ci9JYIJstPY"/>
    <s v="https://www.youtube.com/watch?v=Ci9JYIJstPY"/>
    <s v="none"/>
    <n v="1"/>
    <x v="51"/>
    <d v="2021-05-06T01:10:33.000"/>
    <m/>
    <m/>
    <s v=""/>
    <n v="1"/>
    <s v="1"/>
    <s v="1"/>
    <n v="0"/>
    <n v="0"/>
    <n v="0"/>
    <n v="0"/>
    <n v="0"/>
    <n v="0"/>
    <n v="14"/>
    <n v="100"/>
    <n v="14"/>
  </r>
  <r>
    <s v="UC7rN8ep2nPZ65sy5UwanQ8Q"/>
    <s v="UCrrFW5ckKRfBEOBxH3k9anQ"/>
    <s v="128, 128, 128"/>
    <n v="3"/>
    <m/>
    <n v="40"/>
    <m/>
    <m/>
    <m/>
    <m/>
    <s v="No"/>
    <n v="57"/>
    <m/>
    <m/>
    <s v="Commented Video"/>
    <x v="0"/>
    <s v="Maintenant je peux aller dormir"/>
    <s v="UC7rN8ep2nPZ65sy5UwanQ8Q"/>
    <s v="Okson Kouassi"/>
    <s v="http://www.youtube.com/channel/UC7rN8ep2nPZ65sy5UwanQ8Q"/>
    <m/>
    <s v="Ci9JYIJstPY"/>
    <s v="https://www.youtube.com/watch?v=Ci9JYIJstPY"/>
    <s v="none"/>
    <n v="0"/>
    <x v="52"/>
    <d v="2021-05-06T01:12:39.000"/>
    <m/>
    <m/>
    <s v=""/>
    <n v="1"/>
    <s v="1"/>
    <s v="1"/>
    <n v="0"/>
    <n v="0"/>
    <n v="0"/>
    <n v="0"/>
    <n v="0"/>
    <n v="0"/>
    <n v="5"/>
    <n v="100"/>
    <n v="5"/>
  </r>
  <r>
    <s v="UC2clEWhfiTxokUFuneYQPQg"/>
    <s v="UCrrFW5ckKRfBEOBxH3k9anQ"/>
    <s v="128, 128, 128"/>
    <n v="3"/>
    <m/>
    <n v="40"/>
    <m/>
    <m/>
    <m/>
    <m/>
    <s v="No"/>
    <n v="58"/>
    <m/>
    <m/>
    <s v="Commented Video"/>
    <x v="0"/>
    <s v="En effet Assoua Adou est un peureux. Il n&amp;#39;est pas un vrai combattant comme le regretté Abou Dramane Sangaré et bien d&amp;#39;autres. Il aime seulement les titres, Il n&amp;#39;a aucune carrure politique."/>
    <s v="UC2clEWhfiTxokUFuneYQPQg"/>
    <s v="yomafou KASCI"/>
    <s v="http://www.youtube.com/channel/UC2clEWhfiTxokUFuneYQPQg"/>
    <m/>
    <s v="Ci9JYIJstPY"/>
    <s v="https://www.youtube.com/watch?v=Ci9JYIJstPY"/>
    <s v="none"/>
    <n v="1"/>
    <x v="53"/>
    <d v="2021-05-06T01:14:32.000"/>
    <m/>
    <m/>
    <s v=""/>
    <n v="1"/>
    <s v="1"/>
    <s v="1"/>
    <n v="4"/>
    <n v="10.526315789473685"/>
    <n v="5"/>
    <n v="13.157894736842104"/>
    <n v="0"/>
    <n v="0"/>
    <n v="32"/>
    <n v="84.21052631578948"/>
    <n v="38"/>
  </r>
  <r>
    <s v="UCBMWmvja3c_GS4jk8TazobA"/>
    <s v="UCrrFW5ckKRfBEOBxH3k9anQ"/>
    <s v="171, 85, 85"/>
    <n v="3"/>
    <m/>
    <n v="40"/>
    <m/>
    <m/>
    <m/>
    <m/>
    <s v="No"/>
    <n v="59"/>
    <m/>
    <m/>
    <s v="Commented Video"/>
    <x v="0"/>
    <s v="Merci encore mr l&amp;#39;ange christ yapi soyez prudent et que le seigneur dieu tout-puissant veille sur vous et sur vôtre familles amen le peuple ivoirois et les ivoireines est très très fière de vous me l&amp;#39;ange christ yapi soyez béni amen alléluia 🙏👍💛🙏👍💛💚🍁🕊💚🕊🍁🐘🇨🇮🐘🇨🇮🐘🇨🇮"/>
    <s v="UCBMWmvja3c_GS4jk8TazobA"/>
    <s v="Charlaine Labelle"/>
    <s v="http://www.youtube.com/channel/UCBMWmvja3c_GS4jk8TazobA"/>
    <m/>
    <s v="Ci9JYIJstPY"/>
    <s v="https://www.youtube.com/watch?v=Ci9JYIJstPY"/>
    <s v="none"/>
    <n v="2"/>
    <x v="54"/>
    <d v="2021-05-06T01:02:32.000"/>
    <m/>
    <m/>
    <s v=""/>
    <n v="2"/>
    <s v="1"/>
    <s v="1"/>
    <n v="4"/>
    <n v="8.51063829787234"/>
    <n v="3"/>
    <n v="6.382978723404255"/>
    <n v="0"/>
    <n v="0"/>
    <n v="43"/>
    <n v="91.48936170212765"/>
    <n v="47"/>
  </r>
  <r>
    <s v="UCBMWmvja3c_GS4jk8TazobA"/>
    <s v="UCrrFW5ckKRfBEOBxH3k9anQ"/>
    <s v="171, 85, 85"/>
    <n v="3"/>
    <m/>
    <n v="40"/>
    <m/>
    <m/>
    <m/>
    <m/>
    <s v="No"/>
    <n v="60"/>
    <m/>
    <m/>
    <s v="Commented Video"/>
    <x v="0"/>
    <s v="Merci encore mr l&amp;#39;ange christ yapi soyez richement bénis vous être le miroir de la vérité et  le miroir de la côté d ivoire nous somme très très fière de vous mr l&amp;#39;ange christ yapi amen 💖🌹💖🌹💖🌹💖🌹💚🕊🍁💚🕊🍁🐘🇨🇮🐘🇨🇮🐘🇨🇮"/>
    <s v="UCBMWmvja3c_GS4jk8TazobA"/>
    <s v="Charlaine Labelle"/>
    <s v="http://www.youtube.com/channel/UCBMWmvja3c_GS4jk8TazobA"/>
    <m/>
    <s v="Ci9JYIJstPY"/>
    <s v="https://www.youtube.com/watch?v=Ci9JYIJstPY"/>
    <s v="none"/>
    <n v="8"/>
    <x v="55"/>
    <d v="2021-05-06T01:15:55.000"/>
    <m/>
    <m/>
    <s v=""/>
    <n v="2"/>
    <s v="1"/>
    <s v="1"/>
    <n v="4"/>
    <n v="10"/>
    <n v="3"/>
    <n v="7.5"/>
    <n v="0"/>
    <n v="0"/>
    <n v="36"/>
    <n v="90"/>
    <n v="40"/>
  </r>
  <r>
    <s v="UCcMtkpfkQVuIi6F5bxuX-0w"/>
    <s v="UCrrFW5ckKRfBEOBxH3k9anQ"/>
    <s v="128, 128, 128"/>
    <n v="3"/>
    <m/>
    <n v="40"/>
    <m/>
    <m/>
    <m/>
    <m/>
    <s v="No"/>
    <n v="61"/>
    <m/>
    <m/>
    <s v="Commented Video"/>
    <x v="0"/>
    <s v="Merci infiniment Chris yapi"/>
    <s v="UCcMtkpfkQVuIi6F5bxuX-0w"/>
    <s v="Hamed Camara"/>
    <s v="http://www.youtube.com/channel/UCcMtkpfkQVuIi6F5bxuX-0w"/>
    <m/>
    <s v="Ci9JYIJstPY"/>
    <s v="https://www.youtube.com/watch?v=Ci9JYIJstPY"/>
    <s v="none"/>
    <n v="1"/>
    <x v="56"/>
    <d v="2021-05-06T01:16:41.000"/>
    <m/>
    <m/>
    <s v=""/>
    <n v="1"/>
    <s v="1"/>
    <s v="1"/>
    <n v="1"/>
    <n v="25"/>
    <n v="0"/>
    <n v="0"/>
    <n v="0"/>
    <n v="0"/>
    <n v="3"/>
    <n v="75"/>
    <n v="4"/>
  </r>
  <r>
    <s v="UCWfOzUjfeErYNcOaL4VcKvA"/>
    <s v="UCrrFW5ckKRfBEOBxH3k9anQ"/>
    <s v="128, 128, 128"/>
    <n v="3"/>
    <m/>
    <n v="40"/>
    <m/>
    <m/>
    <m/>
    <m/>
    <s v="No"/>
    <n v="62"/>
    <m/>
    <m/>
    <s v="Commented Video"/>
    <x v="0"/>
    <s v="💪💪💪👋👋👋👋🎩🎩🎩👍👍👍👍😁😁😁😁🤗🤗🤗🤗🥰🥰🥰🥰😁"/>
    <s v="UCWfOzUjfeErYNcOaL4VcKvA"/>
    <s v="Amoin grâce ramine Fofana"/>
    <s v="http://www.youtube.com/channel/UCWfOzUjfeErYNcOaL4VcKvA"/>
    <m/>
    <s v="Ci9JYIJstPY"/>
    <s v="https://www.youtube.com/watch?v=Ci9JYIJstPY"/>
    <s v="none"/>
    <n v="0"/>
    <x v="57"/>
    <d v="2021-05-06T01:17:17.000"/>
    <m/>
    <m/>
    <s v=""/>
    <n v="1"/>
    <s v="1"/>
    <s v="1"/>
    <n v="0"/>
    <n v="0"/>
    <n v="0"/>
    <n v="0"/>
    <n v="0"/>
    <n v="0"/>
    <n v="0"/>
    <n v="0"/>
    <n v="0"/>
  </r>
  <r>
    <s v="UCeeL1I50sPpXQ0-0IaswtEg"/>
    <s v="UCrrFW5ckKRfBEOBxH3k9anQ"/>
    <s v="128, 128, 128"/>
    <n v="3"/>
    <m/>
    <n v="40"/>
    <m/>
    <m/>
    <m/>
    <m/>
    <s v="No"/>
    <n v="63"/>
    <m/>
    <m/>
    <s v="Commented Video"/>
    <x v="0"/>
    <s v="Kil face attention"/>
    <s v="UCeeL1I50sPpXQ0-0IaswtEg"/>
    <s v="Assouma Gnonssoum"/>
    <s v="http://www.youtube.com/channel/UCeeL1I50sPpXQ0-0IaswtEg"/>
    <m/>
    <s v="Ci9JYIJstPY"/>
    <s v="https://www.youtube.com/watch?v=Ci9JYIJstPY"/>
    <s v="none"/>
    <n v="0"/>
    <x v="58"/>
    <d v="2021-05-06T01:19:09.000"/>
    <m/>
    <m/>
    <s v=""/>
    <n v="1"/>
    <s v="1"/>
    <s v="1"/>
    <n v="0"/>
    <n v="0"/>
    <n v="1"/>
    <n v="33.333333333333336"/>
    <n v="0"/>
    <n v="0"/>
    <n v="2"/>
    <n v="66.66666666666667"/>
    <n v="3"/>
  </r>
  <r>
    <s v="UC2YGSUJ7Q7r_bWzcHvqGvaA"/>
    <s v="UCrrFW5ckKRfBEOBxH3k9anQ"/>
    <s v="128, 128, 128"/>
    <n v="3"/>
    <m/>
    <n v="40"/>
    <m/>
    <m/>
    <m/>
    <m/>
    <s v="No"/>
    <n v="64"/>
    <m/>
    <m/>
    <s v="Commented Video"/>
    <x v="0"/>
    <s v="Bravo à toi mon frère Damana PIKASSE"/>
    <s v="UC2YGSUJ7Q7r_bWzcHvqGvaA"/>
    <s v="Wences Anno"/>
    <s v="http://www.youtube.com/channel/UC2YGSUJ7Q7r_bWzcHvqGvaA"/>
    <m/>
    <s v="Ci9JYIJstPY"/>
    <s v="https://www.youtube.com/watch?v=Ci9JYIJstPY"/>
    <s v="none"/>
    <n v="30"/>
    <x v="59"/>
    <d v="2021-05-06T01:20:00.000"/>
    <m/>
    <m/>
    <s v=""/>
    <n v="1"/>
    <s v="1"/>
    <s v="1"/>
    <n v="0"/>
    <n v="0"/>
    <n v="1"/>
    <n v="14.285714285714286"/>
    <n v="0"/>
    <n v="0"/>
    <n v="6"/>
    <n v="85.71428571428571"/>
    <n v="7"/>
  </r>
  <r>
    <s v="UCRItJ0PKDY9MWYne5EKovMQ"/>
    <s v="UCrrFW5ckKRfBEOBxH3k9anQ"/>
    <s v="128, 128, 128"/>
    <n v="3"/>
    <m/>
    <n v="40"/>
    <m/>
    <m/>
    <m/>
    <m/>
    <s v="No"/>
    <n v="65"/>
    <m/>
    <m/>
    <s v="Commented Video"/>
    <x v="0"/>
    <s v="L&amp;#39;extra-terrestre"/>
    <s v="UCRItJ0PKDY9MWYne5EKovMQ"/>
    <s v="Osvale Amani"/>
    <s v="http://www.youtube.com/channel/UCRItJ0PKDY9MWYne5EKovMQ"/>
    <m/>
    <s v="Ci9JYIJstPY"/>
    <s v="https://www.youtube.com/watch?v=Ci9JYIJstPY"/>
    <s v="none"/>
    <n v="2"/>
    <x v="60"/>
    <d v="2021-05-06T01:21:04.000"/>
    <m/>
    <m/>
    <s v=""/>
    <n v="1"/>
    <s v="1"/>
    <s v="1"/>
    <n v="0"/>
    <n v="0"/>
    <n v="0"/>
    <n v="0"/>
    <n v="0"/>
    <n v="0"/>
    <n v="4"/>
    <n v="100"/>
    <n v="4"/>
  </r>
  <r>
    <s v="UCeV58bfiRGauOf8N_45041A"/>
    <s v="UCrrFW5ckKRfBEOBxH3k9anQ"/>
    <s v="128, 128, 128"/>
    <n v="3"/>
    <m/>
    <n v="40"/>
    <m/>
    <m/>
    <m/>
    <m/>
    <s v="No"/>
    <n v="66"/>
    <m/>
    <m/>
    <s v="Commented Video"/>
    <x v="0"/>
    <s v="Quand t’on voit ce qui se passe dans le pays, c’est pas très sage d’avoir de tels discours, chers compatriotes soyez sur vos gardes, méfiez vous de la fiole!!!! Un homme averti en vaut DEUX!!!!"/>
    <s v="UCeV58bfiRGauOf8N_45041A"/>
    <s v="Natasha 21"/>
    <s v="http://www.youtube.com/channel/UCeV58bfiRGauOf8N_45041A"/>
    <m/>
    <s v="Ci9JYIJstPY"/>
    <s v="https://www.youtube.com/watch?v=Ci9JYIJstPY"/>
    <s v="none"/>
    <n v="0"/>
    <x v="61"/>
    <d v="2021-05-06T01:28:17.000"/>
    <m/>
    <m/>
    <s v=""/>
    <n v="1"/>
    <s v="1"/>
    <s v="1"/>
    <n v="1"/>
    <n v="2.6315789473684212"/>
    <n v="2"/>
    <n v="5.2631578947368425"/>
    <n v="0"/>
    <n v="0"/>
    <n v="35"/>
    <n v="92.10526315789474"/>
    <n v="38"/>
  </r>
  <r>
    <s v="UCSCzVOLLdSoDPwOZG9LE78w"/>
    <s v="UCrrFW5ckKRfBEOBxH3k9anQ"/>
    <s v="128, 128, 128"/>
    <n v="3"/>
    <m/>
    <n v="40"/>
    <m/>
    <m/>
    <m/>
    <m/>
    <s v="No"/>
    <n v="67"/>
    <m/>
    <m/>
    <s v="Commented Video"/>
    <x v="0"/>
    <s v="Moi c&amp;#39;est la sonnerie quand j&amp;#39;entends je sais que Chris yapi lui même va parler 🙏😎😎"/>
    <s v="UCSCzVOLLdSoDPwOZG9LE78w"/>
    <s v="guede ange patrick"/>
    <s v="http://www.youtube.com/channel/UCSCzVOLLdSoDPwOZG9LE78w"/>
    <m/>
    <s v="Ci9JYIJstPY"/>
    <s v="https://www.youtube.com/watch?v=Ci9JYIJstPY"/>
    <s v="none"/>
    <n v="16"/>
    <x v="62"/>
    <d v="2021-05-06T01:32:51.000"/>
    <m/>
    <m/>
    <s v=""/>
    <n v="1"/>
    <s v="1"/>
    <s v="1"/>
    <n v="0"/>
    <n v="0"/>
    <n v="0"/>
    <n v="0"/>
    <n v="0"/>
    <n v="0"/>
    <n v="19"/>
    <n v="100"/>
    <n v="19"/>
  </r>
  <r>
    <s v="UCl6TpekMDFS5YA7Llp8CMFA"/>
    <s v="UCrrFW5ckKRfBEOBxH3k9anQ"/>
    <s v="128, 128, 128"/>
    <n v="3"/>
    <m/>
    <n v="40"/>
    <m/>
    <m/>
    <m/>
    <m/>
    <s v="No"/>
    <n v="68"/>
    <m/>
    <m/>
    <s v="Commented Video"/>
    <x v="0"/>
    <s v="Damana Pickass..."/>
    <s v="UCl6TpekMDFS5YA7Llp8CMFA"/>
    <s v="Georges Daman"/>
    <s v="http://www.youtube.com/channel/UCl6TpekMDFS5YA7Llp8CMFA"/>
    <m/>
    <s v="Ci9JYIJstPY"/>
    <s v="https://www.youtube.com/watch?v=Ci9JYIJstPY"/>
    <s v="none"/>
    <n v="0"/>
    <x v="63"/>
    <d v="2021-05-06T01:37:08.000"/>
    <m/>
    <m/>
    <s v=""/>
    <n v="1"/>
    <s v="1"/>
    <s v="1"/>
    <n v="0"/>
    <n v="0"/>
    <n v="0"/>
    <n v="0"/>
    <n v="0"/>
    <n v="0"/>
    <n v="2"/>
    <n v="100"/>
    <n v="2"/>
  </r>
  <r>
    <s v="UCIHuJRBYVtuBMSdxgXbheiA"/>
    <s v="UCrrFW5ckKRfBEOBxH3k9anQ"/>
    <s v="128, 128, 128"/>
    <n v="3"/>
    <m/>
    <n v="40"/>
    <m/>
    <m/>
    <m/>
    <m/>
    <s v="No"/>
    <n v="69"/>
    <m/>
    <m/>
    <s v="Commented Video"/>
    <x v="0"/>
    <s v="❤️"/>
    <s v="UCIHuJRBYVtuBMSdxgXbheiA"/>
    <s v="zogbe armand"/>
    <s v="http://www.youtube.com/channel/UCIHuJRBYVtuBMSdxgXbheiA"/>
    <m/>
    <s v="Ci9JYIJstPY"/>
    <s v="https://www.youtube.com/watch?v=Ci9JYIJstPY"/>
    <s v="none"/>
    <n v="0"/>
    <x v="37"/>
    <d v="2021-05-06T01:41:46.000"/>
    <m/>
    <m/>
    <s v=""/>
    <n v="1"/>
    <s v="1"/>
    <s v="1"/>
    <n v="0"/>
    <n v="0"/>
    <n v="0"/>
    <n v="0"/>
    <n v="0"/>
    <n v="0"/>
    <n v="0"/>
    <n v="0"/>
    <n v="0"/>
  </r>
  <r>
    <s v="UC3mmq2lODpoaRt80Sb2Rz6g"/>
    <s v="UCrrFW5ckKRfBEOBxH3k9anQ"/>
    <s v="128, 128, 128"/>
    <n v="3"/>
    <m/>
    <n v="40"/>
    <m/>
    <m/>
    <m/>
    <m/>
    <s v="No"/>
    <n v="70"/>
    <m/>
    <m/>
    <s v="Commented Video"/>
    <x v="0"/>
    <s v="Merci encore combattant pour cette autre précision importante, que Dieu te protège."/>
    <s v="UC3mmq2lODpoaRt80Sb2Rz6g"/>
    <s v="mathieu gode"/>
    <s v="http://www.youtube.com/channel/UC3mmq2lODpoaRt80Sb2Rz6g"/>
    <m/>
    <s v="Ci9JYIJstPY"/>
    <s v="https://www.youtube.com/watch?v=Ci9JYIJstPY"/>
    <s v="none"/>
    <n v="11"/>
    <x v="64"/>
    <d v="2021-05-06T01:44:28.000"/>
    <m/>
    <m/>
    <s v=""/>
    <n v="1"/>
    <s v="1"/>
    <s v="1"/>
    <n v="3"/>
    <n v="25"/>
    <n v="2"/>
    <n v="16.666666666666668"/>
    <n v="0"/>
    <n v="0"/>
    <n v="9"/>
    <n v="75"/>
    <n v="12"/>
  </r>
  <r>
    <s v="UCeDtLNEDoMVNjXOzXfJlvfA"/>
    <s v="UCHMxpmznEsdtL_ui-7H_IqA"/>
    <s v="128, 128, 128"/>
    <n v="3"/>
    <m/>
    <n v="40"/>
    <m/>
    <m/>
    <m/>
    <m/>
    <s v="No"/>
    <n v="71"/>
    <m/>
    <m/>
    <s v="Replied Comment"/>
    <x v="1"/>
    <s v="Il rentrera pour reprendre sa place et ado, la France, l&amp;#39;ONU le savent"/>
    <s v="UCeDtLNEDoMVNjXOzXfJlvfA"/>
    <s v="Donatien Attiapo"/>
    <s v="http://www.youtube.com/channel/UCeDtLNEDoMVNjXOzXfJlvfA"/>
    <s v="Ugz2JHb8cLmphEFYZxZ4AaABAg"/>
    <s v="Ci9JYIJstPY"/>
    <s v="https://www.youtube.com/watch?v=Ci9JYIJstPY"/>
    <s v="none"/>
    <n v="0"/>
    <x v="65"/>
    <d v="2021-05-06T04:14:00.000"/>
    <m/>
    <m/>
    <s v=""/>
    <n v="1"/>
    <s v="3"/>
    <s v="3"/>
    <n v="0"/>
    <n v="0"/>
    <n v="0"/>
    <n v="0"/>
    <n v="0"/>
    <n v="0"/>
    <n v="15"/>
    <n v="100"/>
    <n v="15"/>
  </r>
  <r>
    <s v="UCUNOTEzOFt3gZ53n2hAjWtw"/>
    <s v="UCHMxpmznEsdtL_ui-7H_IqA"/>
    <s v="128, 128, 128"/>
    <n v="3"/>
    <m/>
    <n v="40"/>
    <m/>
    <m/>
    <m/>
    <m/>
    <s v="No"/>
    <n v="72"/>
    <m/>
    <m/>
    <s v="Replied Comment"/>
    <x v="1"/>
    <s v="Nous savons tous qu&amp;#39;il dit vrai. Mais vous voulez que avant l&amp;#39;arrivée de Gbagbo qu&amp;#39;il meurt ou qu&amp;#39;il soit emprisonné ? Vous ne pensez pas que ses propos peuvent retarder notre Woody? C&amp;#39;est pourquoi je souhaite plutôt que ensemble on lui demande d&amp;#39;attendre que GBAGBO soit là pour commencer ce qu&amp;#39;il est juste de commencer. Bonne journée"/>
    <s v="UCUNOTEzOFt3gZ53n2hAjWtw"/>
    <s v="Bi Tchéin Alain Tian"/>
    <s v="http://www.youtube.com/channel/UCUNOTEzOFt3gZ53n2hAjWtw"/>
    <s v="Ugz2JHb8cLmphEFYZxZ4AaABAg"/>
    <s v="Ci9JYIJstPY"/>
    <s v="https://www.youtube.com/watch?v=Ci9JYIJstPY"/>
    <s v="none"/>
    <n v="1"/>
    <x v="66"/>
    <d v="2021-05-06T09:59:19.000"/>
    <m/>
    <m/>
    <s v=""/>
    <n v="1"/>
    <s v="3"/>
    <s v="3"/>
    <n v="2"/>
    <n v="2.857142857142857"/>
    <n v="3"/>
    <n v="4.285714285714286"/>
    <n v="0"/>
    <n v="0"/>
    <n v="66"/>
    <n v="94.28571428571429"/>
    <n v="70"/>
  </r>
  <r>
    <s v="UCHMxpmznEsdtL_ui-7H_IqA"/>
    <s v="UCrrFW5ckKRfBEOBxH3k9anQ"/>
    <s v="128, 128, 128"/>
    <n v="3"/>
    <m/>
    <n v="40"/>
    <m/>
    <m/>
    <m/>
    <m/>
    <s v="No"/>
    <n v="73"/>
    <m/>
    <m/>
    <s v="Commented Video"/>
    <x v="0"/>
    <s v="Gbagbo a gagné véritablement les élections de 2010 ... Qu il soit reconduit dans ses fonctions... Pikass Damana est véridique ... Que Dieu l&amp;#39;entour puissant veille sur nos leader éclairés ... Ce Pikass gouvernera bientôt ce pays ... Il est ci franc et intelligent .. voici là la relève prodige ..."/>
    <s v="UCHMxpmznEsdtL_ui-7H_IqA"/>
    <s v="Bene Ouattara"/>
    <s v="http://www.youtube.com/channel/UCHMxpmznEsdtL_ui-7H_IqA"/>
    <m/>
    <s v="Ci9JYIJstPY"/>
    <s v="https://www.youtube.com/watch?v=Ci9JYIJstPY"/>
    <s v="none"/>
    <n v="8"/>
    <x v="67"/>
    <d v="2021-05-06T01:51:44.000"/>
    <m/>
    <m/>
    <s v=""/>
    <n v="1"/>
    <s v="3"/>
    <s v="1"/>
    <n v="6"/>
    <n v="12.76595744680851"/>
    <n v="4"/>
    <n v="8.51063829787234"/>
    <n v="0"/>
    <n v="0"/>
    <n v="41"/>
    <n v="87.23404255319149"/>
    <n v="47"/>
  </r>
  <r>
    <s v="UC5u6IjH6W_pWntKlbny1GPQ"/>
    <s v="UCrrFW5ckKRfBEOBxH3k9anQ"/>
    <s v="171, 85, 85"/>
    <n v="3"/>
    <m/>
    <n v="40"/>
    <m/>
    <m/>
    <m/>
    <m/>
    <s v="No"/>
    <n v="74"/>
    <m/>
    <m/>
    <s v="Commented Video"/>
    <x v="0"/>
    <s v="Tu tardes trop maintenant avant de poster tes vidéos ."/>
    <s v="UC5u6IjH6W_pWntKlbny1GPQ"/>
    <s v="Fidèle N' dioré kouassi"/>
    <s v="http://www.youtube.com/channel/UC5u6IjH6W_pWntKlbny1GPQ"/>
    <m/>
    <s v="Ci9JYIJstPY"/>
    <s v="https://www.youtube.com/watch?v=Ci9JYIJstPY"/>
    <s v="none"/>
    <n v="0"/>
    <x v="68"/>
    <d v="2021-05-06T01:52:01.000"/>
    <m/>
    <m/>
    <s v=""/>
    <n v="2"/>
    <s v="1"/>
    <s v="1"/>
    <n v="0"/>
    <n v="0"/>
    <n v="0"/>
    <n v="0"/>
    <n v="0"/>
    <n v="0"/>
    <n v="9"/>
    <n v="100"/>
    <n v="9"/>
  </r>
  <r>
    <s v="UC5u6IjH6W_pWntKlbny1GPQ"/>
    <s v="UCrrFW5ckKRfBEOBxH3k9anQ"/>
    <s v="171, 85, 85"/>
    <n v="3"/>
    <m/>
    <n v="40"/>
    <m/>
    <m/>
    <m/>
    <m/>
    <s v="No"/>
    <n v="75"/>
    <m/>
    <m/>
    <s v="Commented Video"/>
    <x v="0"/>
    <s v="Tu nous laisses sur notre faim ."/>
    <s v="UC5u6IjH6W_pWntKlbny1GPQ"/>
    <s v="Fidèle N' dioré kouassi"/>
    <s v="http://www.youtube.com/channel/UC5u6IjH6W_pWntKlbny1GPQ"/>
    <m/>
    <s v="Ci9JYIJstPY"/>
    <s v="https://www.youtube.com/watch?v=Ci9JYIJstPY"/>
    <s v="none"/>
    <n v="0"/>
    <x v="69"/>
    <d v="2021-05-06T01:52:34.000"/>
    <m/>
    <m/>
    <s v=""/>
    <n v="2"/>
    <s v="1"/>
    <s v="1"/>
    <n v="0"/>
    <n v="0"/>
    <n v="0"/>
    <n v="0"/>
    <n v="0"/>
    <n v="0"/>
    <n v="6"/>
    <n v="100"/>
    <n v="6"/>
  </r>
  <r>
    <s v="UCgAVcUfZsrNQ_ZDzwfGN42g"/>
    <s v="UCrrFW5ckKRfBEOBxH3k9anQ"/>
    <s v="128, 128, 128"/>
    <n v="3"/>
    <m/>
    <n v="40"/>
    <m/>
    <m/>
    <m/>
    <m/>
    <s v="No"/>
    <n v="76"/>
    <m/>
    <m/>
    <s v="Commented Video"/>
    <x v="0"/>
    <s v="🤔"/>
    <s v="UCgAVcUfZsrNQ_ZDzwfGN42g"/>
    <s v="Yves-Roland Allah"/>
    <s v="http://www.youtube.com/channel/UCgAVcUfZsrNQ_ZDzwfGN42g"/>
    <m/>
    <s v="Ci9JYIJstPY"/>
    <s v="https://www.youtube.com/watch?v=Ci9JYIJstPY"/>
    <s v="none"/>
    <n v="1"/>
    <x v="70"/>
    <d v="2021-05-06T01:56:39.000"/>
    <m/>
    <m/>
    <s v=""/>
    <n v="1"/>
    <s v="1"/>
    <s v="1"/>
    <n v="0"/>
    <n v="0"/>
    <n v="0"/>
    <n v="0"/>
    <n v="0"/>
    <n v="0"/>
    <n v="0"/>
    <n v="0"/>
    <n v="0"/>
  </r>
  <r>
    <s v="UCZAfEqY4QDm1fidD1RMabgA"/>
    <s v="UCrrFW5ckKRfBEOBxH3k9anQ"/>
    <s v="128, 128, 128"/>
    <n v="3"/>
    <m/>
    <n v="40"/>
    <m/>
    <m/>
    <m/>
    <m/>
    <s v="No"/>
    <n v="77"/>
    <m/>
    <m/>
    <s v="Commented Video"/>
    <x v="0"/>
    <s v="Yes Chris, wait and see, the future will tell us more. Picass , tells the truth and it will set us free, but please be careful this country is very dangerous . May God protect you. Thank you Chris, you are our hero 🇨🇮🇨🇮"/>
    <s v="UCZAfEqY4QDm1fidD1RMabgA"/>
    <s v="Eugenie Balogun"/>
    <s v="http://www.youtube.com/channel/UCZAfEqY4QDm1fidD1RMabgA"/>
    <m/>
    <s v="Ci9JYIJstPY"/>
    <s v="https://www.youtube.com/watch?v=Ci9JYIJstPY"/>
    <s v="none"/>
    <n v="8"/>
    <x v="71"/>
    <d v="2021-05-06T01:56:42.000"/>
    <m/>
    <m/>
    <s v=""/>
    <n v="1"/>
    <s v="1"/>
    <s v="1"/>
    <n v="1"/>
    <n v="2.4390243902439024"/>
    <n v="0"/>
    <n v="0"/>
    <n v="0"/>
    <n v="0"/>
    <n v="40"/>
    <n v="97.5609756097561"/>
    <n v="41"/>
  </r>
  <r>
    <s v="UCH8aFgm5WSUVuXaKuSbYsrA"/>
    <s v="UCrrFW5ckKRfBEOBxH3k9anQ"/>
    <s v="128, 128, 128"/>
    <n v="3"/>
    <m/>
    <n v="40"/>
    <m/>
    <m/>
    <m/>
    <m/>
    <s v="No"/>
    <n v="78"/>
    <m/>
    <m/>
    <s v="Commented Video"/>
    <x v="0"/>
    <s v="Trop de choses dans pays là merci Christ yapi🙏"/>
    <s v="UCH8aFgm5WSUVuXaKuSbYsrA"/>
    <s v="Ange paterne N'guessan"/>
    <s v="http://www.youtube.com/channel/UCH8aFgm5WSUVuXaKuSbYsrA"/>
    <m/>
    <s v="Ci9JYIJstPY"/>
    <s v="https://www.youtube.com/watch?v=Ci9JYIJstPY"/>
    <s v="none"/>
    <n v="2"/>
    <x v="72"/>
    <d v="2021-05-06T01:57:17.000"/>
    <m/>
    <m/>
    <s v=""/>
    <n v="1"/>
    <s v="1"/>
    <s v="1"/>
    <n v="1"/>
    <n v="11.11111111111111"/>
    <n v="0"/>
    <n v="0"/>
    <n v="0"/>
    <n v="0"/>
    <n v="8"/>
    <n v="88.88888888888889"/>
    <n v="9"/>
  </r>
  <r>
    <s v="UCkug2O-HoXXpevCF-j3NSBQ"/>
    <s v="UCA5b1GCxw9YUnNhJV9RnGqg"/>
    <s v="212, 43, 43"/>
    <n v="3"/>
    <m/>
    <n v="40"/>
    <m/>
    <m/>
    <m/>
    <m/>
    <s v="No"/>
    <n v="79"/>
    <m/>
    <m/>
    <s v="Replied Comment"/>
    <x v="1"/>
    <s v="Ok tu es excusé pour aujourd&amp;#39;hui seulement 😂 . Tu le répète mise à pied t&amp;#39;attend ."/>
    <s v="UCkug2O-HoXXpevCF-j3NSBQ"/>
    <s v="Soni Koko"/>
    <s v="http://www.youtube.com/channel/UCkug2O-HoXXpevCF-j3NSBQ"/>
    <s v="UgzGU5QwtnBOJ-Mgh-R4AaABAg"/>
    <s v="Ci9JYIJstPY"/>
    <s v="https://www.youtube.com/watch?v="/>
    <s v="none"/>
    <n v="4"/>
    <x v="73"/>
    <d v="2021-05-06T02:20:28.000"/>
    <m/>
    <m/>
    <s v=""/>
    <n v="3"/>
    <s v="7"/>
    <s v="7"/>
    <n v="0"/>
    <n v="0"/>
    <n v="0"/>
    <n v="0"/>
    <n v="0"/>
    <n v="0"/>
    <n v="18"/>
    <n v="100"/>
    <n v="18"/>
  </r>
  <r>
    <s v="UCkug2O-HoXXpevCF-j3NSBQ"/>
    <s v="UCA5b1GCxw9YUnNhJV9RnGqg"/>
    <s v="212, 43, 43"/>
    <n v="3"/>
    <m/>
    <n v="40"/>
    <m/>
    <m/>
    <m/>
    <m/>
    <s v="No"/>
    <n v="80"/>
    <m/>
    <m/>
    <s v="Replied Comment"/>
    <x v="1"/>
    <s v="@David Ouatt 😂😂😅😅😅✌️"/>
    <s v="UCkug2O-HoXXpevCF-j3NSBQ"/>
    <s v="Soni Koko"/>
    <s v="http://www.youtube.com/channel/UCkug2O-HoXXpevCF-j3NSBQ"/>
    <s v="UgzGU5QwtnBOJ-Mgh-R4AaABAg"/>
    <s v="Ci9JYIJstPY"/>
    <s v="https://www.youtube.com/watch?v="/>
    <s v="none"/>
    <n v="1"/>
    <x v="74"/>
    <d v="2021-05-06T12:43:03.000"/>
    <m/>
    <m/>
    <s v=""/>
    <n v="3"/>
    <s v="7"/>
    <s v="7"/>
    <n v="0"/>
    <n v="0"/>
    <n v="0"/>
    <n v="0"/>
    <n v="0"/>
    <n v="0"/>
    <n v="2"/>
    <n v="100"/>
    <n v="2"/>
  </r>
  <r>
    <s v="UCkug2O-HoXXpevCF-j3NSBQ"/>
    <s v="UCA5b1GCxw9YUnNhJV9RnGqg"/>
    <s v="212, 43, 43"/>
    <n v="3"/>
    <m/>
    <n v="40"/>
    <m/>
    <m/>
    <m/>
    <m/>
    <s v="No"/>
    <n v="81"/>
    <m/>
    <m/>
    <s v="Replied Comment"/>
    <x v="1"/>
    <s v="@Salim Yazid ✌️✌️😂"/>
    <s v="UCkug2O-HoXXpevCF-j3NSBQ"/>
    <s v="Soni Koko"/>
    <s v="http://www.youtube.com/channel/UCkug2O-HoXXpevCF-j3NSBQ"/>
    <s v="UgzGU5QwtnBOJ-Mgh-R4AaABAg"/>
    <s v="Ci9JYIJstPY"/>
    <s v="https://www.youtube.com/watch?v="/>
    <s v="none"/>
    <n v="1"/>
    <x v="75"/>
    <d v="2021-05-06T23:58:45.000"/>
    <m/>
    <m/>
    <s v=""/>
    <n v="3"/>
    <s v="7"/>
    <s v="7"/>
    <n v="0"/>
    <n v="0"/>
    <n v="0"/>
    <n v="0"/>
    <n v="0"/>
    <n v="0"/>
    <n v="2"/>
    <n v="100"/>
    <n v="2"/>
  </r>
  <r>
    <s v="UCnpm9ZORHGQJexR7ybzUTVw"/>
    <s v="UCA5b1GCxw9YUnNhJV9RnGqg"/>
    <s v="212, 43, 43"/>
    <n v="3"/>
    <m/>
    <n v="40"/>
    <m/>
    <m/>
    <m/>
    <m/>
    <s v="No"/>
    <n v="82"/>
    <m/>
    <m/>
    <s v="Replied Comment"/>
    <x v="1"/>
    <s v="@Soni Koko non hein ici c&amp;#39;est la démocratie c&amp;#39;est pas la République dramanienne 😁😁"/>
    <s v="UCnpm9ZORHGQJexR7ybzUTVw"/>
    <s v="David Ouatt"/>
    <s v="http://www.youtube.com/channel/UCnpm9ZORHGQJexR7ybzUTVw"/>
    <s v="UgzGU5QwtnBOJ-Mgh-R4AaABAg"/>
    <s v="Ci9JYIJstPY"/>
    <s v="https://www.youtube.com/watch?v="/>
    <s v="none"/>
    <n v="4"/>
    <x v="76"/>
    <d v="2021-05-06T02:22:37.000"/>
    <m/>
    <m/>
    <s v=""/>
    <n v="3"/>
    <s v="7"/>
    <s v="7"/>
    <n v="1"/>
    <n v="5.882352941176471"/>
    <n v="0"/>
    <n v="0"/>
    <n v="0"/>
    <n v="0"/>
    <n v="16"/>
    <n v="94.11764705882354"/>
    <n v="17"/>
  </r>
  <r>
    <s v="UCnpm9ZORHGQJexR7ybzUTVw"/>
    <s v="UCA5b1GCxw9YUnNhJV9RnGqg"/>
    <s v="212, 43, 43"/>
    <n v="3"/>
    <m/>
    <n v="40"/>
    <m/>
    <m/>
    <m/>
    <m/>
    <s v="No"/>
    <n v="83"/>
    <m/>
    <m/>
    <s v="Replied Comment"/>
    <x v="1"/>
    <s v="@Soni Koko 🙏"/>
    <s v="UCnpm9ZORHGQJexR7ybzUTVw"/>
    <s v="David Ouatt"/>
    <s v="http://www.youtube.com/channel/UCnpm9ZORHGQJexR7ybzUTVw"/>
    <s v="UgzGU5QwtnBOJ-Mgh-R4AaABAg"/>
    <s v="Ci9JYIJstPY"/>
    <s v="https://www.youtube.com/watch?v="/>
    <s v="none"/>
    <n v="0"/>
    <x v="77"/>
    <d v="2021-05-07T09:24:45.000"/>
    <m/>
    <m/>
    <s v=""/>
    <n v="3"/>
    <s v="7"/>
    <s v="7"/>
    <n v="0"/>
    <n v="0"/>
    <n v="0"/>
    <n v="0"/>
    <n v="0"/>
    <n v="0"/>
    <n v="2"/>
    <n v="100"/>
    <n v="2"/>
  </r>
  <r>
    <s v="UCnpm9ZORHGQJexR7ybzUTVw"/>
    <s v="UCA5b1GCxw9YUnNhJV9RnGqg"/>
    <s v="212, 43, 43"/>
    <n v="3"/>
    <m/>
    <n v="40"/>
    <m/>
    <m/>
    <m/>
    <m/>
    <s v="No"/>
    <n v="84"/>
    <m/>
    <m/>
    <s v="Replied Comment"/>
    <x v="1"/>
    <s v="@Salim Yazid 🙏"/>
    <s v="UCnpm9ZORHGQJexR7ybzUTVw"/>
    <s v="David Ouatt"/>
    <s v="http://www.youtube.com/channel/UCnpm9ZORHGQJexR7ybzUTVw"/>
    <s v="UgzGU5QwtnBOJ-Mgh-R4AaABAg"/>
    <s v="Ci9JYIJstPY"/>
    <s v="https://www.youtube.com/watch?v="/>
    <s v="none"/>
    <n v="1"/>
    <x v="78"/>
    <d v="2021-05-07T09:24:59.000"/>
    <m/>
    <m/>
    <s v=""/>
    <n v="3"/>
    <s v="7"/>
    <s v="7"/>
    <n v="0"/>
    <n v="0"/>
    <n v="0"/>
    <n v="0"/>
    <n v="0"/>
    <n v="0"/>
    <n v="2"/>
    <n v="100"/>
    <n v="2"/>
  </r>
  <r>
    <s v="UCA5b1GCxw9YUnNhJV9RnGqg"/>
    <s v="UCA5b1GCxw9YUnNhJV9RnGqg"/>
    <s v="128, 128, 128"/>
    <n v="3"/>
    <m/>
    <n v="40"/>
    <m/>
    <m/>
    <m/>
    <m/>
    <s v="No"/>
    <n v="85"/>
    <m/>
    <m/>
    <s v="Replied Comment"/>
    <x v="1"/>
    <s v="@Soni Koko Ah Dieu merci @David Ouatt est là pour te rappeler notre constitution🤣🤣🤣😂"/>
    <s v="UCA5b1GCxw9YUnNhJV9RnGqg"/>
    <s v="Salim Yazid"/>
    <s v="http://www.youtube.com/channel/UCA5b1GCxw9YUnNhJV9RnGqg"/>
    <s v="UgzGU5QwtnBOJ-Mgh-R4AaABAg"/>
    <s v="Ci9JYIJstPY"/>
    <s v="https://www.youtube.com/watch?v="/>
    <s v="none"/>
    <n v="1"/>
    <x v="79"/>
    <d v="2021-05-06T22:26:59.000"/>
    <m/>
    <m/>
    <s v=""/>
    <n v="1"/>
    <s v="7"/>
    <s v="7"/>
    <n v="1"/>
    <n v="7.142857142857143"/>
    <n v="0"/>
    <n v="0"/>
    <n v="0"/>
    <n v="0"/>
    <n v="13"/>
    <n v="92.85714285714286"/>
    <n v="14"/>
  </r>
  <r>
    <s v="UCA5b1GCxw9YUnNhJV9RnGqg"/>
    <s v="UCrrFW5ckKRfBEOBxH3k9anQ"/>
    <s v="128, 128, 128"/>
    <n v="3"/>
    <m/>
    <n v="40"/>
    <m/>
    <m/>
    <m/>
    <m/>
    <s v="No"/>
    <n v="86"/>
    <m/>
    <m/>
    <s v="Commented Video"/>
    <x v="0"/>
    <s v="Mon boss a déjà parlé, désolé j&amp;#39;ai été en retard d&amp;#39;une heure parceque je dormais🤣...mes excuses Chris yapi🤴🏿"/>
    <s v="UCA5b1GCxw9YUnNhJV9RnGqg"/>
    <s v="Salim Yazid"/>
    <s v="http://www.youtube.com/channel/UCA5b1GCxw9YUnNhJV9RnGqg"/>
    <m/>
    <s v="Ci9JYIJstPY"/>
    <s v="https://www.youtube.com/watch?v=Ci9JYIJstPY"/>
    <s v="none"/>
    <n v="5"/>
    <x v="80"/>
    <d v="2021-05-06T02:00:36.000"/>
    <m/>
    <m/>
    <s v=""/>
    <n v="1"/>
    <s v="7"/>
    <s v="1"/>
    <n v="0"/>
    <n v="0"/>
    <n v="3"/>
    <n v="13.043478260869565"/>
    <n v="0"/>
    <n v="0"/>
    <n v="20"/>
    <n v="86.95652173913044"/>
    <n v="23"/>
  </r>
  <r>
    <s v="UCf7faCV85PBme45MFibeKyA"/>
    <s v="UCrrFW5ckKRfBEOBxH3k9anQ"/>
    <s v="128, 128, 128"/>
    <n v="3"/>
    <m/>
    <n v="40"/>
    <m/>
    <m/>
    <m/>
    <m/>
    <s v="No"/>
    <n v="87"/>
    <m/>
    <m/>
    <s v="Commented Video"/>
    <x v="0"/>
    <s v="Djaaaaa CY veut le bien être des enfants de la CÔTE D&amp;#39;IVOIRE"/>
    <s v="UCf7faCV85PBme45MFibeKyA"/>
    <s v="Ali Baba"/>
    <s v="http://www.youtube.com/channel/UCf7faCV85PBme45MFibeKyA"/>
    <m/>
    <s v="Ci9JYIJstPY"/>
    <s v="https://www.youtube.com/watch?v=Ci9JYIJstPY"/>
    <s v="none"/>
    <n v="0"/>
    <x v="81"/>
    <d v="2021-05-06T02:02:55.000"/>
    <m/>
    <m/>
    <s v=""/>
    <n v="1"/>
    <s v="1"/>
    <s v="1"/>
    <n v="1"/>
    <n v="7.142857142857143"/>
    <n v="1"/>
    <n v="7.142857142857143"/>
    <n v="0"/>
    <n v="0"/>
    <n v="13"/>
    <n v="92.85714285714286"/>
    <n v="14"/>
  </r>
  <r>
    <s v="UCqMbJkZbqSxoX2omlLn1ypw"/>
    <s v="UCrrFW5ckKRfBEOBxH3k9anQ"/>
    <s v="128, 128, 128"/>
    <n v="3"/>
    <m/>
    <n v="40"/>
    <m/>
    <m/>
    <m/>
    <m/>
    <s v="No"/>
    <n v="88"/>
    <m/>
    <m/>
    <s v="Commented Video"/>
    <x v="0"/>
    <s v="LA FIOLE"/>
    <s v="UCqMbJkZbqSxoX2omlLn1ypw"/>
    <s v="20ckpwt18"/>
    <s v="http://www.youtube.com/channel/UCqMbJkZbqSxoX2omlLn1ypw"/>
    <m/>
    <s v="Ci9JYIJstPY"/>
    <s v="https://www.youtube.com/watch?v=Ci9JYIJstPY"/>
    <s v="none"/>
    <n v="0"/>
    <x v="82"/>
    <d v="2021-05-06T02:10:58.000"/>
    <m/>
    <m/>
    <s v=""/>
    <n v="1"/>
    <s v="1"/>
    <s v="1"/>
    <n v="0"/>
    <n v="0"/>
    <n v="0"/>
    <n v="0"/>
    <n v="0"/>
    <n v="0"/>
    <n v="2"/>
    <n v="100"/>
    <n v="2"/>
  </r>
  <r>
    <s v="UCYLBKC6MTJeOXg01kqC6MDA"/>
    <s v="UCrrFW5ckKRfBEOBxH3k9anQ"/>
    <s v="128, 128, 128"/>
    <n v="3"/>
    <m/>
    <n v="40"/>
    <m/>
    <m/>
    <m/>
    <m/>
    <s v="No"/>
    <n v="89"/>
    <m/>
    <m/>
    <s v="Commented Video"/>
    <x v="0"/>
    <s v="C&amp;#39;est Christo j&amp;#39;attendait depuis là. &lt;br /&gt;Bon il est tard je vais dormi depuis Accra pays maternel"/>
    <s v="UCYLBKC6MTJeOXg01kqC6MDA"/>
    <s v="Koffi Roger"/>
    <s v="http://www.youtube.com/channel/UCYLBKC6MTJeOXg01kqC6MDA"/>
    <m/>
    <s v="Ci9JYIJstPY"/>
    <s v="https://www.youtube.com/watch?v=Ci9JYIJstPY"/>
    <s v="none"/>
    <n v="6"/>
    <x v="83"/>
    <d v="2021-05-06T02:15:58.000"/>
    <m/>
    <m/>
    <s v=""/>
    <n v="1"/>
    <s v="1"/>
    <s v="1"/>
    <n v="1"/>
    <n v="4.761904761904762"/>
    <n v="0"/>
    <n v="0"/>
    <n v="0"/>
    <n v="0"/>
    <n v="20"/>
    <n v="95.23809523809524"/>
    <n v="21"/>
  </r>
  <r>
    <s v="UCvVUYpk8YYQ9-_bJt38X4ZQ"/>
    <s v="UCrrFW5ckKRfBEOBxH3k9anQ"/>
    <s v="128, 128, 128"/>
    <n v="3"/>
    <m/>
    <n v="40"/>
    <m/>
    <m/>
    <m/>
    <m/>
    <s v="No"/>
    <n v="90"/>
    <m/>
    <m/>
    <s v="Commented Video"/>
    <x v="0"/>
    <s v="Chris yapi tu es un chef w je suis trop fan de toi 🥰"/>
    <s v="UCvVUYpk8YYQ9-_bJt38X4ZQ"/>
    <s v="Fulgence Kouassi"/>
    <s v="http://www.youtube.com/channel/UCvVUYpk8YYQ9-_bJt38X4ZQ"/>
    <m/>
    <s v="Ci9JYIJstPY"/>
    <s v="https://www.youtube.com/watch?v=Ci9JYIJstPY"/>
    <s v="none"/>
    <n v="1"/>
    <x v="84"/>
    <d v="2021-05-06T02:17:39.000"/>
    <m/>
    <m/>
    <s v=""/>
    <n v="1"/>
    <s v="1"/>
    <s v="1"/>
    <n v="0"/>
    <n v="0"/>
    <n v="0"/>
    <n v="0"/>
    <n v="0"/>
    <n v="0"/>
    <n v="13"/>
    <n v="100"/>
    <n v="13"/>
  </r>
  <r>
    <s v="UCaitnE6wjlW20Chd-97eDcg"/>
    <s v="UCrrFW5ckKRfBEOBxH3k9anQ"/>
    <s v="128, 128, 128"/>
    <n v="3"/>
    <m/>
    <n v="40"/>
    <m/>
    <m/>
    <m/>
    <m/>
    <s v="No"/>
    <n v="91"/>
    <m/>
    <m/>
    <s v="Commented Video"/>
    <x v="0"/>
    <s v="Merci Chris,  je viens d’avoir mon information du jour"/>
    <s v="UCaitnE6wjlW20Chd-97eDcg"/>
    <s v="aka francois Yao"/>
    <s v="http://www.youtube.com/channel/UCaitnE6wjlW20Chd-97eDcg"/>
    <m/>
    <s v="Ci9JYIJstPY"/>
    <s v="https://www.youtube.com/watch?v=Ci9JYIJstPY"/>
    <s v="none"/>
    <n v="0"/>
    <x v="85"/>
    <d v="2021-05-06T02:21:45.000"/>
    <m/>
    <m/>
    <s v=""/>
    <n v="1"/>
    <s v="1"/>
    <s v="1"/>
    <n v="1"/>
    <n v="10"/>
    <n v="0"/>
    <n v="0"/>
    <n v="0"/>
    <n v="0"/>
    <n v="9"/>
    <n v="90"/>
    <n v="10"/>
  </r>
  <r>
    <s v="UCoQSabVWR66qts3iy3jSOpg"/>
    <s v="UCrrFW5ckKRfBEOBxH3k9anQ"/>
    <s v="128, 128, 128"/>
    <n v="3"/>
    <m/>
    <n v="40"/>
    <m/>
    <m/>
    <m/>
    <m/>
    <s v="No"/>
    <n v="92"/>
    <m/>
    <m/>
    <s v="Commented Video"/>
    <x v="0"/>
    <s v="Mon ami yapi hooo.grace à toi ns avançons dieu te bénisse."/>
    <s v="UCoQSabVWR66qts3iy3jSOpg"/>
    <s v="Gozie Abraham"/>
    <s v="http://www.youtube.com/channel/UCoQSabVWR66qts3iy3jSOpg"/>
    <m/>
    <s v="Ci9JYIJstPY"/>
    <s v="https://www.youtube.com/watch?v=Ci9JYIJstPY"/>
    <s v="none"/>
    <n v="11"/>
    <x v="86"/>
    <d v="2021-05-06T02:41:57.000"/>
    <m/>
    <m/>
    <s v=""/>
    <n v="1"/>
    <s v="1"/>
    <s v="1"/>
    <n v="2"/>
    <n v="16.666666666666668"/>
    <n v="1"/>
    <n v="8.333333333333334"/>
    <n v="0"/>
    <n v="0"/>
    <n v="10"/>
    <n v="83.33333333333333"/>
    <n v="12"/>
  </r>
  <r>
    <s v="UCishp5q9_MBqughD8R6_7dQ"/>
    <s v="UCo-1mM9alLT2usoVWBUFvmw"/>
    <s v="128, 128, 128"/>
    <n v="3"/>
    <m/>
    <n v="40"/>
    <m/>
    <m/>
    <m/>
    <m/>
    <s v="No"/>
    <n v="93"/>
    <m/>
    <m/>
    <s v="Replied Comment"/>
    <x v="1"/>
    <s v="Mais donc vous croyez à  l&amp;#39;hypocrisie de dramane ?il n&amp;#39;est pas prêt"/>
    <s v="UCishp5q9_MBqughD8R6_7dQ"/>
    <s v="sandrine monhiro"/>
    <s v="http://www.youtube.com/channel/UCishp5q9_MBqughD8R6_7dQ"/>
    <s v="Ugyb2mFzLDoF4auNPld4AaABAg"/>
    <s v="Ci9JYIJstPY"/>
    <s v="https://www.youtube.com/watch?v=Ci9JYIJstPY"/>
    <s v="none"/>
    <n v="0"/>
    <x v="87"/>
    <d v="2021-05-07T01:08:16.000"/>
    <m/>
    <m/>
    <s v=""/>
    <n v="1"/>
    <s v="15"/>
    <s v="15"/>
    <n v="1"/>
    <n v="6.25"/>
    <n v="2"/>
    <n v="12.5"/>
    <n v="0"/>
    <n v="0"/>
    <n v="14"/>
    <n v="87.5"/>
    <n v="16"/>
  </r>
  <r>
    <s v="UCo-1mM9alLT2usoVWBUFvmw"/>
    <s v="UCrrFW5ckKRfBEOBxH3k9anQ"/>
    <s v="128, 128, 128"/>
    <n v="3"/>
    <m/>
    <n v="40"/>
    <m/>
    <m/>
    <m/>
    <m/>
    <s v="No"/>
    <n v="94"/>
    <m/>
    <m/>
    <s v="Commented Video"/>
    <x v="0"/>
    <s v="Chris yapi tes fort...&lt;br /&gt;si ado arrete Dpickass alors c&amp;#39;est la preuve par 4! qu&amp;#39;ils n&amp;#39;est pas prêt pour la réconciliation!"/>
    <s v="UCo-1mM9alLT2usoVWBUFvmw"/>
    <s v="Esdrass Jesusandhisbible"/>
    <s v="http://www.youtube.com/channel/UCo-1mM9alLT2usoVWBUFvmw"/>
    <m/>
    <s v="Ci9JYIJstPY"/>
    <s v="https://www.youtube.com/watch?v=Ci9JYIJstPY"/>
    <s v="none"/>
    <n v="12"/>
    <x v="88"/>
    <d v="2021-05-06T02:44:15.000"/>
    <m/>
    <m/>
    <s v=""/>
    <n v="1"/>
    <s v="15"/>
    <s v="1"/>
    <n v="2"/>
    <n v="7.142857142857143"/>
    <n v="2"/>
    <n v="7.142857142857143"/>
    <n v="0"/>
    <n v="0"/>
    <n v="26"/>
    <n v="92.85714285714286"/>
    <n v="28"/>
  </r>
  <r>
    <s v="UCdFyXE6ByRRVO4-N4013PIw"/>
    <s v="UCeTcR0X09XqHMGgZ9pNyXYg"/>
    <s v="128, 128, 128"/>
    <n v="3"/>
    <m/>
    <n v="40"/>
    <m/>
    <m/>
    <m/>
    <m/>
    <s v="No"/>
    <n v="95"/>
    <m/>
    <m/>
    <s v="Replied Comment"/>
    <x v="1"/>
    <s v="oui madame moi aussi j ai la meme sensation j ai aussi peur parce que dramane est capable de tout"/>
    <s v="UCdFyXE6ByRRVO4-N4013PIw"/>
    <s v="André Vignal"/>
    <s v="http://www.youtube.com/channel/UCdFyXE6ByRRVO4-N4013PIw"/>
    <s v="Ugxl-c9co2pGhH4eFHZ4AaABAg"/>
    <s v="Ci9JYIJstPY"/>
    <s v="https://www.youtube.com/watch?v=Ci9JYIJstPY"/>
    <s v="none"/>
    <n v="1"/>
    <x v="89"/>
    <d v="2021-05-06T08:03:57.000"/>
    <m/>
    <m/>
    <s v=""/>
    <n v="1"/>
    <s v="3"/>
    <s v="3"/>
    <n v="2"/>
    <n v="10"/>
    <n v="2"/>
    <n v="10"/>
    <n v="0"/>
    <n v="0"/>
    <n v="17"/>
    <n v="85"/>
    <n v="20"/>
  </r>
  <r>
    <s v="UCUNOTEzOFt3gZ53n2hAjWtw"/>
    <s v="UCeTcR0X09XqHMGgZ9pNyXYg"/>
    <s v="128, 128, 128"/>
    <n v="3"/>
    <m/>
    <n v="40"/>
    <m/>
    <m/>
    <m/>
    <m/>
    <s v="No"/>
    <n v="96"/>
    <m/>
    <m/>
    <s v="Replied Comment"/>
    <x v="1"/>
    <s v="C&amp;#39;est justement ce que je disais hier. Attendons tous que GBAGBO rentre au pays pour commencer . Pas maintenant."/>
    <s v="UCUNOTEzOFt3gZ53n2hAjWtw"/>
    <s v="Bi Tchéin Alain Tian"/>
    <s v="http://www.youtube.com/channel/UCUNOTEzOFt3gZ53n2hAjWtw"/>
    <s v="Ugxl-c9co2pGhH4eFHZ4AaABAg"/>
    <s v="Ci9JYIJstPY"/>
    <s v="https://www.youtube.com/watch?v=Ci9JYIJstPY"/>
    <s v="none"/>
    <n v="3"/>
    <x v="90"/>
    <d v="2021-05-06T10:03:26.000"/>
    <m/>
    <m/>
    <s v=""/>
    <n v="1"/>
    <s v="3"/>
    <s v="3"/>
    <n v="1"/>
    <n v="5"/>
    <n v="1"/>
    <n v="5"/>
    <n v="0"/>
    <n v="0"/>
    <n v="19"/>
    <n v="95"/>
    <n v="20"/>
  </r>
  <r>
    <s v="UCbL03UQ7gBi1CmUVQVlrs5Q"/>
    <s v="UCeTcR0X09XqHMGgZ9pNyXYg"/>
    <s v="128, 128, 128"/>
    <n v="3"/>
    <m/>
    <n v="40"/>
    <m/>
    <m/>
    <m/>
    <m/>
    <s v="No"/>
    <n v="97"/>
    <m/>
    <m/>
    <s v="Replied Comment"/>
    <x v="1"/>
    <s v="Justement il fallait pas ; c&amp;#39;est trop dangereux avec ce régime. Vaut mieux tard que jamais. Quand on est vivant l&amp;#39;espoir est possible. Il faut jamais se précipiter dans la gueule du loup."/>
    <s v="UCbL03UQ7gBi1CmUVQVlrs5Q"/>
    <s v="Ahmed Saleh"/>
    <s v="http://www.youtube.com/channel/UCbL03UQ7gBi1CmUVQVlrs5Q"/>
    <s v="Ugxl-c9co2pGhH4eFHZ4AaABAg"/>
    <s v="Ci9JYIJstPY"/>
    <s v="https://www.youtube.com/watch?v=Ci9JYIJstPY"/>
    <s v="none"/>
    <n v="1"/>
    <x v="91"/>
    <d v="2021-05-07T11:17:37.000"/>
    <m/>
    <m/>
    <s v=""/>
    <n v="1"/>
    <s v="3"/>
    <s v="3"/>
    <n v="3"/>
    <n v="8.333333333333334"/>
    <n v="4"/>
    <n v="11.11111111111111"/>
    <n v="0"/>
    <n v="0"/>
    <n v="30"/>
    <n v="83.33333333333333"/>
    <n v="36"/>
  </r>
  <r>
    <s v="UCeTcR0X09XqHMGgZ9pNyXYg"/>
    <s v="UCrrFW5ckKRfBEOBxH3k9anQ"/>
    <s v="128, 128, 128"/>
    <n v="3"/>
    <m/>
    <n v="40"/>
    <m/>
    <m/>
    <m/>
    <m/>
    <s v="No"/>
    <n v="98"/>
    <m/>
    <m/>
    <s v="Commented Video"/>
    <x v="0"/>
    <s v="On dira que je suis pessimiste mais j’ai peur pour nos parents qui viennent de rentrer. Je leur recommande donc l’extrême prudence car aujourd’hui il ne faut faire confiance à personne, même pas à sa propre ombre."/>
    <s v="UCeTcR0X09XqHMGgZ9pNyXYg"/>
    <s v="Gbele Guehi"/>
    <s v="http://www.youtube.com/channel/UCeTcR0X09XqHMGgZ9pNyXYg"/>
    <m/>
    <s v="Ci9JYIJstPY"/>
    <s v="https://www.youtube.com/watch?v=Ci9JYIJstPY"/>
    <s v="none"/>
    <n v="40"/>
    <x v="92"/>
    <d v="2021-05-06T03:14:17.000"/>
    <m/>
    <m/>
    <s v=""/>
    <n v="1"/>
    <s v="3"/>
    <s v="1"/>
    <n v="3"/>
    <n v="7.5"/>
    <n v="7"/>
    <n v="17.5"/>
    <n v="0"/>
    <n v="0"/>
    <n v="33"/>
    <n v="82.5"/>
    <n v="40"/>
  </r>
  <r>
    <s v="UC8WBpQXmB0gMLP_1jDliwLg"/>
    <s v="UCrrFW5ckKRfBEOBxH3k9anQ"/>
    <s v="128, 128, 128"/>
    <n v="3"/>
    <m/>
    <n v="40"/>
    <m/>
    <m/>
    <m/>
    <m/>
    <s v="No"/>
    <n v="99"/>
    <m/>
    <m/>
    <s v="Commented Video"/>
    <x v="0"/>
    <s v="La liberté d’expression à l occident est permit à tous. Mais avec ces vieux démons d Afrique les gens ne peuvent plus parler. Mais que Mr Dramane et ses affamés sachent que nous les ivoiriens en ont marre de ses arrestations hein!"/>
    <s v="UC8WBpQXmB0gMLP_1jDliwLg"/>
    <s v="Yakia Guiyoro"/>
    <s v="http://www.youtube.com/channel/UC8WBpQXmB0gMLP_1jDliwLg"/>
    <m/>
    <s v="Ci9JYIJstPY"/>
    <s v="https://www.youtube.com/watch?v=Ci9JYIJstPY"/>
    <s v="none"/>
    <n v="0"/>
    <x v="93"/>
    <d v="2021-05-06T03:39:50.000"/>
    <m/>
    <m/>
    <s v=""/>
    <n v="1"/>
    <s v="1"/>
    <s v="1"/>
    <n v="2"/>
    <n v="4.651162790697675"/>
    <n v="1"/>
    <n v="2.3255813953488373"/>
    <n v="0"/>
    <n v="0"/>
    <n v="40"/>
    <n v="93.02325581395348"/>
    <n v="43"/>
  </r>
  <r>
    <s v="UCeDtLNEDoMVNjXOzXfJlvfA"/>
    <s v="UCrrFW5ckKRfBEOBxH3k9anQ"/>
    <s v="128, 128, 128"/>
    <n v="3"/>
    <m/>
    <n v="40"/>
    <m/>
    <m/>
    <m/>
    <m/>
    <s v="No"/>
    <n v="100"/>
    <m/>
    <m/>
    <s v="Commented Video"/>
    <x v="0"/>
    <s v="Damanan pickass a dit la vérité. Dramane Ouattara n&amp;#39;a jamais gagné les élections élections de 2010 raison pour laquelle il a fait la guerre au lieu de d&amp;#39;accepter le recomptage des voix."/>
    <s v="UCeDtLNEDoMVNjXOzXfJlvfA"/>
    <s v="Donatien Attiapo"/>
    <s v="http://www.youtube.com/channel/UCeDtLNEDoMVNjXOzXfJlvfA"/>
    <m/>
    <s v="Ci9JYIJstPY"/>
    <s v="https://www.youtube.com/watch?v=Ci9JYIJstPY"/>
    <s v="none"/>
    <n v="3"/>
    <x v="94"/>
    <d v="2021-05-06T04:10:55.000"/>
    <m/>
    <m/>
    <s v=""/>
    <n v="1"/>
    <s v="3"/>
    <s v="1"/>
    <n v="1"/>
    <n v="2.7777777777777777"/>
    <n v="0"/>
    <n v="0"/>
    <n v="0"/>
    <n v="0"/>
    <n v="35"/>
    <n v="97.22222222222223"/>
    <n v="36"/>
  </r>
  <r>
    <s v="UCCyPxP7qhliiDEVs8Cy4MQw"/>
    <s v="UCrrFW5ckKRfBEOBxH3k9anQ"/>
    <s v="128, 128, 128"/>
    <n v="3"/>
    <m/>
    <n v="40"/>
    <m/>
    <m/>
    <m/>
    <m/>
    <s v="No"/>
    <n v="101"/>
    <m/>
    <m/>
    <s v="Commented Video"/>
    <x v="0"/>
    <s v="Quelle honte"/>
    <s v="UCCyPxP7qhliiDEVs8Cy4MQw"/>
    <s v="Iam Yun"/>
    <s v="http://www.youtube.com/channel/UCCyPxP7qhliiDEVs8Cy4MQw"/>
    <m/>
    <s v="Ci9JYIJstPY"/>
    <s v="https://www.youtube.com/watch?v=Ci9JYIJstPY"/>
    <s v="none"/>
    <n v="1"/>
    <x v="95"/>
    <d v="2021-05-06T04:37:44.000"/>
    <m/>
    <m/>
    <s v=""/>
    <n v="1"/>
    <s v="1"/>
    <s v="1"/>
    <n v="0"/>
    <n v="0"/>
    <n v="1"/>
    <n v="50"/>
    <n v="0"/>
    <n v="0"/>
    <n v="1"/>
    <n v="50"/>
    <n v="2"/>
  </r>
  <r>
    <s v="UCCgwcH-i5om6druk2mUlZXA"/>
    <s v="UCrrFW5ckKRfBEOBxH3k9anQ"/>
    <s v="128, 128, 128"/>
    <n v="3"/>
    <m/>
    <n v="40"/>
    <m/>
    <m/>
    <m/>
    <m/>
    <s v="No"/>
    <n v="102"/>
    <m/>
    <m/>
    <s v="Commented Video"/>
    <x v="0"/>
    <s v="Un jour nous les ivoiriens on ecrira notre propre histoire ce qu il s est reelement passe de 1999 jusqu a maintenant"/>
    <s v="UCCgwcH-i5om6druk2mUlZXA"/>
    <s v="Nubian sarodji lyah"/>
    <s v="http://www.youtube.com/channel/UCCgwcH-i5om6druk2mUlZXA"/>
    <m/>
    <s v="Ci9JYIJstPY"/>
    <s v="https://www.youtube.com/watch?v=Ci9JYIJstPY"/>
    <s v="none"/>
    <n v="21"/>
    <x v="96"/>
    <d v="2021-05-06T06:16:04.000"/>
    <m/>
    <m/>
    <s v=""/>
    <n v="1"/>
    <s v="1"/>
    <s v="1"/>
    <n v="1"/>
    <n v="4.545454545454546"/>
    <n v="2"/>
    <n v="9.090909090909092"/>
    <n v="0"/>
    <n v="0"/>
    <n v="20"/>
    <n v="90.9090909090909"/>
    <n v="22"/>
  </r>
  <r>
    <s v="UC9A9nN9mb4IHOrfZDhqpFOw"/>
    <s v="UCrrFW5ckKRfBEOBxH3k9anQ"/>
    <s v="128, 128, 128"/>
    <n v="3"/>
    <m/>
    <n v="40"/>
    <m/>
    <m/>
    <m/>
    <m/>
    <s v="No"/>
    <n v="103"/>
    <m/>
    <m/>
    <s v="Commented Video"/>
    <x v="0"/>
    <s v="Alpha Barry est membre du Lion&amp;#39;s club de Ouagadougou."/>
    <s v="UC9A9nN9mb4IHOrfZDhqpFOw"/>
    <s v="Ahmadou Tidjani Touré"/>
    <s v="http://www.youtube.com/channel/UC9A9nN9mb4IHOrfZDhqpFOw"/>
    <m/>
    <s v="Ci9JYIJstPY"/>
    <s v="https://www.youtube.com/watch?v=Ci9JYIJstPY"/>
    <s v="none"/>
    <n v="0"/>
    <x v="97"/>
    <d v="2021-05-06T06:20:02.000"/>
    <m/>
    <m/>
    <s v=""/>
    <n v="1"/>
    <s v="1"/>
    <s v="1"/>
    <n v="0"/>
    <n v="0"/>
    <n v="0"/>
    <n v="0"/>
    <n v="0"/>
    <n v="0"/>
    <n v="11"/>
    <n v="100"/>
    <n v="11"/>
  </r>
  <r>
    <s v="UCiDI0xQwfpKlvJvDRvO9vLw"/>
    <s v="UCrrFW5ckKRfBEOBxH3k9anQ"/>
    <s v="128, 128, 128"/>
    <n v="3"/>
    <m/>
    <n v="40"/>
    <m/>
    <m/>
    <m/>
    <m/>
    <s v="No"/>
    <n v="104"/>
    <m/>
    <m/>
    <s v="Commented Video"/>
    <x v="0"/>
    <s v="Vous voulez développer votre pays sans résoudre les problèmes de paix et de réconciliation. Votre développement c&amp;#39;est un leurre"/>
    <s v="UCiDI0xQwfpKlvJvDRvO9vLw"/>
    <s v="MIA PERTINENCE"/>
    <s v="http://www.youtube.com/channel/UCiDI0xQwfpKlvJvDRvO9vLw"/>
    <m/>
    <s v="Ci9JYIJstPY"/>
    <s v="https://www.youtube.com/watch?v=Ci9JYIJstPY"/>
    <s v="none"/>
    <n v="1"/>
    <x v="98"/>
    <d v="2021-05-06T06:36:56.000"/>
    <m/>
    <m/>
    <s v=""/>
    <n v="1"/>
    <s v="1"/>
    <s v="1"/>
    <n v="2"/>
    <n v="9.523809523809524"/>
    <n v="5"/>
    <n v="23.80952380952381"/>
    <n v="0"/>
    <n v="0"/>
    <n v="16"/>
    <n v="76.19047619047619"/>
    <n v="21"/>
  </r>
  <r>
    <s v="UCunkBt8tst80YQ9FYwwxCww"/>
    <s v="UCrrFW5ckKRfBEOBxH3k9anQ"/>
    <s v="128, 128, 128"/>
    <n v="3"/>
    <m/>
    <n v="40"/>
    <m/>
    <m/>
    <m/>
    <m/>
    <s v="No"/>
    <n v="105"/>
    <m/>
    <m/>
    <s v="Commented Video"/>
    <x v="0"/>
    <s v="vraiment CY ne met pas ! comme l&amp;#39;a dit Laurent Gbagbo c&amp;#39;est celui qui n&amp;#39;a pas gagné les élections qui a envoyé la guerre. Merci à CY . merci aussi à Damanan . beaucoup de courage et surtout prudent # la fiole#"/>
    <s v="UCunkBt8tst80YQ9FYwwxCww"/>
    <s v="christ yoboue"/>
    <s v="http://www.youtube.com/channel/UCunkBt8tst80YQ9FYwwxCww"/>
    <m/>
    <s v="Ci9JYIJstPY"/>
    <s v="https://www.youtube.com/watch?v=Ci9JYIJstPY"/>
    <s v="none"/>
    <n v="0"/>
    <x v="99"/>
    <d v="2021-05-06T06:38:07.000"/>
    <m/>
    <m/>
    <s v=""/>
    <n v="1"/>
    <s v="1"/>
    <s v="1"/>
    <n v="5"/>
    <n v="11.363636363636363"/>
    <n v="3"/>
    <n v="6.818181818181818"/>
    <n v="0"/>
    <n v="0"/>
    <n v="38"/>
    <n v="86.36363636363636"/>
    <n v="44"/>
  </r>
  <r>
    <s v="UC-v_DfMPBmDqGJ0SJ1vhi7A"/>
    <s v="UCrrFW5ckKRfBEOBxH3k9anQ"/>
    <s v="128, 128, 128"/>
    <n v="3"/>
    <m/>
    <n v="40"/>
    <m/>
    <m/>
    <m/>
    <m/>
    <s v="No"/>
    <n v="106"/>
    <m/>
    <m/>
    <s v="Commented Video"/>
    <x v="0"/>
    <s v="La lutte continue honorable Chris Yapi MERCI 💪🙏"/>
    <s v="UC-v_DfMPBmDqGJ0SJ1vhi7A"/>
    <s v="Angelina Rico"/>
    <s v="http://www.youtube.com/channel/UC-v_DfMPBmDqGJ0SJ1vhi7A"/>
    <m/>
    <s v="Ci9JYIJstPY"/>
    <s v="https://www.youtube.com/watch?v=Ci9JYIJstPY"/>
    <s v="none"/>
    <n v="2"/>
    <x v="100"/>
    <d v="2021-05-06T06:38:55.000"/>
    <m/>
    <m/>
    <s v=""/>
    <n v="1"/>
    <s v="1"/>
    <s v="1"/>
    <n v="2"/>
    <n v="28.571428571428573"/>
    <n v="1"/>
    <n v="14.285714285714286"/>
    <n v="0"/>
    <n v="0"/>
    <n v="4"/>
    <n v="57.142857142857146"/>
    <n v="7"/>
  </r>
  <r>
    <s v="UCYsg4VABOBN1XtYD2gNdOwg"/>
    <s v="UCrrFW5ckKRfBEOBxH3k9anQ"/>
    <s v="128, 128, 128"/>
    <n v="3"/>
    <m/>
    <n v="40"/>
    <m/>
    <m/>
    <m/>
    <m/>
    <s v="No"/>
    <n v="107"/>
    <m/>
    <m/>
    <s v="Commented Video"/>
    <x v="0"/>
    <s v="Mr Christ  Yapi .posso né  en cote D&amp;#39;Ivoire  n&amp;#39;est pas comme mossi du BURKINA  ."/>
    <s v="UCYsg4VABOBN1XtYD2gNdOwg"/>
    <s v="Nadine Kouadio"/>
    <s v="http://www.youtube.com/channel/UCYsg4VABOBN1XtYD2gNdOwg"/>
    <m/>
    <s v="Ci9JYIJstPY"/>
    <s v="https://www.youtube.com/watch?v=Ci9JYIJstPY"/>
    <s v="none"/>
    <n v="0"/>
    <x v="101"/>
    <d v="2021-05-06T06:42:36.000"/>
    <m/>
    <m/>
    <s v=""/>
    <n v="1"/>
    <s v="1"/>
    <s v="1"/>
    <n v="1"/>
    <n v="5.555555555555555"/>
    <n v="1"/>
    <n v="5.555555555555555"/>
    <n v="0"/>
    <n v="0"/>
    <n v="17"/>
    <n v="94.44444444444444"/>
    <n v="18"/>
  </r>
  <r>
    <s v="UCa-c9vgdSoHvqOCFptOF0pw"/>
    <s v="UC9dH-l4WR9TOp4uZLMSmQ3A"/>
    <s v="128, 128, 128"/>
    <n v="3"/>
    <m/>
    <n v="40"/>
    <m/>
    <m/>
    <m/>
    <m/>
    <s v="No"/>
    <n v="108"/>
    <m/>
    <m/>
    <s v="Replied Comment"/>
    <x v="1"/>
    <s v="Par le recomptage des voix proposé par le Président Laurent Gbagbo&lt;br /&gt;Lorsque tu dis tu as raison et que l&amp;#39;on te donne la chance de le trouver tu acoures"/>
    <s v="UCa-c9vgdSoHvqOCFptOF0pw"/>
    <s v="digbe gildas"/>
    <s v="http://www.youtube.com/channel/UCa-c9vgdSoHvqOCFptOF0pw"/>
    <s v="Ugzgu1aB1YOFj4h_iiR4AaABAg"/>
    <s v="Ci9JYIJstPY"/>
    <s v="https://www.youtube.com/watch?v="/>
    <s v="none"/>
    <n v="1"/>
    <x v="102"/>
    <d v="2021-05-06T11:17:45.000"/>
    <m/>
    <m/>
    <s v=""/>
    <n v="1"/>
    <s v="4"/>
    <s v="4"/>
    <n v="1"/>
    <n v="3.125"/>
    <n v="1"/>
    <n v="3.125"/>
    <n v="0"/>
    <n v="0"/>
    <n v="31"/>
    <n v="96.875"/>
    <n v="32"/>
  </r>
  <r>
    <s v="UC2HCeJs0vX3ulCsRo6tcDCA"/>
    <s v="UC9dH-l4WR9TOp4uZLMSmQ3A"/>
    <s v="171, 85, 85"/>
    <n v="3"/>
    <m/>
    <n v="40"/>
    <m/>
    <m/>
    <m/>
    <m/>
    <s v="No"/>
    <n v="109"/>
    <m/>
    <m/>
    <s v="Replied Comment"/>
    <x v="1"/>
    <s v="Pourquoi vous aimez mentir de la sorte !? Pour vous donner bonne conscience apparemment... Gbagbo n&amp;#39;a jamais été vomi par les ivoiriens, il a bel et bien gagné ces élections ! Quelqu&amp;#39;un qui est vomi par son peuple peut être premier au premier tour des élections !? Tchrrr"/>
    <s v="UC2HCeJs0vX3ulCsRo6tcDCA"/>
    <s v="Candide 83"/>
    <s v="http://www.youtube.com/channel/UC2HCeJs0vX3ulCsRo6tcDCA"/>
    <s v="Ugzgu1aB1YOFj4h_iiR4AaABAg"/>
    <s v="Ci9JYIJstPY"/>
    <s v="https://www.youtube.com/watch?v="/>
    <s v="none"/>
    <n v="0"/>
    <x v="103"/>
    <d v="2021-05-06T13:00:57.000"/>
    <m/>
    <m/>
    <s v=""/>
    <n v="2"/>
    <s v="4"/>
    <s v="4"/>
    <n v="5"/>
    <n v="10.204081632653061"/>
    <n v="5"/>
    <n v="10.204081632653061"/>
    <n v="0"/>
    <n v="0"/>
    <n v="43"/>
    <n v="87.75510204081633"/>
    <n v="49"/>
  </r>
  <r>
    <s v="UC2HCeJs0vX3ulCsRo6tcDCA"/>
    <s v="UC9dH-l4WR9TOp4uZLMSmQ3A"/>
    <s v="171, 85, 85"/>
    <n v="3"/>
    <m/>
    <n v="40"/>
    <m/>
    <m/>
    <m/>
    <m/>
    <s v="No"/>
    <n v="110"/>
    <m/>
    <m/>
    <s v="Replied Comment"/>
    <x v="1"/>
    <s v="@Je suis le CNT déjà, refais le calcul pour avoir les 100%😉 au premier tour, et si tu avais réellement suivi les élections au second tour tu aurais eu la preuve de la fraude massive dans le nord et du taux élevé d&amp;#39;abstention dans le centre..."/>
    <s v="UC2HCeJs0vX3ulCsRo6tcDCA"/>
    <s v="Candide 83"/>
    <s v="http://www.youtube.com/channel/UC2HCeJs0vX3ulCsRo6tcDCA"/>
    <s v="Ugzgu1aB1YOFj4h_iiR4AaABAg"/>
    <s v="Ci9JYIJstPY"/>
    <s v="https://www.youtube.com/watch?v="/>
    <s v="none"/>
    <n v="0"/>
    <x v="104"/>
    <d v="2021-05-06T15:56:03.000"/>
    <m/>
    <m/>
    <s v=""/>
    <n v="2"/>
    <s v="4"/>
    <s v="4"/>
    <n v="1"/>
    <n v="2.0833333333333335"/>
    <n v="2"/>
    <n v="4.166666666666667"/>
    <n v="0"/>
    <n v="0"/>
    <n v="46"/>
    <n v="95.83333333333333"/>
    <n v="48"/>
  </r>
  <r>
    <s v="UC9dH-l4WR9TOp4uZLMSmQ3A"/>
    <s v="UC9dH-l4WR9TOp4uZLMSmQ3A"/>
    <s v="Red"/>
    <n v="3"/>
    <m/>
    <n v="40"/>
    <m/>
    <m/>
    <m/>
    <m/>
    <s v="No"/>
    <n v="111"/>
    <m/>
    <m/>
    <s v="Replied Comment"/>
    <x v="1"/>
    <s v="@digbe gildas t’aurais été à la place de l’opposition d’alors accepterais-tu un récomptage des voix avec la suppression des régions du nord 🤔"/>
    <s v="UC9dH-l4WR9TOp4uZLMSmQ3A"/>
    <s v="Je suis le CNT"/>
    <s v="http://www.youtube.com/channel/UC9dH-l4WR9TOp4uZLMSmQ3A"/>
    <s v="Ugzgu1aB1YOFj4h_iiR4AaABAg"/>
    <s v="Ci9JYIJstPY"/>
    <s v="https://www.youtube.com/watch?v="/>
    <s v="none"/>
    <n v="0"/>
    <x v="105"/>
    <d v="2021-05-06T11:47:28.000"/>
    <m/>
    <m/>
    <s v=""/>
    <n v="4"/>
    <s v="4"/>
    <s v="4"/>
    <n v="0"/>
    <n v="0"/>
    <n v="2"/>
    <n v="7.6923076923076925"/>
    <n v="0"/>
    <n v="0"/>
    <n v="24"/>
    <n v="92.3076923076923"/>
    <n v="26"/>
  </r>
  <r>
    <s v="UC9dH-l4WR9TOp4uZLMSmQ3A"/>
    <s v="UC9dH-l4WR9TOp4uZLMSmQ3A"/>
    <s v="Red"/>
    <n v="3"/>
    <m/>
    <n v="40"/>
    <m/>
    <m/>
    <m/>
    <m/>
    <s v="No"/>
    <n v="112"/>
    <m/>
    <m/>
    <s v="Replied Comment"/>
    <x v="1"/>
    <s v="@Candide 83 pour mémoire 1er tour Gbagbo 46% Ouattara 35% Bédié 25% où est-ce que le président Gbagbo a eu d’autres voix pour prétendre avoir gagné au second 🤔"/>
    <s v="UC9dH-l4WR9TOp4uZLMSmQ3A"/>
    <s v="Je suis le CNT"/>
    <s v="http://www.youtube.com/channel/UC9dH-l4WR9TOp4uZLMSmQ3A"/>
    <s v="Ugzgu1aB1YOFj4h_iiR4AaABAg"/>
    <s v="Ci9JYIJstPY"/>
    <s v="https://www.youtube.com/watch?v="/>
    <s v="none"/>
    <n v="0"/>
    <x v="106"/>
    <d v="2021-05-06T15:48:10.000"/>
    <m/>
    <m/>
    <s v=""/>
    <n v="4"/>
    <s v="4"/>
    <s v="4"/>
    <n v="1"/>
    <n v="3.3333333333333335"/>
    <n v="1"/>
    <n v="3.3333333333333335"/>
    <n v="0"/>
    <n v="0"/>
    <n v="28"/>
    <n v="93.33333333333333"/>
    <n v="30"/>
  </r>
  <r>
    <s v="UC9dH-l4WR9TOp4uZLMSmQ3A"/>
    <s v="UC9dH-l4WR9TOp4uZLMSmQ3A"/>
    <s v="Red"/>
    <n v="3"/>
    <m/>
    <n v="40"/>
    <m/>
    <m/>
    <m/>
    <m/>
    <s v="No"/>
    <n v="113"/>
    <m/>
    <m/>
    <s v="Replied Comment"/>
    <x v="1"/>
    <s v="@Candide 83 ma chère on peut toujours faire les calcules pour avoir 100% mais la question que je pose est où est-ce que Mr Gbagbo a eu le complément de voix pour lui permettre de battre le rdr et le pdci? Tous ont accepté les résultats du 1er tour et nous savons que le centre est la base électorale du pdci qui a appelé à voter son allié. À l’ouest bastion du fpi tu as aussi l’udpci de Mabri qui a appelé à voter ouattara partant de là le calcule est vite fait"/>
    <s v="UC9dH-l4WR9TOp4uZLMSmQ3A"/>
    <s v="Je suis le CNT"/>
    <s v="http://www.youtube.com/channel/UC9dH-l4WR9TOp4uZLMSmQ3A"/>
    <s v="Ugzgu1aB1YOFj4h_iiR4AaABAg"/>
    <s v="Ci9JYIJstPY"/>
    <s v="https://www.youtube.com/watch?v="/>
    <s v="none"/>
    <n v="0"/>
    <x v="107"/>
    <d v="2021-05-06T16:12:11.000"/>
    <m/>
    <m/>
    <s v=""/>
    <n v="4"/>
    <s v="4"/>
    <s v="4"/>
    <n v="5"/>
    <n v="5.208333333333333"/>
    <n v="5"/>
    <n v="5.208333333333333"/>
    <n v="0"/>
    <n v="0"/>
    <n v="89"/>
    <n v="92.70833333333333"/>
    <n v="96"/>
  </r>
  <r>
    <s v="UC9dH-l4WR9TOp4uZLMSmQ3A"/>
    <s v="UC9dH-l4WR9TOp4uZLMSmQ3A"/>
    <s v="Red"/>
    <n v="3"/>
    <m/>
    <n v="40"/>
    <m/>
    <m/>
    <m/>
    <m/>
    <s v="No"/>
    <n v="114"/>
    <m/>
    <m/>
    <s v="Replied Comment"/>
    <x v="1"/>
    <s v="@Candide 83 pour les voix je pense que c’est 38% pour Gbagbo 32%pour dramane ouattara 25% pour Bédié et le reste c’est à dire 5% pour les reste des candidats 🥴"/>
    <s v="UC9dH-l4WR9TOp4uZLMSmQ3A"/>
    <s v="Je suis le CNT"/>
    <s v="http://www.youtube.com/channel/UC9dH-l4WR9TOp4uZLMSmQ3A"/>
    <s v="Ugzgu1aB1YOFj4h_iiR4AaABAg"/>
    <s v="Ci9JYIJstPY"/>
    <s v="https://www.youtube.com/watch?v="/>
    <s v="none"/>
    <n v="0"/>
    <x v="108"/>
    <d v="2021-05-06T16:18:25.000"/>
    <m/>
    <m/>
    <s v=""/>
    <n v="4"/>
    <s v="4"/>
    <s v="4"/>
    <n v="0"/>
    <n v="0"/>
    <n v="2"/>
    <n v="6.0606060606060606"/>
    <n v="0"/>
    <n v="0"/>
    <n v="31"/>
    <n v="93.93939393939394"/>
    <n v="33"/>
  </r>
  <r>
    <s v="UC9dH-l4WR9TOp4uZLMSmQ3A"/>
    <s v="UCrrFW5ckKRfBEOBxH3k9anQ"/>
    <s v="128, 128, 128"/>
    <n v="3"/>
    <m/>
    <n v="40"/>
    <m/>
    <m/>
    <m/>
    <m/>
    <s v="No"/>
    <n v="115"/>
    <m/>
    <m/>
    <s v="Commented Video"/>
    <x v="0"/>
    <s v="Ma question aux GORS cmt pouvez-vous pensez que le FPI de 2010 qui était vomit par bon nombre d’ivoiriens( un peu comme le rhum aujourd’hui) à cause des RAV4 qu’il distribuait aux petites filles😜 pouvait gagner l’alliance PDCI-RDR 🤔 si on suit votre logique Ouattara qui est vomit par le peuple Ivoirien pouvait nous dire qu’il allait gagner les élections de 2020 face à l’alliance PDCI-FPI-GPS? Franchement on a encore un long chemin à parcourir."/>
    <s v="UC9dH-l4WR9TOp4uZLMSmQ3A"/>
    <s v="Je suis le CNT"/>
    <s v="http://www.youtube.com/channel/UC9dH-l4WR9TOp4uZLMSmQ3A"/>
    <m/>
    <s v="Ci9JYIJstPY"/>
    <s v="https://www.youtube.com/watch?v=Ci9JYIJstPY"/>
    <s v="none"/>
    <n v="1"/>
    <x v="109"/>
    <d v="2021-05-06T06:55:21.000"/>
    <m/>
    <m/>
    <s v=""/>
    <n v="1"/>
    <s v="4"/>
    <s v="1"/>
    <n v="7"/>
    <n v="8.333333333333334"/>
    <n v="7"/>
    <n v="8.333333333333334"/>
    <n v="0"/>
    <n v="0"/>
    <n v="75"/>
    <n v="89.28571428571429"/>
    <n v="84"/>
  </r>
  <r>
    <s v="UCpQuPFNJJfqdUWIOXjqxcfw"/>
    <s v="UCrrFW5ckKRfBEOBxH3k9anQ"/>
    <s v="212, 43, 43"/>
    <n v="3"/>
    <m/>
    <n v="40"/>
    <m/>
    <m/>
    <m/>
    <m/>
    <s v="No"/>
    <n v="116"/>
    <m/>
    <m/>
    <s v="Commented Video"/>
    <x v="0"/>
    <s v="C&amp;#39;est un peulh du Burkina.  Les peulh sont de très grands traîtres faut le savoir. C est pour ça qu&amp;#39;en Guinée Dallein Diallo sera jamais président même si je n&amp;#39;aime pas Alpha condé"/>
    <s v="UCpQuPFNJJfqdUWIOXjqxcfw"/>
    <s v="oumar diaby"/>
    <s v="http://www.youtube.com/channel/UCpQuPFNJJfqdUWIOXjqxcfw"/>
    <m/>
    <s v="Ci9JYIJstPY"/>
    <s v="https://www.youtube.com/watch?v=Ci9JYIJstPY"/>
    <s v="none"/>
    <n v="0"/>
    <x v="110"/>
    <d v="2021-05-06T06:54:58.000"/>
    <m/>
    <m/>
    <s v=""/>
    <n v="3"/>
    <s v="1"/>
    <s v="1"/>
    <n v="1"/>
    <n v="2.5641025641025643"/>
    <n v="0"/>
    <n v="0"/>
    <n v="0"/>
    <n v="0"/>
    <n v="38"/>
    <n v="97.43589743589743"/>
    <n v="39"/>
  </r>
  <r>
    <s v="UCpQuPFNJJfqdUWIOXjqxcfw"/>
    <s v="UCrrFW5ckKRfBEOBxH3k9anQ"/>
    <s v="212, 43, 43"/>
    <n v="3"/>
    <m/>
    <n v="40"/>
    <m/>
    <m/>
    <m/>
    <m/>
    <s v="No"/>
    <n v="117"/>
    <m/>
    <m/>
    <s v="Commented Video"/>
    <x v="0"/>
    <s v="Djaaa tu avais raison Damana Pickass de tirer les feuilles là wallaye"/>
    <s v="UCpQuPFNJJfqdUWIOXjqxcfw"/>
    <s v="oumar diaby"/>
    <s v="http://www.youtube.com/channel/UCpQuPFNJJfqdUWIOXjqxcfw"/>
    <m/>
    <s v="Ci9JYIJstPY"/>
    <s v="https://www.youtube.com/watch?v=Ci9JYIJstPY"/>
    <s v="none"/>
    <n v="0"/>
    <x v="111"/>
    <d v="2021-05-06T06:56:16.000"/>
    <m/>
    <m/>
    <s v=""/>
    <n v="3"/>
    <s v="1"/>
    <s v="1"/>
    <n v="0"/>
    <n v="0"/>
    <n v="1"/>
    <n v="8.333333333333334"/>
    <n v="0"/>
    <n v="0"/>
    <n v="11"/>
    <n v="91.66666666666667"/>
    <n v="12"/>
  </r>
  <r>
    <s v="UCpQuPFNJJfqdUWIOXjqxcfw"/>
    <s v="UCrrFW5ckKRfBEOBxH3k9anQ"/>
    <s v="212, 43, 43"/>
    <n v="3"/>
    <m/>
    <n v="40"/>
    <m/>
    <m/>
    <m/>
    <m/>
    <s v="No"/>
    <n v="118"/>
    <m/>
    <m/>
    <s v="Commented Video"/>
    <x v="0"/>
    <s v="WAllah je comprends maintenant que c&amp;#39;est Gbagbo qui avait gagné en 2010. Ouattara le feticheur de saindoux sera humilié. DIEU est le meilleur des Juges"/>
    <s v="UCpQuPFNJJfqdUWIOXjqxcfw"/>
    <s v="oumar diaby"/>
    <s v="http://www.youtube.com/channel/UCpQuPFNJJfqdUWIOXjqxcfw"/>
    <m/>
    <s v="Ci9JYIJstPY"/>
    <s v="https://www.youtube.com/watch?v=Ci9JYIJstPY"/>
    <s v="none"/>
    <n v="1"/>
    <x v="112"/>
    <d v="2021-05-06T06:59:38.000"/>
    <m/>
    <m/>
    <s v=""/>
    <n v="3"/>
    <s v="1"/>
    <s v="1"/>
    <n v="2"/>
    <n v="7.407407407407407"/>
    <n v="1"/>
    <n v="3.7037037037037037"/>
    <n v="0"/>
    <n v="0"/>
    <n v="25"/>
    <n v="92.5925925925926"/>
    <n v="27"/>
  </r>
  <r>
    <s v="UC5AkY5b5nnJO5vX_Tzw-omw"/>
    <s v="UCrrFW5ckKRfBEOBxH3k9anQ"/>
    <s v="128, 128, 128"/>
    <n v="3"/>
    <m/>
    <n v="40"/>
    <m/>
    <m/>
    <m/>
    <m/>
    <s v="No"/>
    <n v="119"/>
    <m/>
    <m/>
    <s v="Commented Video"/>
    <x v="0"/>
    <s v="OSONS LE PARDON ET LA RÉCONCILIATION SINCÈRES FAISONS SORTIR L AVENIR DU PASSÉ EN OUBLIANT NOTRE PASSÉ SOMBRE RÉCENT QUE DIEU SWT NOUS FACILITE LA BONNE COMPRÉHENSION ALLAHOMA AMINE PUNTO ET BASTA &lt;a href=&quot;http://www.youtube.com/results?search_query=%23rgps&quot;&gt;#RGPS&lt;/a&gt;#"/>
    <s v="UC5AkY5b5nnJO5vX_Tzw-omw"/>
    <s v="TOURE BOUA OUMAR"/>
    <s v="http://www.youtube.com/channel/UC5AkY5b5nnJO5vX_Tzw-omw"/>
    <m/>
    <s v="Ci9JYIJstPY"/>
    <s v="https://www.youtube.com/watch?v=Ci9JYIJstPY"/>
    <s v="none"/>
    <n v="0"/>
    <x v="113"/>
    <d v="2021-05-06T07:02:33.000"/>
    <s v=" http://www.youtube.com/results?search_query=%23rgps"/>
    <s v="youtube.com"/>
    <s v=""/>
    <n v="1"/>
    <s v="1"/>
    <s v="1"/>
    <n v="4"/>
    <n v="9.30232558139535"/>
    <n v="3"/>
    <n v="6.976744186046512"/>
    <n v="0"/>
    <n v="0"/>
    <n v="38"/>
    <n v="88.37209302325581"/>
    <n v="43"/>
  </r>
  <r>
    <s v="UCitFNkeSCSx9gcQMfyYjkKQ"/>
    <s v="UCrrFW5ckKRfBEOBxH3k9anQ"/>
    <s v="128, 128, 128"/>
    <n v="3"/>
    <m/>
    <n v="40"/>
    <m/>
    <m/>
    <m/>
    <m/>
    <s v="No"/>
    <n v="120"/>
    <m/>
    <m/>
    <s v="Commented Video"/>
    <x v="0"/>
    <s v="Le problème c&amp;#39;est la France qui est responsable de cette mascarade en Côte d&amp;#39;Ivoire pour imposer wattara alors que c,est bagbo qui avait gagné les élections présidentielle en 2010 arrêtez de vous détester chers ivoiriens attaquer vous plutôt aux intérêts de la France en Afrique francophone car avec les bases militaires qui nous tue et le cfa qui nous appauvrit depuis 70ans aux 14 pays et qui enrichit la France et produit 500milliard d,euros donc honte à ce pays nuisible et criminel comme le dit aminata fofana du mali activiste panafricaniste"/>
    <s v="UCitFNkeSCSx9gcQMfyYjkKQ"/>
    <s v="moina dibala"/>
    <s v="http://www.youtube.com/channel/UCitFNkeSCSx9gcQMfyYjkKQ"/>
    <m/>
    <s v="Ci9JYIJstPY"/>
    <s v="https://www.youtube.com/watch?v=Ci9JYIJstPY"/>
    <s v="none"/>
    <n v="2"/>
    <x v="114"/>
    <d v="2021-05-06T07:02:43.000"/>
    <m/>
    <m/>
    <s v=""/>
    <n v="1"/>
    <s v="1"/>
    <s v="1"/>
    <n v="3"/>
    <n v="3.0927835051546393"/>
    <n v="10"/>
    <n v="10.309278350515465"/>
    <n v="0"/>
    <n v="0"/>
    <n v="86"/>
    <n v="88.65979381443299"/>
    <n v="97"/>
  </r>
  <r>
    <s v="UCHgWCuz6Dg0m6sibS_Bl0GA"/>
    <s v="UCrrFW5ckKRfBEOBxH3k9anQ"/>
    <s v="128, 128, 128"/>
    <n v="3"/>
    <m/>
    <n v="40"/>
    <m/>
    <m/>
    <m/>
    <m/>
    <s v="No"/>
    <n v="121"/>
    <m/>
    <m/>
    <s v="Commented Video"/>
    <x v="0"/>
    <s v="Je suis un Burkinabé grand merci mon mentor CHRIS YAPI!&lt;br /&gt;Alpha Barry ne perd rien pour attendre."/>
    <s v="UCHgWCuz6Dg0m6sibS_Bl0GA"/>
    <s v="Abou Djiguemdé"/>
    <s v="http://www.youtube.com/channel/UCHgWCuz6Dg0m6sibS_Bl0GA"/>
    <m/>
    <s v="Ci9JYIJstPY"/>
    <s v="https://www.youtube.com/watch?v=Ci9JYIJstPY"/>
    <s v="none"/>
    <n v="4"/>
    <x v="115"/>
    <d v="2021-05-06T07:17:45.000"/>
    <m/>
    <m/>
    <s v=""/>
    <n v="1"/>
    <s v="1"/>
    <s v="1"/>
    <n v="2"/>
    <n v="11.11111111111111"/>
    <n v="3"/>
    <n v="16.666666666666668"/>
    <n v="0"/>
    <n v="0"/>
    <n v="14"/>
    <n v="77.77777777777777"/>
    <n v="18"/>
  </r>
  <r>
    <s v="UC3ylY6LrHoDn5D50cAhZNtg"/>
    <s v="UCrrFW5ckKRfBEOBxH3k9anQ"/>
    <s v="128, 128, 128"/>
    <n v="3"/>
    <m/>
    <n v="40"/>
    <m/>
    <m/>
    <m/>
    <m/>
    <s v="No"/>
    <n v="122"/>
    <m/>
    <m/>
    <s v="Commented Video"/>
    <x v="0"/>
    <s v="Ou est maintenant cette communaute internationale qui a fait pression sur bgagbo?&lt;br /&gt;&lt;br /&gt;Elle voit le 3 eme et joue la sourd d&amp;#39;oreille. &lt;br /&gt;&lt;br /&gt;C&amp;#39;est ca la qui voudrait juger et emprisonnes les gend a la CPI"/>
    <s v="UC3ylY6LrHoDn5D50cAhZNtg"/>
    <s v="JESUS Sauveur"/>
    <s v="http://www.youtube.com/channel/UC3ylY6LrHoDn5D50cAhZNtg"/>
    <m/>
    <s v="Ci9JYIJstPY"/>
    <s v="https://www.youtube.com/watch?v=Ci9JYIJstPY"/>
    <s v="none"/>
    <n v="1"/>
    <x v="116"/>
    <d v="2021-05-06T07:28:43.000"/>
    <m/>
    <m/>
    <s v=""/>
    <n v="1"/>
    <s v="1"/>
    <s v="1"/>
    <n v="0"/>
    <n v="0"/>
    <n v="1"/>
    <n v="2.3255813953488373"/>
    <n v="0"/>
    <n v="0"/>
    <n v="42"/>
    <n v="97.67441860465117"/>
    <n v="43"/>
  </r>
  <r>
    <s v="UChIQG-u37tm4MCDuPImDkHQ"/>
    <s v="UCrrFW5ckKRfBEOBxH3k9anQ"/>
    <s v="128, 128, 128"/>
    <n v="3"/>
    <m/>
    <n v="40"/>
    <m/>
    <m/>
    <m/>
    <m/>
    <s v="No"/>
    <n v="123"/>
    <m/>
    <m/>
    <s v="Commented Video"/>
    <x v="0"/>
    <s v="C est l adn des gens du nord ( mossi , sénégalais, guineens ...)"/>
    <s v="UChIQG-u37tm4MCDuPImDkHQ"/>
    <s v="Jean-Herick BLE"/>
    <s v="http://www.youtube.com/channel/UChIQG-u37tm4MCDuPImDkHQ"/>
    <m/>
    <s v="Ci9JYIJstPY"/>
    <s v="https://www.youtube.com/watch?v=Ci9JYIJstPY"/>
    <s v="none"/>
    <n v="0"/>
    <x v="117"/>
    <d v="2021-05-06T07:51:57.000"/>
    <m/>
    <m/>
    <s v=""/>
    <n v="1"/>
    <s v="1"/>
    <s v="1"/>
    <n v="0"/>
    <n v="0"/>
    <n v="0"/>
    <n v="0"/>
    <n v="0"/>
    <n v="0"/>
    <n v="11"/>
    <n v="100"/>
    <n v="11"/>
  </r>
  <r>
    <s v="UC5iV1Cb-gkNuwC6SOGMcCYg"/>
    <s v="UCrrFW5ckKRfBEOBxH3k9anQ"/>
    <s v="128, 128, 128"/>
    <n v="3"/>
    <m/>
    <n v="40"/>
    <m/>
    <m/>
    <m/>
    <m/>
    <s v="No"/>
    <n v="124"/>
    <m/>
    <m/>
    <s v="Commented Video"/>
    <x v="0"/>
    <s v="Pikass va se faire arrêter car la vérité n&amp;#39;existe plus dans les bouches en cote d&amp;#39;Ivoire"/>
    <s v="UC5iV1Cb-gkNuwC6SOGMcCYg"/>
    <s v="Roméo OBOSSOU"/>
    <s v="http://www.youtube.com/channel/UC5iV1Cb-gkNuwC6SOGMcCYg"/>
    <m/>
    <s v="Ci9JYIJstPY"/>
    <s v="https://www.youtube.com/watch?v=Ci9JYIJstPY"/>
    <s v="none"/>
    <n v="2"/>
    <x v="118"/>
    <d v="2021-05-06T08:12:28.000"/>
    <m/>
    <m/>
    <s v=""/>
    <n v="1"/>
    <s v="1"/>
    <s v="1"/>
    <n v="0"/>
    <n v="0"/>
    <n v="1"/>
    <n v="5"/>
    <n v="0"/>
    <n v="0"/>
    <n v="19"/>
    <n v="95"/>
    <n v="20"/>
  </r>
  <r>
    <s v="UCyMQmbsa4WLITmU0jkuAc2A"/>
    <s v="UCrrFW5ckKRfBEOBxH3k9anQ"/>
    <s v="128, 128, 128"/>
    <n v="3"/>
    <m/>
    <n v="40"/>
    <m/>
    <m/>
    <m/>
    <m/>
    <s v="No"/>
    <n v="125"/>
    <m/>
    <m/>
    <s v="Commented Video"/>
    <x v="0"/>
    <s v="✊🏾 we are waitting and watching sun will rise one day thank you sir 🙏🙏🙏"/>
    <s v="UCyMQmbsa4WLITmU0jkuAc2A"/>
    <s v="Eburnie DL"/>
    <s v="http://www.youtube.com/channel/UCyMQmbsa4WLITmU0jkuAc2A"/>
    <m/>
    <s v="Ci9JYIJstPY"/>
    <s v="https://www.youtube.com/watch?v=Ci9JYIJstPY"/>
    <s v="none"/>
    <n v="1"/>
    <x v="119"/>
    <d v="2021-05-06T08:25:22.000"/>
    <m/>
    <m/>
    <s v=""/>
    <n v="1"/>
    <s v="1"/>
    <s v="1"/>
    <n v="0"/>
    <n v="0"/>
    <n v="0"/>
    <n v="0"/>
    <n v="0"/>
    <n v="0"/>
    <n v="13"/>
    <n v="100"/>
    <n v="13"/>
  </r>
  <r>
    <s v="UCePijgZwEyM46_wvOb3pQPA"/>
    <s v="UCrrFW5ckKRfBEOBxH3k9anQ"/>
    <s v="128, 128, 128"/>
    <n v="3"/>
    <m/>
    <n v="40"/>
    <m/>
    <m/>
    <m/>
    <m/>
    <s v="No"/>
    <n v="126"/>
    <m/>
    <m/>
    <s v="Commented Video"/>
    <x v="0"/>
    <s v="C&amp;#39;est propre bravo champion"/>
    <s v="UCePijgZwEyM46_wvOb3pQPA"/>
    <s v="Serge Behin"/>
    <s v="http://www.youtube.com/channel/UCePijgZwEyM46_wvOb3pQPA"/>
    <m/>
    <s v="Ci9JYIJstPY"/>
    <s v="https://www.youtube.com/watch?v=Ci9JYIJstPY"/>
    <s v="none"/>
    <n v="1"/>
    <x v="120"/>
    <d v="2021-05-06T08:37:25.000"/>
    <m/>
    <m/>
    <s v=""/>
    <n v="1"/>
    <s v="1"/>
    <s v="1"/>
    <n v="2"/>
    <n v="33.333333333333336"/>
    <n v="3"/>
    <n v="50"/>
    <n v="0"/>
    <n v="0"/>
    <n v="3"/>
    <n v="50"/>
    <n v="6"/>
  </r>
  <r>
    <s v="UCcfu2E45fV8NmLtNTjJSmhQ"/>
    <s v="UCrrFW5ckKRfBEOBxH3k9anQ"/>
    <s v="171, 85, 85"/>
    <n v="3"/>
    <m/>
    <n v="40"/>
    <m/>
    <m/>
    <m/>
    <m/>
    <s v="No"/>
    <n v="127"/>
    <m/>
    <m/>
    <s v="Commented Video"/>
    <x v="0"/>
    <s v="Si tous les Rebelle pouvais aller en prisons y compris la première dame actuelle ."/>
    <s v="UCcfu2E45fV8NmLtNTjJSmhQ"/>
    <s v="#&amp;DIEU #VOUS VOIT#. #BEANZIN20#"/>
    <s v="http://www.youtube.com/channel/UCcfu2E45fV8NmLtNTjJSmhQ"/>
    <m/>
    <s v="Ci9JYIJstPY"/>
    <s v="https://www.youtube.com/watch?v=Ci9JYIJstPY"/>
    <s v="none"/>
    <n v="0"/>
    <x v="121"/>
    <d v="2021-05-06T08:38:25.000"/>
    <m/>
    <m/>
    <s v=""/>
    <n v="2"/>
    <s v="1"/>
    <s v="1"/>
    <n v="0"/>
    <n v="0"/>
    <n v="1"/>
    <n v="7.142857142857143"/>
    <n v="0"/>
    <n v="0"/>
    <n v="13"/>
    <n v="92.85714285714286"/>
    <n v="14"/>
  </r>
  <r>
    <s v="UCcfu2E45fV8NmLtNTjJSmhQ"/>
    <s v="UCrrFW5ckKRfBEOBxH3k9anQ"/>
    <s v="171, 85, 85"/>
    <n v="3"/>
    <m/>
    <n v="40"/>
    <m/>
    <m/>
    <m/>
    <m/>
    <s v="No"/>
    <n v="128"/>
    <m/>
    <m/>
    <s v="Commented Video"/>
    <x v="0"/>
    <s v="Grand frère la justice de Dieu est en cours n&amp;#39;explique rien on sait tout stp ."/>
    <s v="UCcfu2E45fV8NmLtNTjJSmhQ"/>
    <s v="#&amp;DIEU #VOUS VOIT#. #BEANZIN20#"/>
    <s v="http://www.youtube.com/channel/UCcfu2E45fV8NmLtNTjJSmhQ"/>
    <m/>
    <s v="Ci9JYIJstPY"/>
    <s v="https://www.youtube.com/watch?v=Ci9JYIJstPY"/>
    <s v="none"/>
    <n v="0"/>
    <x v="122"/>
    <d v="2021-05-06T08:40:52.000"/>
    <m/>
    <m/>
    <s v=""/>
    <n v="2"/>
    <s v="1"/>
    <s v="1"/>
    <n v="2"/>
    <n v="11.764705882352942"/>
    <n v="2"/>
    <n v="11.764705882352942"/>
    <n v="0"/>
    <n v="0"/>
    <n v="14"/>
    <n v="82.3529411764706"/>
    <n v="17"/>
  </r>
  <r>
    <s v="UCXU48nXBo--GCvAKC__hPFA"/>
    <s v="UCrrFW5ckKRfBEOBxH3k9anQ"/>
    <s v="171, 85, 85"/>
    <n v="3"/>
    <m/>
    <n v="40"/>
    <m/>
    <m/>
    <m/>
    <m/>
    <s v="No"/>
    <n v="129"/>
    <m/>
    <m/>
    <s v="Commented Video"/>
    <x v="0"/>
    <s v="Vraiment une grosse erreur"/>
    <s v="UCXU48nXBo--GCvAKC__hPFA"/>
    <s v="Lydie Konan"/>
    <s v="http://www.youtube.com/channel/UCXU48nXBo--GCvAKC__hPFA"/>
    <m/>
    <s v="Ci9JYIJstPY"/>
    <s v="https://www.youtube.com/watch?v=Ci9JYIJstPY"/>
    <s v="none"/>
    <n v="0"/>
    <x v="123"/>
    <d v="2021-05-06T08:49:21.000"/>
    <m/>
    <m/>
    <s v=""/>
    <n v="2"/>
    <s v="1"/>
    <s v="1"/>
    <n v="0"/>
    <n v="0"/>
    <n v="3"/>
    <n v="75"/>
    <n v="0"/>
    <n v="0"/>
    <n v="1"/>
    <n v="25"/>
    <n v="4"/>
  </r>
  <r>
    <s v="UCXU48nXBo--GCvAKC__hPFA"/>
    <s v="UCrrFW5ckKRfBEOBxH3k9anQ"/>
    <s v="171, 85, 85"/>
    <n v="3"/>
    <m/>
    <n v="40"/>
    <m/>
    <m/>
    <m/>
    <m/>
    <s v="No"/>
    <n v="130"/>
    <m/>
    <m/>
    <s v="Commented Video"/>
    <x v="0"/>
    <s v="Merci chrissoooo"/>
    <s v="UCXU48nXBo--GCvAKC__hPFA"/>
    <s v="Lydie Konan"/>
    <s v="http://www.youtube.com/channel/UCXU48nXBo--GCvAKC__hPFA"/>
    <m/>
    <s v="Ci9JYIJstPY"/>
    <s v="https://www.youtube.com/watch?v=Ci9JYIJstPY"/>
    <s v="none"/>
    <n v="0"/>
    <x v="124"/>
    <d v="2021-05-06T08:50:32.000"/>
    <m/>
    <m/>
    <s v=""/>
    <n v="2"/>
    <s v="1"/>
    <s v="1"/>
    <n v="1"/>
    <n v="50"/>
    <n v="0"/>
    <n v="0"/>
    <n v="0"/>
    <n v="0"/>
    <n v="1"/>
    <n v="50"/>
    <n v="2"/>
  </r>
  <r>
    <s v="UCjH5Umq46BMIsc8f8ETj5XQ"/>
    <s v="UCrrFW5ckKRfBEOBxH3k9anQ"/>
    <s v="128, 128, 128"/>
    <n v="3"/>
    <m/>
    <n v="40"/>
    <m/>
    <m/>
    <m/>
    <m/>
    <s v="No"/>
    <n v="131"/>
    <m/>
    <m/>
    <s v="Commented Video"/>
    <x v="0"/>
    <s v="Merci Chris yapi 🥰"/>
    <s v="UCjH5Umq46BMIsc8f8ETj5XQ"/>
    <s v="Pamela Nji"/>
    <s v="http://www.youtube.com/channel/UCjH5Umq46BMIsc8f8ETj5XQ"/>
    <m/>
    <s v="Ci9JYIJstPY"/>
    <s v="https://www.youtube.com/watch?v=Ci9JYIJstPY"/>
    <s v="none"/>
    <n v="0"/>
    <x v="125"/>
    <d v="2021-05-06T08:59:03.000"/>
    <m/>
    <m/>
    <s v=""/>
    <n v="1"/>
    <s v="1"/>
    <s v="1"/>
    <n v="1"/>
    <n v="33.333333333333336"/>
    <n v="0"/>
    <n v="0"/>
    <n v="0"/>
    <n v="0"/>
    <n v="2"/>
    <n v="66.66666666666667"/>
    <n v="3"/>
  </r>
  <r>
    <s v="UCioSLRcj9zJtL3k5nYwbeKw"/>
    <s v="UCrrFW5ckKRfBEOBxH3k9anQ"/>
    <s v="128, 128, 128"/>
    <n v="3"/>
    <m/>
    <n v="40"/>
    <m/>
    <m/>
    <m/>
    <m/>
    <s v="No"/>
    <n v="132"/>
    <m/>
    <m/>
    <s v="Commented Video"/>
    <x v="0"/>
    <s v="Cy pardon laisse pikasse dans son coin faut pas ils vont prendre tes dire en mal"/>
    <s v="UCioSLRcj9zJtL3k5nYwbeKw"/>
    <s v="Pauline Kouadio"/>
    <s v="http://www.youtube.com/channel/UCioSLRcj9zJtL3k5nYwbeKw"/>
    <m/>
    <s v="Ci9JYIJstPY"/>
    <s v="https://www.youtube.com/watch?v=Ci9JYIJstPY"/>
    <s v="none"/>
    <n v="1"/>
    <x v="126"/>
    <d v="2021-05-06T09:15:26.000"/>
    <m/>
    <m/>
    <s v=""/>
    <n v="1"/>
    <s v="1"/>
    <s v="1"/>
    <n v="2"/>
    <n v="12.5"/>
    <n v="2"/>
    <n v="12.5"/>
    <n v="0"/>
    <n v="0"/>
    <n v="12"/>
    <n v="75"/>
    <n v="16"/>
  </r>
  <r>
    <s v="UCBmePz6UeMu2W3fKvebPA3g"/>
    <s v="UCrrFW5ckKRfBEOBxH3k9anQ"/>
    <s v="128, 128, 128"/>
    <n v="3"/>
    <m/>
    <n v="40"/>
    <m/>
    <m/>
    <m/>
    <m/>
    <s v="No"/>
    <n v="133"/>
    <m/>
    <m/>
    <s v="Commented Video"/>
    <x v="0"/>
    <s v="Et la vérité éclatera un jour de façon spectaculaire. Attendons de voir. 🎩 Chrisso."/>
    <s v="UCBmePz6UeMu2W3fKvebPA3g"/>
    <s v="ANTI DOT"/>
    <s v="http://www.youtube.com/channel/UCBmePz6UeMu2W3fKvebPA3g"/>
    <m/>
    <s v="Ci9JYIJstPY"/>
    <s v="https://www.youtube.com/watch?v=Ci9JYIJstPY"/>
    <s v="none"/>
    <n v="0"/>
    <x v="127"/>
    <d v="2021-05-06T09:21:24.000"/>
    <m/>
    <m/>
    <s v=""/>
    <n v="1"/>
    <s v="1"/>
    <s v="1"/>
    <n v="1"/>
    <n v="7.6923076923076925"/>
    <n v="0"/>
    <n v="0"/>
    <n v="0"/>
    <n v="0"/>
    <n v="12"/>
    <n v="92.3076923076923"/>
    <n v="13"/>
  </r>
  <r>
    <s v="UCAN4uY_roKpSkrVUxY18DGQ"/>
    <s v="UCrrFW5ckKRfBEOBxH3k9anQ"/>
    <s v="128, 128, 128"/>
    <n v="3"/>
    <m/>
    <n v="40"/>
    <m/>
    <m/>
    <m/>
    <m/>
    <s v="No"/>
    <n v="134"/>
    <m/>
    <m/>
    <s v="Commented Video"/>
    <x v="0"/>
    <s v="Merci damana pikass, voilà un vrai opposant, pas comme les poltrons, lâches et traitres de affi nguessan et marcel amon tanoh."/>
    <s v="UCAN4uY_roKpSkrVUxY18DGQ"/>
    <s v="Marcel Benie"/>
    <s v="http://www.youtube.com/channel/UCAN4uY_roKpSkrVUxY18DGQ"/>
    <m/>
    <s v="Ci9JYIJstPY"/>
    <s v="https://www.youtube.com/watch?v=Ci9JYIJstPY"/>
    <s v="none"/>
    <n v="0"/>
    <x v="128"/>
    <d v="2021-05-06T09:28:06.000"/>
    <m/>
    <m/>
    <s v=""/>
    <n v="1"/>
    <s v="1"/>
    <s v="1"/>
    <n v="2"/>
    <n v="9.523809523809524"/>
    <n v="1"/>
    <n v="4.761904761904762"/>
    <n v="0"/>
    <n v="0"/>
    <n v="19"/>
    <n v="90.47619047619048"/>
    <n v="21"/>
  </r>
  <r>
    <s v="UC2MLcUNh-oyy4j-1lbt7qSw"/>
    <s v="UCXMluouhfLoLfPWbA13Naug"/>
    <s v="128, 128, 128"/>
    <n v="3"/>
    <m/>
    <n v="40"/>
    <m/>
    <m/>
    <m/>
    <m/>
    <s v="No"/>
    <n v="135"/>
    <m/>
    <m/>
    <s v="Replied Comment"/>
    <x v="1"/>
    <s v="On est tous pareils ma sœur"/>
    <s v="UC2MLcUNh-oyy4j-1lbt7qSw"/>
    <s v="Gigi Mato"/>
    <s v="http://www.youtube.com/channel/UC2MLcUNh-oyy4j-1lbt7qSw"/>
    <s v="UgyetJYF6IvTVK3cuRF4AaABAg"/>
    <s v="Ci9JYIJstPY"/>
    <s v="https://www.youtube.com/watch?v=Ci9JYIJstPY"/>
    <s v="none"/>
    <n v="1"/>
    <x v="129"/>
    <d v="2021-05-06T17:21:00.000"/>
    <m/>
    <m/>
    <s v=""/>
    <n v="1"/>
    <s v="6"/>
    <s v="6"/>
    <n v="0"/>
    <n v="0"/>
    <n v="0"/>
    <n v="0"/>
    <n v="0"/>
    <n v="0"/>
    <n v="6"/>
    <n v="100"/>
    <n v="6"/>
  </r>
  <r>
    <s v="UCYGAMP9drMcOky1t2OM_9eg"/>
    <s v="UCXMluouhfLoLfPWbA13Naug"/>
    <s v="128, 128, 128"/>
    <n v="3"/>
    <m/>
    <n v="40"/>
    <m/>
    <m/>
    <m/>
    <m/>
    <s v="No"/>
    <n v="136"/>
    <m/>
    <m/>
    <s v="Replied Comment"/>
    <x v="1"/>
    <s v="Chris Yapi! L&amp;#39;œil divin! Le Pouvoir de Dieu dans la nature et dans l&amp;#39;histoire. Observons seulement et pas à pas ! Amén"/>
    <s v="UCYGAMP9drMcOky1t2OM_9eg"/>
    <s v="Kouame Konan Bruno"/>
    <s v="http://www.youtube.com/channel/UCYGAMP9drMcOky1t2OM_9eg"/>
    <s v="UgyetJYF6IvTVK3cuRF4AaABAg"/>
    <s v="Ci9JYIJstPY"/>
    <s v="https://www.youtube.com/watch?v=Ci9JYIJstPY"/>
    <s v="none"/>
    <n v="0"/>
    <x v="130"/>
    <d v="2021-05-06T19:27:27.000"/>
    <m/>
    <m/>
    <s v=""/>
    <n v="1"/>
    <s v="6"/>
    <s v="6"/>
    <n v="1"/>
    <n v="4"/>
    <n v="0"/>
    <n v="0"/>
    <n v="0"/>
    <n v="0"/>
    <n v="24"/>
    <n v="96"/>
    <n v="25"/>
  </r>
  <r>
    <s v="UCXMluouhfLoLfPWbA13Naug"/>
    <s v="UCrrFW5ckKRfBEOBxH3k9anQ"/>
    <s v="128, 128, 128"/>
    <n v="3"/>
    <m/>
    <n v="40"/>
    <m/>
    <m/>
    <m/>
    <m/>
    <s v="No"/>
    <n v="137"/>
    <m/>
    <m/>
    <s v="Commented Video"/>
    <x v="0"/>
    <s v="Bonjour 👋 les abonnés de Chris Yapi  moi je suis Camerounaise , mais je ne loupe pas une seule publication de Chis ... 🙏🏽🙏🏽"/>
    <s v="UCXMluouhfLoLfPWbA13Naug"/>
    <s v="Ma Ti"/>
    <s v="http://www.youtube.com/channel/UCXMluouhfLoLfPWbA13Naug"/>
    <m/>
    <s v="Ci9JYIJstPY"/>
    <s v="https://www.youtube.com/watch?v=Ci9JYIJstPY"/>
    <s v="none"/>
    <n v="18"/>
    <x v="131"/>
    <d v="2021-05-06T09:30:26.000"/>
    <m/>
    <m/>
    <s v=""/>
    <n v="1"/>
    <s v="6"/>
    <s v="1"/>
    <n v="0"/>
    <n v="0"/>
    <n v="0"/>
    <n v="0"/>
    <n v="0"/>
    <n v="0"/>
    <n v="20"/>
    <n v="100"/>
    <n v="20"/>
  </r>
  <r>
    <s v="UCk4e6mTluJOLbmB8w74YucA"/>
    <s v="UCj2C6wNGxiTT7IXA-sB5F_g"/>
    <s v="128, 128, 128"/>
    <n v="3"/>
    <m/>
    <n v="40"/>
    <m/>
    <m/>
    <m/>
    <m/>
    <s v="No"/>
    <n v="138"/>
    <m/>
    <m/>
    <s v="Replied Comment"/>
    <x v="1"/>
    <s v="‹"/>
    <s v="UCk4e6mTluJOLbmB8w74YucA"/>
    <s v="Joseph Dingui"/>
    <s v="http://www.youtube.com/channel/UCk4e6mTluJOLbmB8w74YucA"/>
    <s v="UgyEA9S9oWm84ErpMmJ4AaABAg"/>
    <s v="Ci9JYIJstPY"/>
    <s v="https://www.youtube.com/watch?v=Ci9JYIJstPY"/>
    <s v="none"/>
    <n v="0"/>
    <x v="132"/>
    <d v="2021-05-06T20:51:01.000"/>
    <m/>
    <m/>
    <s v=""/>
    <n v="1"/>
    <s v="14"/>
    <s v="14"/>
    <n v="0"/>
    <n v="0"/>
    <n v="0"/>
    <n v="0"/>
    <n v="0"/>
    <n v="0"/>
    <n v="0"/>
    <n v="0"/>
    <n v="0"/>
  </r>
  <r>
    <s v="UCj2C6wNGxiTT7IXA-sB5F_g"/>
    <s v="UCrrFW5ckKRfBEOBxH3k9anQ"/>
    <s v="128, 128, 128"/>
    <n v="3"/>
    <m/>
    <n v="40"/>
    <m/>
    <m/>
    <m/>
    <m/>
    <s v="No"/>
    <n v="139"/>
    <m/>
    <m/>
    <s v="Commented Video"/>
    <x v="0"/>
    <s v="Face à cette vidéo qui certainement fera le tour du monde qui vit dans l&amp;#39;injustice que Mr.Pikas soit près face aux encagoulés tueurs des ivoiriens dignes de sang patriotique..Mister Christ Yapi que Dieu te protège fortement."/>
    <s v="UCj2C6wNGxiTT7IXA-sB5F_g"/>
    <s v="tcheme Jean"/>
    <s v="http://www.youtube.com/channel/UCj2C6wNGxiTT7IXA-sB5F_g"/>
    <m/>
    <s v="Ci9JYIJstPY"/>
    <s v="https://www.youtube.com/watch?v=Ci9JYIJstPY"/>
    <s v="none"/>
    <n v="1"/>
    <x v="133"/>
    <d v="2021-05-06T10:22:43.000"/>
    <m/>
    <m/>
    <s v=""/>
    <n v="1"/>
    <s v="14"/>
    <s v="1"/>
    <n v="1"/>
    <n v="2.5"/>
    <n v="2"/>
    <n v="5"/>
    <n v="0"/>
    <n v="0"/>
    <n v="37"/>
    <n v="92.5"/>
    <n v="40"/>
  </r>
  <r>
    <s v="UCA7xKJlipwbl4J5Qlpgu7Lw"/>
    <s v="UCrrFW5ckKRfBEOBxH3k9anQ"/>
    <s v="171, 85, 85"/>
    <n v="3"/>
    <m/>
    <n v="40"/>
    <m/>
    <m/>
    <m/>
    <m/>
    <s v="No"/>
    <n v="140"/>
    <m/>
    <m/>
    <s v="Commented Video"/>
    <x v="0"/>
    <s v="💔💔💔💔💔"/>
    <s v="UCA7xKJlipwbl4J5Qlpgu7Lw"/>
    <s v="Aida Thiam"/>
    <s v="http://www.youtube.com/channel/UCA7xKJlipwbl4J5Qlpgu7Lw"/>
    <m/>
    <s v="Ci9JYIJstPY"/>
    <s v="https://www.youtube.com/watch?v=Ci9JYIJstPY"/>
    <s v="none"/>
    <n v="0"/>
    <x v="134"/>
    <d v="2021-05-06T10:31:04.000"/>
    <m/>
    <m/>
    <s v=""/>
    <n v="2"/>
    <s v="1"/>
    <s v="1"/>
    <n v="0"/>
    <n v="0"/>
    <n v="0"/>
    <n v="0"/>
    <n v="0"/>
    <n v="0"/>
    <n v="0"/>
    <n v="0"/>
    <n v="0"/>
  </r>
  <r>
    <s v="UCA7xKJlipwbl4J5Qlpgu7Lw"/>
    <s v="UCrrFW5ckKRfBEOBxH3k9anQ"/>
    <s v="171, 85, 85"/>
    <n v="3"/>
    <m/>
    <n v="40"/>
    <m/>
    <m/>
    <m/>
    <m/>
    <s v="No"/>
    <n v="141"/>
    <m/>
    <m/>
    <s v="Commented Video"/>
    <x v="0"/>
    <s v="Que Dieu vous protéger et oooooh"/>
    <s v="UCA7xKJlipwbl4J5Qlpgu7Lw"/>
    <s v="Aida Thiam"/>
    <s v="http://www.youtube.com/channel/UCA7xKJlipwbl4J5Qlpgu7Lw"/>
    <m/>
    <s v="Ci9JYIJstPY"/>
    <s v="https://www.youtube.com/watch?v=Ci9JYIJstPY"/>
    <s v="none"/>
    <n v="0"/>
    <x v="135"/>
    <d v="2021-05-06T10:33:32.000"/>
    <m/>
    <m/>
    <s v=""/>
    <n v="2"/>
    <s v="1"/>
    <s v="1"/>
    <n v="1"/>
    <n v="16.666666666666668"/>
    <n v="1"/>
    <n v="16.666666666666668"/>
    <n v="0"/>
    <n v="0"/>
    <n v="5"/>
    <n v="83.33333333333333"/>
    <n v="6"/>
  </r>
  <r>
    <s v="UCb7ZSD7d-o5WY32SbQprO-w"/>
    <s v="UCrrFW5ckKRfBEOBxH3k9anQ"/>
    <s v="128, 128, 128"/>
    <n v="3"/>
    <m/>
    <n v="40"/>
    <m/>
    <m/>
    <m/>
    <m/>
    <s v="No"/>
    <n v="142"/>
    <m/>
    <m/>
    <s v="Commented Video"/>
    <x v="0"/>
    <s v="Absolument"/>
    <s v="UCb7ZSD7d-o5WY32SbQprO-w"/>
    <s v="Ydris de Paris"/>
    <s v="http://www.youtube.com/channel/UCb7ZSD7d-o5WY32SbQprO-w"/>
    <m/>
    <s v="Ci9JYIJstPY"/>
    <s v="https://www.youtube.com/watch?v=Ci9JYIJstPY"/>
    <s v="none"/>
    <n v="1"/>
    <x v="136"/>
    <d v="2021-05-06T10:35:26.000"/>
    <m/>
    <m/>
    <s v=""/>
    <n v="1"/>
    <s v="1"/>
    <s v="1"/>
    <n v="0"/>
    <n v="0"/>
    <n v="0"/>
    <n v="0"/>
    <n v="0"/>
    <n v="0"/>
    <n v="1"/>
    <n v="100"/>
    <n v="1"/>
  </r>
  <r>
    <s v="UCia0k6WxnqiEsRnM2OZ4bfQ"/>
    <s v="UCrrFW5ckKRfBEOBxH3k9anQ"/>
    <s v="128, 128, 128"/>
    <n v="3"/>
    <m/>
    <n v="40"/>
    <m/>
    <m/>
    <m/>
    <m/>
    <s v="No"/>
    <n v="143"/>
    <m/>
    <m/>
    <s v="Commented Video"/>
    <x v="0"/>
    <s v="Humm! DIEU est fidèle chaque chose a son temps"/>
    <s v="UCia0k6WxnqiEsRnM2OZ4bfQ"/>
    <s v="Barthélémy Kponkou"/>
    <s v="http://www.youtube.com/channel/UCia0k6WxnqiEsRnM2OZ4bfQ"/>
    <m/>
    <s v="Ci9JYIJstPY"/>
    <s v="https://www.youtube.com/watch?v=Ci9JYIJstPY"/>
    <s v="none"/>
    <n v="0"/>
    <x v="137"/>
    <d v="2021-05-06T10:46:12.000"/>
    <m/>
    <m/>
    <s v=""/>
    <n v="1"/>
    <s v="1"/>
    <s v="1"/>
    <n v="1"/>
    <n v="11.11111111111111"/>
    <n v="1"/>
    <n v="11.11111111111111"/>
    <n v="0"/>
    <n v="0"/>
    <n v="7"/>
    <n v="77.77777777777777"/>
    <n v="9"/>
  </r>
  <r>
    <s v="UCsKp3c6Rc5snyNBpBY2focg"/>
    <s v="UCrrFW5ckKRfBEOBxH3k9anQ"/>
    <s v="128, 128, 128"/>
    <n v="3"/>
    <m/>
    <n v="40"/>
    <m/>
    <m/>
    <m/>
    <m/>
    <s v="No"/>
    <n v="144"/>
    <m/>
    <m/>
    <s v="Commented Video"/>
    <x v="0"/>
    <s v="Il n&amp;#39;y a aucun doute dans mon esprit et, à mon âme et conscience, que c&amp;#39;est Laurent Gbagbo qui a gagné les élections de 2010.&lt;br /&gt;2. Ceci étant dit, Henri Konan Bédié, s&amp;#39;il avait posé ses réclamations a temps, aurait permis de clarifier la situation.&lt;br /&gt;3. Nonobstant, j&amp;#39;ai été patient jusqu&amp;#39;au 31 octobre 2020 où il y a eu confrontation entre Alassane Dramane Ouattara avec ses élections présidentielles d&amp;#39;une part, Henri Konan Bédié avec sa désobéissance civile d&amp;#39;autre part.&lt;br /&gt;4. La Vérité se passe de tout commentaire:&lt;br /&gt; a) Alassane Dramane Ouattara, 7,5%&lt;br /&gt;b) Henri Konan Bédié : 92,5%&lt;br /&gt;c) comme en 2010, Alassane Dramane Ouattara a fait intervenir des mercenaires togolais venus de la mission de paix de l&amp;#39;ONU au Mali.&lt;br /&gt;8. Que vaut Alassane Dramane Ouattara sans les armes? Mais une telle pratique démocratique n&amp;#39;est pas inscrite dans les mémoires de l&amp;#39;idéal démocratique maçonnique.&lt;br /&gt;9. Contrairement au sens commun, nous votons en Loge pour accepter un profane parmi nous même si nous savons que ce profane est parrainé par un de nos frères.&lt;br /&gt;10. Je crois que le frère Alassane Dramane Ouattara est comme un enfant qui a une arme  a la main et qui en use comme un jouet. Il faut lui arracher ce jouet.&lt;br /&gt;L&amp;#39;Antechrist"/>
    <s v="UCsKp3c6Rc5snyNBpBY2focg"/>
    <s v="Barthelemy Angba"/>
    <s v="http://www.youtube.com/channel/UCsKp3c6Rc5snyNBpBY2focg"/>
    <m/>
    <s v="Ci9JYIJstPY"/>
    <s v="https://www.youtube.com/watch?v=Ci9JYIJstPY"/>
    <s v="none"/>
    <n v="0"/>
    <x v="138"/>
    <d v="2021-05-06T11:49:11.000"/>
    <m/>
    <m/>
    <s v=""/>
    <n v="1"/>
    <s v="1"/>
    <s v="1"/>
    <n v="10"/>
    <n v="4.149377593360996"/>
    <n v="16"/>
    <n v="6.639004149377594"/>
    <n v="0"/>
    <n v="0"/>
    <n v="220"/>
    <n v="91.28630705394191"/>
    <n v="241"/>
  </r>
  <r>
    <s v="UCqz3D5OY3-qNGd0YB2WylUQ"/>
    <s v="UCrrFW5ckKRfBEOBxH3k9anQ"/>
    <s v="171, 85, 85"/>
    <n v="3"/>
    <m/>
    <n v="40"/>
    <m/>
    <m/>
    <m/>
    <m/>
    <s v="No"/>
    <n v="145"/>
    <m/>
    <m/>
    <s v="Commented Video"/>
    <x v="0"/>
    <s v="Vous savez la question que je me pose ? Comment tout un peuple peut-il se laisser détruire par un petit groupe des écervelés méchants et cruels au solde des blancs pour décimé leur propre race de la surface de la terre ?"/>
    <s v="UCqz3D5OY3-qNGd0YB2WylUQ"/>
    <s v="Providence Divine"/>
    <s v="http://www.youtube.com/channel/UCqz3D5OY3-qNGd0YB2WylUQ"/>
    <m/>
    <s v="Ci9JYIJstPY"/>
    <s v="https://www.youtube.com/watch?v=Ci9JYIJstPY"/>
    <s v="none"/>
    <n v="0"/>
    <x v="139"/>
    <d v="2021-05-06T11:38:21.000"/>
    <m/>
    <m/>
    <s v=""/>
    <n v="2"/>
    <s v="1"/>
    <s v="1"/>
    <n v="2"/>
    <n v="4.878048780487805"/>
    <n v="8"/>
    <n v="19.51219512195122"/>
    <n v="0"/>
    <n v="0"/>
    <n v="33"/>
    <n v="80.48780487804878"/>
    <n v="41"/>
  </r>
  <r>
    <s v="UCqz3D5OY3-qNGd0YB2WylUQ"/>
    <s v="UCrrFW5ckKRfBEOBxH3k9anQ"/>
    <s v="171, 85, 85"/>
    <n v="3"/>
    <m/>
    <n v="40"/>
    <m/>
    <m/>
    <m/>
    <m/>
    <s v="No"/>
    <n v="146"/>
    <m/>
    <m/>
    <s v="Commented Video"/>
    <x v="0"/>
    <s v="Je vous assure chers peuples noirs. Il y a un plan caché des blancs pour la destruction systématique et totale de la race noire. Ils ont toujours dit dans leur discours que l&amp;#39;avenir c&amp;#39;est l&amp;#39;Afrique, mais nos soit disant dirigeants n&amp;#39;ont jamais compris ce terme à son juste titre ou ne sont pas prêts à accepter se sacrifier comme les dignes héro d&amp;#39;Afrique. Mais ils sont prêts à sacrifier leurs peuples à court et à long terme afin de se sauver eux seuls. Mais l&amp;#39;histoire nous montre toujours que quand ils refuses de mourrir héro pour le salut des peuples, ils meurent quand même comme des traîtres par la main même de leurs maîtres occidentaux."/>
    <s v="UCqz3D5OY3-qNGd0YB2WylUQ"/>
    <s v="Providence Divine"/>
    <s v="http://www.youtube.com/channel/UCqz3D5OY3-qNGd0YB2WylUQ"/>
    <m/>
    <s v="Ci9JYIJstPY"/>
    <s v="https://www.youtube.com/watch?v=Ci9JYIJstPY"/>
    <s v="none"/>
    <n v="0"/>
    <x v="140"/>
    <d v="2021-05-06T11:49:53.000"/>
    <m/>
    <m/>
    <s v=""/>
    <n v="2"/>
    <s v="1"/>
    <s v="1"/>
    <n v="9"/>
    <n v="7.086614173228346"/>
    <n v="9"/>
    <n v="7.086614173228346"/>
    <n v="0"/>
    <n v="0"/>
    <n v="116"/>
    <n v="91.33858267716535"/>
    <n v="127"/>
  </r>
  <r>
    <s v="UCdjNuIJY0vkpkTvXabR808A"/>
    <s v="UC_2poQCdUPlEGvNNFg7-9Lg"/>
    <s v="128, 128, 128"/>
    <n v="3"/>
    <m/>
    <n v="40"/>
    <m/>
    <m/>
    <m/>
    <m/>
    <s v="No"/>
    <n v="147"/>
    <m/>
    <m/>
    <s v="Replied Comment"/>
    <x v="1"/>
    <s v="05 05 2021 en côte d&amp;#39;Ivoire"/>
    <s v="UCdjNuIJY0vkpkTvXabR808A"/>
    <s v="WOODY GNAKPA"/>
    <s v="http://www.youtube.com/channel/UCdjNuIJY0vkpkTvXabR808A"/>
    <s v="UgxUDxt4XSz5uFOEN7t4AaABAg"/>
    <s v="Ci9JYIJstPY"/>
    <s v="https://www.youtube.com/watch?v=Ci9JYIJstPY"/>
    <s v="none"/>
    <n v="1"/>
    <x v="141"/>
    <d v="2021-05-06T12:42:10.000"/>
    <m/>
    <m/>
    <s v=""/>
    <n v="1"/>
    <s v="13"/>
    <s v="13"/>
    <n v="0"/>
    <n v="0"/>
    <n v="0"/>
    <n v="0"/>
    <n v="0"/>
    <n v="0"/>
    <n v="8"/>
    <n v="100"/>
    <n v="8"/>
  </r>
  <r>
    <s v="UC_2poQCdUPlEGvNNFg7-9Lg"/>
    <s v="UC_2poQCdUPlEGvNNFg7-9Lg"/>
    <s v="128, 128, 128"/>
    <n v="3"/>
    <m/>
    <n v="40"/>
    <m/>
    <m/>
    <m/>
    <m/>
    <s v="No"/>
    <n v="148"/>
    <m/>
    <m/>
    <s v="Replied Comment"/>
    <x v="1"/>
    <s v="merci woody gnakpa"/>
    <s v="UC_2poQCdUPlEGvNNFg7-9Lg"/>
    <s v="ibe jolly"/>
    <s v="http://www.youtube.com/channel/UC_2poQCdUPlEGvNNFg7-9Lg"/>
    <s v="UgxUDxt4XSz5uFOEN7t4AaABAg"/>
    <s v="Ci9JYIJstPY"/>
    <s v="https://www.youtube.com/watch?v=Ci9JYIJstPY"/>
    <s v="none"/>
    <n v="0"/>
    <x v="142"/>
    <d v="2021-05-06T16:06:49.000"/>
    <m/>
    <m/>
    <s v=""/>
    <n v="1"/>
    <s v="13"/>
    <s v="13"/>
    <n v="1"/>
    <n v="33.333333333333336"/>
    <n v="0"/>
    <n v="0"/>
    <n v="0"/>
    <n v="0"/>
    <n v="2"/>
    <n v="66.66666666666667"/>
    <n v="3"/>
  </r>
  <r>
    <s v="UC_2poQCdUPlEGvNNFg7-9Lg"/>
    <s v="UCrrFW5ckKRfBEOBxH3k9anQ"/>
    <s v="128, 128, 128"/>
    <n v="3"/>
    <m/>
    <n v="40"/>
    <m/>
    <m/>
    <m/>
    <m/>
    <s v="No"/>
    <n v="149"/>
    <m/>
    <m/>
    <s v="Commented Video"/>
    <x v="0"/>
    <s v="c&amp;#39;est quand Damana adia picas a fait ce discour chris yapi ?"/>
    <s v="UC_2poQCdUPlEGvNNFg7-9Lg"/>
    <s v="ibe jolly"/>
    <s v="http://www.youtube.com/channel/UC_2poQCdUPlEGvNNFg7-9Lg"/>
    <m/>
    <s v="Ci9JYIJstPY"/>
    <s v="https://www.youtube.com/watch?v=Ci9JYIJstPY"/>
    <s v="none"/>
    <n v="0"/>
    <x v="143"/>
    <d v="2021-05-06T12:12:03.000"/>
    <m/>
    <m/>
    <s v=""/>
    <n v="1"/>
    <s v="13"/>
    <s v="1"/>
    <n v="0"/>
    <n v="0"/>
    <n v="0"/>
    <n v="0"/>
    <n v="0"/>
    <n v="0"/>
    <n v="13"/>
    <n v="100"/>
    <n v="13"/>
  </r>
  <r>
    <s v="UCVwViq0CL8a65VDA-kpwchw"/>
    <s v="UCmIOnORoi4RkdOGWPRBErTA"/>
    <s v="128, 128, 128"/>
    <n v="3"/>
    <m/>
    <n v="40"/>
    <m/>
    <m/>
    <m/>
    <m/>
    <s v="No"/>
    <n v="150"/>
    <m/>
    <m/>
    <s v="Replied Comment"/>
    <x v="1"/>
    <s v="Donc vous confondez chaque fois la voix de Chris Yapi à celle d&amp;#39;une dame ou quoi ?"/>
    <s v="UCVwViq0CL8a65VDA-kpwchw"/>
    <s v="Pierre Dabire"/>
    <s v="http://www.youtube.com/channel/UCVwViq0CL8a65VDA-kpwchw"/>
    <s v="UgzZpCagdSr-g1gpwOl4AaABAg"/>
    <s v="Ci9JYIJstPY"/>
    <s v="https://www.youtube.com/watch?v=Ci9JYIJstPY"/>
    <s v="none"/>
    <n v="0"/>
    <x v="144"/>
    <d v="2021-05-06T12:23:31.000"/>
    <m/>
    <m/>
    <s v=""/>
    <n v="1"/>
    <s v="12"/>
    <s v="12"/>
    <n v="0"/>
    <n v="0"/>
    <n v="0"/>
    <n v="0"/>
    <n v="0"/>
    <n v="0"/>
    <n v="18"/>
    <n v="100"/>
    <n v="18"/>
  </r>
  <r>
    <s v="UCmIOnORoi4RkdOGWPRBErTA"/>
    <s v="UCrrFW5ckKRfBEOBxH3k9anQ"/>
    <s v="128, 128, 128"/>
    <n v="3"/>
    <m/>
    <n v="40"/>
    <m/>
    <m/>
    <m/>
    <m/>
    <s v="No"/>
    <n v="151"/>
    <m/>
    <m/>
    <s v="Commented Video"/>
    <x v="0"/>
    <s v="Félicitations Mr ou Mme Christ yapi."/>
    <s v="UCmIOnORoi4RkdOGWPRBErTA"/>
    <s v="diarrassouba valverde"/>
    <s v="http://www.youtube.com/channel/UCmIOnORoi4RkdOGWPRBErTA"/>
    <m/>
    <s v="Ci9JYIJstPY"/>
    <s v="https://www.youtube.com/watch?v=Ci9JYIJstPY"/>
    <s v="none"/>
    <n v="0"/>
    <x v="145"/>
    <d v="2021-05-06T12:17:00.000"/>
    <m/>
    <m/>
    <s v=""/>
    <n v="1"/>
    <s v="12"/>
    <s v="1"/>
    <n v="1"/>
    <n v="16.666666666666668"/>
    <n v="0"/>
    <n v="0"/>
    <n v="0"/>
    <n v="0"/>
    <n v="5"/>
    <n v="83.33333333333333"/>
    <n v="6"/>
  </r>
  <r>
    <s v="UCt3Ukfibp43QrzSg0CA4cGA"/>
    <s v="UCrrFW5ckKRfBEOBxH3k9anQ"/>
    <s v="128, 128, 128"/>
    <n v="3"/>
    <m/>
    <n v="40"/>
    <m/>
    <m/>
    <m/>
    <m/>
    <s v="No"/>
    <n v="152"/>
    <m/>
    <m/>
    <s v="Commented Video"/>
    <x v="0"/>
    <s v="Chris Yapi ne te sous -estime  pas  et  ne te décourage pas  . tu es une Etoile pour l&amp;#39;Afrique  car tu arrives a réunir toute l&amp;#39;Afrique  (l&amp;#39;union africaine tu es ).&lt;br /&gt;doucement mais surement on va y arriver un jour .après ce combat tu formera des élites à ce métier .&lt;br /&gt;Que DIEU TE PROTEGE.&lt;br /&gt;le CONGO🙋‍♀️"/>
    <s v="UCt3Ukfibp43QrzSg0CA4cGA"/>
    <s v="GAGO D"/>
    <s v="http://www.youtube.com/channel/UCt3Ukfibp43QrzSg0CA4cGA"/>
    <m/>
    <s v="Ci9JYIJstPY"/>
    <s v="https://www.youtube.com/watch?v=Ci9JYIJstPY"/>
    <s v="none"/>
    <n v="2"/>
    <x v="146"/>
    <d v="2021-05-06T12:21:56.000"/>
    <m/>
    <m/>
    <s v=""/>
    <n v="1"/>
    <s v="1"/>
    <s v="1"/>
    <n v="2"/>
    <n v="3.1746031746031744"/>
    <n v="2"/>
    <n v="3.1746031746031744"/>
    <n v="0"/>
    <n v="0"/>
    <n v="60"/>
    <n v="95.23809523809524"/>
    <n v="63"/>
  </r>
  <r>
    <s v="UCnwayuvfO0Buvpig6t1NHLA"/>
    <s v="UCrrFW5ckKRfBEOBxH3k9anQ"/>
    <s v="128, 128, 128"/>
    <n v="3"/>
    <m/>
    <n v="40"/>
    <m/>
    <m/>
    <m/>
    <m/>
    <s v="No"/>
    <n v="153"/>
    <m/>
    <m/>
    <s v="Commented Video"/>
    <x v="0"/>
    <s v="Bravo à l&amp;#39;homme 🇨🇮"/>
    <s v="UCnwayuvfO0Buvpig6t1NHLA"/>
    <s v="yao n`Dri swaliho kouassi"/>
    <s v="http://www.youtube.com/channel/UCnwayuvfO0Buvpig6t1NHLA"/>
    <m/>
    <s v="Ci9JYIJstPY"/>
    <s v="https://www.youtube.com/watch?v=Ci9JYIJstPY"/>
    <s v="none"/>
    <n v="1"/>
    <x v="147"/>
    <d v="2021-05-06T12:27:32.000"/>
    <m/>
    <m/>
    <s v=""/>
    <n v="1"/>
    <s v="1"/>
    <s v="1"/>
    <n v="0"/>
    <n v="0"/>
    <n v="1"/>
    <n v="20"/>
    <n v="0"/>
    <n v="0"/>
    <n v="4"/>
    <n v="80"/>
    <n v="5"/>
  </r>
  <r>
    <s v="UCLjavJHCl9XMdz-1HRSrlAg"/>
    <s v="UCkZ1kzcwoKfNEFZDpr-NwMw"/>
    <s v="128, 128, 128"/>
    <n v="3"/>
    <m/>
    <n v="40"/>
    <m/>
    <m/>
    <m/>
    <m/>
    <s v="No"/>
    <n v="154"/>
    <m/>
    <m/>
    <s v="Replied Comment"/>
    <x v="1"/>
    <s v="Gbagbo a fait combien de mandat en 2002 ?"/>
    <s v="UCLjavJHCl9XMdz-1HRSrlAg"/>
    <s v="BAPYonguk GukGuk"/>
    <s v="http://www.youtube.com/channel/UCLjavJHCl9XMdz-1HRSrlAg"/>
    <s v="UgwnZRP4FszVQZbnKEJ4AaABAg"/>
    <s v="Ci9JYIJstPY"/>
    <s v="https://www.youtube.com/watch?v=Ci9JYIJstPY"/>
    <s v="none"/>
    <n v="0"/>
    <x v="148"/>
    <d v="2021-05-06T12:58:16.000"/>
    <m/>
    <m/>
    <s v=""/>
    <n v="1"/>
    <s v="11"/>
    <s v="11"/>
    <n v="0"/>
    <n v="0"/>
    <n v="0"/>
    <n v="0"/>
    <n v="0"/>
    <n v="0"/>
    <n v="8"/>
    <n v="100"/>
    <n v="8"/>
  </r>
  <r>
    <s v="UCkZ1kzcwoKfNEFZDpr-NwMw"/>
    <s v="UCrrFW5ckKRfBEOBxH3k9anQ"/>
    <s v="128, 128, 128"/>
    <n v="3"/>
    <m/>
    <n v="40"/>
    <m/>
    <m/>
    <m/>
    <m/>
    <s v="No"/>
    <n v="155"/>
    <m/>
    <m/>
    <s v="Commented Video"/>
    <x v="0"/>
    <s v="tout cela  sont les discours de politiciens meme au tempt de gbagbo le pays etait mal dirigee.chris yapi est la maintenant vous devez faire attations ci vous etres de retour .on est fatique ,gbagbo aussi devait pas faire un troisieme mandat c &amp;#39;est ce qui a agendre tout cela .assayez vous et laisses la place a la jeune generation."/>
    <s v="UCkZ1kzcwoKfNEFZDpr-NwMw"/>
    <s v="albert lolo"/>
    <s v="http://www.youtube.com/channel/UCkZ1kzcwoKfNEFZDpr-NwMw"/>
    <m/>
    <s v="Ci9JYIJstPY"/>
    <s v="https://www.youtube.com/watch?v=Ci9JYIJstPY"/>
    <s v="none"/>
    <n v="0"/>
    <x v="149"/>
    <d v="2021-05-06T12:48:51.000"/>
    <m/>
    <m/>
    <s v=""/>
    <n v="1"/>
    <s v="11"/>
    <s v="1"/>
    <n v="0"/>
    <n v="0"/>
    <n v="1"/>
    <n v="1.639344262295082"/>
    <n v="0"/>
    <n v="0"/>
    <n v="60"/>
    <n v="98.36065573770492"/>
    <n v="61"/>
  </r>
  <r>
    <s v="UC4QyM1zt8sEbSeOFfw63mFA"/>
    <s v="UCrrFW5ckKRfBEOBxH3k9anQ"/>
    <s v="128, 128, 128"/>
    <n v="3"/>
    <m/>
    <n v="40"/>
    <m/>
    <m/>
    <m/>
    <m/>
    <s v="No"/>
    <n v="156"/>
    <m/>
    <m/>
    <s v="Commented Video"/>
    <x v="0"/>
    <s v="Huuuuummmm! On est revenu aux invectives avec le retour des exilés et autres. Wait and see dixit Chris Yapi. Dieu de grâce, pitié ne te détourne pas de nous....."/>
    <s v="UC4QyM1zt8sEbSeOFfw63mFA"/>
    <s v="ezechias gedeon gnamien"/>
    <s v="http://www.youtube.com/channel/UC4QyM1zt8sEbSeOFfw63mFA"/>
    <m/>
    <s v="Ci9JYIJstPY"/>
    <s v="https://www.youtube.com/watch?v=Ci9JYIJstPY"/>
    <s v="none"/>
    <n v="0"/>
    <x v="150"/>
    <d v="2021-05-06T13:03:28.000"/>
    <m/>
    <m/>
    <s v=""/>
    <n v="1"/>
    <s v="1"/>
    <s v="1"/>
    <n v="1"/>
    <n v="3.4482758620689653"/>
    <n v="1"/>
    <n v="3.4482758620689653"/>
    <n v="0"/>
    <n v="0"/>
    <n v="27"/>
    <n v="93.10344827586206"/>
    <n v="29"/>
  </r>
  <r>
    <s v="UCpRws4XFaiFQtfmd32lS8Ag"/>
    <s v="UCrrFW5ckKRfBEOBxH3k9anQ"/>
    <s v="128, 128, 128"/>
    <n v="3"/>
    <m/>
    <n v="40"/>
    <m/>
    <m/>
    <m/>
    <m/>
    <s v="No"/>
    <n v="157"/>
    <m/>
    <m/>
    <s v="Commented Video"/>
    <x v="0"/>
    <s v="Les sages qui observent savent qu en politique on n a pas d amis mais que des intérêts à protéger !.... tiens au fait encore plus d electricité à l appartement. C est sûr qu au lieu de payer les pieces défectueuses quand on se met l argent dans la poche, plus rien ne fonctionne...  et au lieu de faire de l entrisme et du népotisme  si on mettait en place des vrais ingénieurs et vrais logisticiens il n y aurait aucun problème.... mais au lieu de cela on y met sa famille ses amis sur présentation de la carte du &amp;quot;bon&amp;quot; parti.... Ubris sévit à tous les étages chez nous. Il ne faudra pas s étonner qd il y aura un grand coup de Karcher.   Mais en attendant le peuple souffre. Pas d eau... pas d electricité.... pas d argent pas de nourriture.... quelle désespérance. Pas étonnant que nos jeunes préfèrent une mort violente en mer à une mort lente et honteuse au pays..... Aléa jacta est!"/>
    <s v="UCpRws4XFaiFQtfmd32lS8Ag"/>
    <s v="Evelyne Nerveat"/>
    <s v="http://www.youtube.com/channel/UCpRws4XFaiFQtfmd32lS8Ag"/>
    <m/>
    <s v="Ci9JYIJstPY"/>
    <s v="https://www.youtube.com/watch?v=Ci9JYIJstPY"/>
    <s v="none"/>
    <n v="0"/>
    <x v="151"/>
    <d v="2021-05-06T14:08:38.000"/>
    <m/>
    <m/>
    <s v=""/>
    <n v="1"/>
    <s v="1"/>
    <s v="1"/>
    <n v="9"/>
    <n v="5.325443786982248"/>
    <n v="15"/>
    <n v="8.875739644970414"/>
    <n v="0"/>
    <n v="0"/>
    <n v="150"/>
    <n v="88.75739644970415"/>
    <n v="169"/>
  </r>
  <r>
    <s v="UCQ4_-9ld_2rCwq10BoHWkKg"/>
    <s v="UCrrFW5ckKRfBEOBxH3k9anQ"/>
    <s v="128, 128, 128"/>
    <n v="3"/>
    <m/>
    <n v="40"/>
    <m/>
    <m/>
    <m/>
    <m/>
    <s v="No"/>
    <n v="158"/>
    <m/>
    <m/>
    <s v="Commented Video"/>
    <x v="0"/>
    <s v="Chris yapi futur président de la République de Côte d&amp;#39;Ivoire&amp;#39;&amp;#39;&amp;#39;le seule qui est resté fidèle au peuple ivoirien&amp;#39;&amp;#39;&amp;#39;"/>
    <s v="UCQ4_-9ld_2rCwq10BoHWkKg"/>
    <s v="Joelle Kouassi"/>
    <s v="http://www.youtube.com/channel/UCQ4_-9ld_2rCwq10BoHWkKg"/>
    <m/>
    <s v="Ci9JYIJstPY"/>
    <s v="https://www.youtube.com/watch?v=Ci9JYIJstPY"/>
    <s v="none"/>
    <n v="1"/>
    <x v="152"/>
    <d v="2021-05-06T14:33:07.000"/>
    <m/>
    <m/>
    <s v=""/>
    <n v="1"/>
    <s v="1"/>
    <s v="1"/>
    <n v="1"/>
    <n v="3.7037037037037037"/>
    <n v="0"/>
    <n v="0"/>
    <n v="0"/>
    <n v="0"/>
    <n v="26"/>
    <n v="96.29629629629629"/>
    <n v="27"/>
  </r>
  <r>
    <s v="UCUyVTvdsDRbp1j6kpGstRyw"/>
    <s v="UCrrFW5ckKRfBEOBxH3k9anQ"/>
    <s v="128, 128, 128"/>
    <n v="3"/>
    <m/>
    <n v="40"/>
    <m/>
    <m/>
    <m/>
    <m/>
    <s v="No"/>
    <n v="159"/>
    <m/>
    <m/>
    <s v="Commented Video"/>
    <x v="0"/>
    <s v="Chris yapi vas fait tomber ce régime"/>
    <s v="UCUyVTvdsDRbp1j6kpGstRyw"/>
    <s v="Zokiri Coulibaly"/>
    <s v="http://www.youtube.com/channel/UCUyVTvdsDRbp1j6kpGstRyw"/>
    <m/>
    <s v="Ci9JYIJstPY"/>
    <s v="https://www.youtube.com/watch?v=Ci9JYIJstPY"/>
    <s v="none"/>
    <n v="0"/>
    <x v="153"/>
    <d v="2021-05-06T15:11:24.000"/>
    <m/>
    <m/>
    <s v=""/>
    <n v="1"/>
    <s v="1"/>
    <s v="1"/>
    <n v="0"/>
    <n v="0"/>
    <n v="1"/>
    <n v="14.285714285714286"/>
    <n v="0"/>
    <n v="0"/>
    <n v="6"/>
    <n v="85.71428571428571"/>
    <n v="7"/>
  </r>
  <r>
    <s v="UCWn8vuyfirkkJbPVdGlS5KQ"/>
    <s v="UCrrFW5ckKRfBEOBxH3k9anQ"/>
    <s v="128, 128, 128"/>
    <n v="3"/>
    <m/>
    <n v="40"/>
    <m/>
    <m/>
    <m/>
    <m/>
    <s v="No"/>
    <n v="160"/>
    <m/>
    <m/>
    <s v="Commented Video"/>
    <x v="0"/>
    <s v="En tout cas, &amp;quot;let&amp;#39;s wait and see&amp;quot;.&lt;br /&gt;Croisons les bras."/>
    <s v="UCWn8vuyfirkkJbPVdGlS5KQ"/>
    <s v="Gaza Kouakou Athanase Kouadio"/>
    <s v="http://www.youtube.com/channel/UCWn8vuyfirkkJbPVdGlS5KQ"/>
    <m/>
    <s v="Ci9JYIJstPY"/>
    <s v="https://www.youtube.com/watch?v=Ci9JYIJstPY"/>
    <s v="none"/>
    <n v="0"/>
    <x v="154"/>
    <d v="2021-05-06T15:30:25.000"/>
    <m/>
    <m/>
    <s v=""/>
    <n v="1"/>
    <s v="1"/>
    <s v="1"/>
    <n v="0"/>
    <n v="0"/>
    <n v="0"/>
    <n v="0"/>
    <n v="0"/>
    <n v="0"/>
    <n v="15"/>
    <n v="100"/>
    <n v="15"/>
  </r>
  <r>
    <s v="UCui6uBSvAYX-Lqjb_wzCBeg"/>
    <s v="UCrrFW5ckKRfBEOBxH3k9anQ"/>
    <s v="128, 128, 128"/>
    <n v="3"/>
    <m/>
    <n v="40"/>
    <m/>
    <m/>
    <m/>
    <m/>
    <s v="No"/>
    <n v="161"/>
    <m/>
    <m/>
    <s v="Commented Video"/>
    <x v="0"/>
    <s v="toujours yapi"/>
    <s v="UCui6uBSvAYX-Lqjb_wzCBeg"/>
    <s v="ollo robert sib"/>
    <s v="http://www.youtube.com/channel/UCui6uBSvAYX-Lqjb_wzCBeg"/>
    <m/>
    <s v="Ci9JYIJstPY"/>
    <s v="https://www.youtube.com/watch?v=Ci9JYIJstPY"/>
    <s v="none"/>
    <n v="0"/>
    <x v="155"/>
    <d v="2021-05-06T16:13:39.000"/>
    <m/>
    <m/>
    <s v=""/>
    <n v="1"/>
    <s v="1"/>
    <s v="1"/>
    <n v="1"/>
    <n v="50"/>
    <n v="1"/>
    <n v="50"/>
    <n v="0"/>
    <n v="0"/>
    <n v="1"/>
    <n v="50"/>
    <n v="2"/>
  </r>
  <r>
    <s v="UCvA1dCycuCB9ohqPmmH9QFA"/>
    <s v="UCrrFW5ckKRfBEOBxH3k9anQ"/>
    <s v="128, 128, 128"/>
    <n v="3"/>
    <m/>
    <n v="40"/>
    <m/>
    <m/>
    <m/>
    <m/>
    <s v="No"/>
    <n v="162"/>
    <m/>
    <m/>
    <s v="Commented Video"/>
    <x v="0"/>
    <s v="C&amp;#39;est COUILLU DE VENIR PARLER COMME ÇA UNE SEMAINE APRÈS SON RETOUR... Prend soin de toi cousin DAMANA🇨🇮🇨🇮🇨🇮🙏🙏"/>
    <s v="UCvA1dCycuCB9ohqPmmH9QFA"/>
    <s v="Manu TRAZIE"/>
    <s v="http://www.youtube.com/channel/UCvA1dCycuCB9ohqPmmH9QFA"/>
    <m/>
    <s v="Ci9JYIJstPY"/>
    <s v="https://www.youtube.com/watch?v=Ci9JYIJstPY"/>
    <s v="none"/>
    <n v="0"/>
    <x v="156"/>
    <d v="2021-05-06T16:33:49.000"/>
    <m/>
    <m/>
    <s v=""/>
    <n v="1"/>
    <s v="1"/>
    <s v="1"/>
    <n v="1"/>
    <n v="5"/>
    <n v="1"/>
    <n v="5"/>
    <n v="0"/>
    <n v="0"/>
    <n v="19"/>
    <n v="95"/>
    <n v="20"/>
  </r>
  <r>
    <s v="UCLgsdRpMD0KaJSubRDx_WXA"/>
    <s v="UCrrFW5ckKRfBEOBxH3k9anQ"/>
    <s v="128, 128, 128"/>
    <n v="3"/>
    <m/>
    <n v="40"/>
    <m/>
    <m/>
    <m/>
    <m/>
    <s v="No"/>
    <n v="163"/>
    <m/>
    <m/>
    <s v="Commented Video"/>
    <x v="0"/>
    <s v="Merci je suis ivoirien, depuis votre apparition sur les réseaux sociaux tu es le seul qui dit la vérité"/>
    <s v="UCLgsdRpMD0KaJSubRDx_WXA"/>
    <s v="Ahe N'guessan Aka Michel"/>
    <s v="http://www.youtube.com/channel/UCLgsdRpMD0KaJSubRDx_WXA"/>
    <m/>
    <s v="Ci9JYIJstPY"/>
    <s v="https://www.youtube.com/watch?v=Ci9JYIJstPY"/>
    <s v="none"/>
    <n v="0"/>
    <x v="157"/>
    <d v="2021-05-06T16:55:13.000"/>
    <m/>
    <m/>
    <s v=""/>
    <n v="1"/>
    <s v="1"/>
    <s v="1"/>
    <n v="1"/>
    <n v="5.2631578947368425"/>
    <n v="1"/>
    <n v="5.2631578947368425"/>
    <n v="0"/>
    <n v="0"/>
    <n v="17"/>
    <n v="89.47368421052632"/>
    <n v="19"/>
  </r>
  <r>
    <s v="UCj0wgdlwzc_mrRP8aPp9OCA"/>
    <s v="UCrrFW5ckKRfBEOBxH3k9anQ"/>
    <s v="128, 128, 128"/>
    <n v="3"/>
    <m/>
    <n v="40"/>
    <m/>
    <m/>
    <m/>
    <m/>
    <s v="No"/>
    <n v="164"/>
    <m/>
    <m/>
    <s v="Commented Video"/>
    <x v="0"/>
    <s v="Mais quel courage !"/>
    <s v="UCj0wgdlwzc_mrRP8aPp9OCA"/>
    <s v="Brice Depri"/>
    <s v="http://www.youtube.com/channel/UCj0wgdlwzc_mrRP8aPp9OCA"/>
    <m/>
    <s v="Ci9JYIJstPY"/>
    <s v="https://www.youtube.com/watch?v=Ci9JYIJstPY"/>
    <s v="none"/>
    <n v="1"/>
    <x v="158"/>
    <d v="2021-05-06T17:38:46.000"/>
    <m/>
    <m/>
    <s v=""/>
    <n v="1"/>
    <s v="1"/>
    <s v="1"/>
    <n v="1"/>
    <n v="33.333333333333336"/>
    <n v="1"/>
    <n v="33.333333333333336"/>
    <n v="0"/>
    <n v="0"/>
    <n v="2"/>
    <n v="66.66666666666667"/>
    <n v="3"/>
  </r>
  <r>
    <s v="UCV6FmOfPwUZc_bPhoUZZWgQ"/>
    <s v="UCrrFW5ckKRfBEOBxH3k9anQ"/>
    <s v="128, 128, 128"/>
    <n v="3"/>
    <m/>
    <n v="40"/>
    <m/>
    <m/>
    <m/>
    <m/>
    <s v="No"/>
    <n v="165"/>
    <m/>
    <m/>
    <s v="Commented Video"/>
    <x v="0"/>
    <s v="Merci Chris Yapi"/>
    <s v="UCV6FmOfPwUZc_bPhoUZZWgQ"/>
    <s v="Djouma Ouattarabou"/>
    <s v="http://www.youtube.com/channel/UCV6FmOfPwUZc_bPhoUZZWgQ"/>
    <m/>
    <s v="Ci9JYIJstPY"/>
    <s v="https://www.youtube.com/watch?v=Ci9JYIJstPY"/>
    <s v="none"/>
    <n v="0"/>
    <x v="159"/>
    <d v="2021-05-06T17:56:01.000"/>
    <m/>
    <m/>
    <s v=""/>
    <n v="1"/>
    <s v="1"/>
    <s v="1"/>
    <n v="1"/>
    <n v="33.333333333333336"/>
    <n v="0"/>
    <n v="0"/>
    <n v="0"/>
    <n v="0"/>
    <n v="2"/>
    <n v="66.66666666666667"/>
    <n v="3"/>
  </r>
  <r>
    <s v="UCIBIS5AepYGOjvOyl5O3JGg"/>
    <s v="UCrrFW5ckKRfBEOBxH3k9anQ"/>
    <s v="128, 128, 128"/>
    <n v="3"/>
    <m/>
    <n v="40"/>
    <m/>
    <m/>
    <m/>
    <m/>
    <s v="No"/>
    <n v="166"/>
    <m/>
    <m/>
    <s v="Commented Video"/>
    <x v="0"/>
    <s v="Bonjour la famille,&lt;br /&gt;Damana Picass, est ce qu’il sait ce qu’il est entrain de faire?? En tout cas comme il vient d’arriver on va dire il sait pas ... mais mon frère y’a la fiole 🧪 hein !!"/>
    <s v="UCIBIS5AepYGOjvOyl5O3JGg"/>
    <s v="Piment Sympathique"/>
    <s v="http://www.youtube.com/channel/UCIBIS5AepYGOjvOyl5O3JGg"/>
    <m/>
    <s v="Ci9JYIJstPY"/>
    <s v="https://www.youtube.com/watch?v=Ci9JYIJstPY"/>
    <s v="none"/>
    <n v="2"/>
    <x v="160"/>
    <d v="2021-05-06T18:09:16.000"/>
    <m/>
    <m/>
    <s v=""/>
    <n v="1"/>
    <s v="1"/>
    <s v="1"/>
    <n v="3"/>
    <n v="7.5"/>
    <n v="2"/>
    <n v="5"/>
    <n v="0"/>
    <n v="0"/>
    <n v="37"/>
    <n v="92.5"/>
    <n v="40"/>
  </r>
  <r>
    <s v="UCOJa4bpknlhm5hixz0PWSuQ"/>
    <s v="UCrrFW5ckKRfBEOBxH3k9anQ"/>
    <s v="128, 128, 128"/>
    <n v="3"/>
    <m/>
    <n v="40"/>
    <m/>
    <m/>
    <m/>
    <m/>
    <s v="No"/>
    <n v="167"/>
    <m/>
    <m/>
    <s v="Commented Video"/>
    <x v="0"/>
    <s v="C&amp;#39;est tout simplement formidable !!!!!"/>
    <s v="UCOJa4bpknlhm5hixz0PWSuQ"/>
    <s v="Deville Yoro"/>
    <s v="http://www.youtube.com/channel/UCOJa4bpknlhm5hixz0PWSuQ"/>
    <m/>
    <s v="Ci9JYIJstPY"/>
    <s v="https://www.youtube.com/watch?v=Ci9JYIJstPY"/>
    <s v="none"/>
    <n v="0"/>
    <x v="161"/>
    <d v="2021-05-06T18:14:04.000"/>
    <m/>
    <m/>
    <s v=""/>
    <n v="1"/>
    <s v="1"/>
    <s v="1"/>
    <n v="1"/>
    <n v="16.666666666666668"/>
    <n v="0"/>
    <n v="0"/>
    <n v="0"/>
    <n v="0"/>
    <n v="5"/>
    <n v="83.33333333333333"/>
    <n v="6"/>
  </r>
  <r>
    <s v="UCrdc8c0VXEBe6rrzycPhTbg"/>
    <s v="UCrrFW5ckKRfBEOBxH3k9anQ"/>
    <s v="128, 128, 128"/>
    <n v="3"/>
    <m/>
    <n v="40"/>
    <m/>
    <m/>
    <m/>
    <m/>
    <s v="No"/>
    <n v="168"/>
    <m/>
    <m/>
    <s v="Commented Video"/>
    <x v="0"/>
    <s v="Aller !!!D&amp;#39;amant pikass !"/>
    <s v="UCrdc8c0VXEBe6rrzycPhTbg"/>
    <s v="Timou Timou"/>
    <s v="http://www.youtube.com/channel/UCrdc8c0VXEBe6rrzycPhTbg"/>
    <m/>
    <s v="Ci9JYIJstPY"/>
    <s v="https://www.youtube.com/watch?v=Ci9JYIJstPY"/>
    <s v="none"/>
    <n v="0"/>
    <x v="162"/>
    <d v="2021-05-06T20:41:25.000"/>
    <m/>
    <m/>
    <s v=""/>
    <n v="1"/>
    <s v="1"/>
    <s v="1"/>
    <n v="1"/>
    <n v="20"/>
    <n v="1"/>
    <n v="20"/>
    <n v="0"/>
    <n v="0"/>
    <n v="4"/>
    <n v="80"/>
    <n v="5"/>
  </r>
  <r>
    <s v="UC03SwJHbmy-KXKjVWb9mjeg"/>
    <s v="UCrrFW5ckKRfBEOBxH3k9anQ"/>
    <s v="128, 128, 128"/>
    <n v="3"/>
    <m/>
    <n v="40"/>
    <m/>
    <m/>
    <m/>
    <m/>
    <s v="No"/>
    <n v="169"/>
    <m/>
    <m/>
    <s v="Commented Video"/>
    <x v="0"/>
    <s v="Mais DAMANA PIKAS a raison par rapport à l&amp;#39;élection présidentielle de 2010, pourquoi le camp adverse n&amp;#39;a accepté que le recomptage des voix soit l&amp;#39;option choisie pour le dénouement de la crise post-electorale, parce que les gens avaient perdu les élections."/>
    <s v="UC03SwJHbmy-KXKjVWb9mjeg"/>
    <s v="honoré YOULOUGONE"/>
    <s v="http://www.youtube.com/channel/UC03SwJHbmy-KXKjVWb9mjeg"/>
    <m/>
    <s v="Ci9JYIJstPY"/>
    <s v="https://www.youtube.com/watch?v=Ci9JYIJstPY"/>
    <s v="none"/>
    <n v="0"/>
    <x v="163"/>
    <d v="2021-05-06T21:35:23.000"/>
    <m/>
    <m/>
    <s v=""/>
    <n v="1"/>
    <s v="1"/>
    <s v="1"/>
    <n v="1"/>
    <n v="2.0833333333333335"/>
    <n v="4"/>
    <n v="8.333333333333334"/>
    <n v="0"/>
    <n v="0"/>
    <n v="44"/>
    <n v="91.66666666666667"/>
    <n v="48"/>
  </r>
  <r>
    <s v="UC2_xSCu7RIdq6FunUtp68zw"/>
    <s v="UCrrFW5ckKRfBEOBxH3k9anQ"/>
    <s v="128, 128, 128"/>
    <n v="3"/>
    <m/>
    <n v="40"/>
    <m/>
    <m/>
    <m/>
    <m/>
    <s v="No"/>
    <n v="170"/>
    <m/>
    <m/>
    <s v="Commented Video"/>
    <x v="0"/>
    <s v="Humm Pardon ne livrez pas Damana Pikass à la fiole ooh🙄🙄"/>
    <s v="UC2_xSCu7RIdq6FunUtp68zw"/>
    <s v="Prisca TAPE"/>
    <s v="http://www.youtube.com/channel/UC2_xSCu7RIdq6FunUtp68zw"/>
    <m/>
    <s v="Ci9JYIJstPY"/>
    <s v="https://www.youtube.com/watch?v=Ci9JYIJstPY"/>
    <s v="none"/>
    <n v="1"/>
    <x v="164"/>
    <d v="2021-05-06T22:27:43.000"/>
    <m/>
    <m/>
    <s v=""/>
    <n v="1"/>
    <s v="1"/>
    <s v="1"/>
    <n v="1"/>
    <n v="9.090909090909092"/>
    <n v="0"/>
    <n v="0"/>
    <n v="0"/>
    <n v="0"/>
    <n v="10"/>
    <n v="90.9090909090909"/>
    <n v="11"/>
  </r>
  <r>
    <s v="UCN0ynz0wVhfT11DFWCegk1g"/>
    <s v="UCrrFW5ckKRfBEOBxH3k9anQ"/>
    <s v="128, 128, 128"/>
    <n v="3"/>
    <m/>
    <n v="40"/>
    <m/>
    <m/>
    <m/>
    <m/>
    <s v="No"/>
    <n v="171"/>
    <m/>
    <m/>
    <s v="Commented Video"/>
    <x v="0"/>
    <s v="Ainsi que les dignes fils ivoiriens s&amp;#39;expriment 🐘🇨🇮&lt;br /&gt;La vérité pique comme le nom&lt;br /&gt; T. Piquase"/>
    <s v="UCN0ynz0wVhfT11DFWCegk1g"/>
    <s v="Drigbe Carols"/>
    <s v="http://www.youtube.com/channel/UCN0ynz0wVhfT11DFWCegk1g"/>
    <m/>
    <s v="Ci9JYIJstPY"/>
    <s v="https://www.youtube.com/watch?v=Ci9JYIJstPY"/>
    <s v="none"/>
    <n v="2"/>
    <x v="165"/>
    <d v="2021-05-06T22:28:39.000"/>
    <m/>
    <m/>
    <s v=""/>
    <n v="1"/>
    <s v="1"/>
    <s v="1"/>
    <n v="1"/>
    <n v="5.2631578947368425"/>
    <n v="2"/>
    <n v="10.526315789473685"/>
    <n v="0"/>
    <n v="0"/>
    <n v="17"/>
    <n v="89.47368421052632"/>
    <n v="19"/>
  </r>
  <r>
    <s v="UCfftvwIAhZMDl0PmaDqo_1g"/>
    <s v="UCrrFW5ckKRfBEOBxH3k9anQ"/>
    <s v="128, 128, 128"/>
    <n v="3"/>
    <m/>
    <n v="40"/>
    <m/>
    <m/>
    <m/>
    <m/>
    <s v="No"/>
    <n v="172"/>
    <m/>
    <m/>
    <s v="Commented Video"/>
    <x v="0"/>
    <s v="BRAVO DAMANA PICAS!&lt;br /&gt;TA MAMAN T&amp;#39;A FAIT GARÇON.&lt;br /&gt;QUE DIEU, CRÉATEUR DU CIEL ET DE LA TERRE, TE PROTÈGE ET TE BÉNISSE PUISSAMMENT AU NOM DE JÉSUS. AMEN !"/>
    <s v="UCfftvwIAhZMDl0PmaDqo_1g"/>
    <s v="Lavoix Desbobo"/>
    <s v="http://www.youtube.com/channel/UCfftvwIAhZMDl0PmaDqo_1g"/>
    <m/>
    <s v="Ci9JYIJstPY"/>
    <s v="https://www.youtube.com/watch?v=Ci9JYIJstPY"/>
    <s v="none"/>
    <n v="2"/>
    <x v="166"/>
    <d v="2021-05-06T22:29:20.000"/>
    <m/>
    <m/>
    <s v=""/>
    <n v="1"/>
    <s v="1"/>
    <s v="1"/>
    <n v="2"/>
    <n v="6.25"/>
    <n v="3"/>
    <n v="9.375"/>
    <n v="0"/>
    <n v="0"/>
    <n v="28"/>
    <n v="87.5"/>
    <n v="32"/>
  </r>
  <r>
    <s v="UCbWY2V53qsUHtrLpFy-jaMw"/>
    <s v="UCrrFW5ckKRfBEOBxH3k9anQ"/>
    <s v="128, 128, 128"/>
    <n v="3"/>
    <m/>
    <n v="40"/>
    <m/>
    <m/>
    <m/>
    <m/>
    <s v="No"/>
    <n v="173"/>
    <m/>
    <m/>
    <s v="Commented Video"/>
    <x v="0"/>
    <s v="Vraiment merci Chris yapi"/>
    <s v="UCbWY2V53qsUHtrLpFy-jaMw"/>
    <s v="Amoinmadeleine Konan"/>
    <s v="http://www.youtube.com/channel/UCbWY2V53qsUHtrLpFy-jaMw"/>
    <m/>
    <s v="Ci9JYIJstPY"/>
    <s v="https://www.youtube.com/watch?v=Ci9JYIJstPY"/>
    <s v="none"/>
    <n v="0"/>
    <x v="167"/>
    <d v="2021-05-06T23:10:45.000"/>
    <m/>
    <m/>
    <s v=""/>
    <n v="1"/>
    <s v="1"/>
    <s v="1"/>
    <n v="1"/>
    <n v="25"/>
    <n v="1"/>
    <n v="25"/>
    <n v="0"/>
    <n v="0"/>
    <n v="2"/>
    <n v="50"/>
    <n v="4"/>
  </r>
  <r>
    <s v="UCbJ9OfieJxOdqubkRtjyuKw"/>
    <s v="UCrrFW5ckKRfBEOBxH3k9anQ"/>
    <s v="128, 128, 128"/>
    <n v="3"/>
    <m/>
    <n v="40"/>
    <m/>
    <m/>
    <m/>
    <m/>
    <s v="No"/>
    <n v="174"/>
    <m/>
    <m/>
    <s v="Commented Video"/>
    <x v="0"/>
    <s v="Beaucoup de respect pour toi, parfois je me demande si tu n&amp;#39;es pas extra terrestre très cher Chris Yapi."/>
    <s v="UCbJ9OfieJxOdqubkRtjyuKw"/>
    <s v="Souleymane Sanguisso"/>
    <s v="http://www.youtube.com/channel/UCbJ9OfieJxOdqubkRtjyuKw"/>
    <m/>
    <s v="Ci9JYIJstPY"/>
    <s v="https://www.youtube.com/watch?v=Ci9JYIJstPY"/>
    <s v="none"/>
    <n v="0"/>
    <x v="168"/>
    <d v="2021-05-06T23:15:48.000"/>
    <m/>
    <m/>
    <s v=""/>
    <n v="1"/>
    <s v="1"/>
    <s v="1"/>
    <n v="1"/>
    <n v="4.761904761904762"/>
    <n v="1"/>
    <n v="4.761904761904762"/>
    <n v="0"/>
    <n v="0"/>
    <n v="19"/>
    <n v="90.47619047619048"/>
    <n v="21"/>
  </r>
  <r>
    <s v="UCU3B6uthFejEFlLALdqaVYw"/>
    <s v="UCrrFW5ckKRfBEOBxH3k9anQ"/>
    <s v="128, 128, 128"/>
    <n v="3"/>
    <m/>
    <n v="40"/>
    <m/>
    <m/>
    <m/>
    <m/>
    <s v="No"/>
    <n v="175"/>
    <m/>
    <m/>
    <s v="Commented Video"/>
    <x v="0"/>
    <s v="Damana Picass va y doucement se pouvoir là c&amp;#39;est zéro tolérance"/>
    <s v="UCU3B6uthFejEFlLALdqaVYw"/>
    <s v="Saklape Jean Paul Gneupa"/>
    <s v="http://www.youtube.com/channel/UCU3B6uthFejEFlLALdqaVYw"/>
    <m/>
    <s v="Ci9JYIJstPY"/>
    <s v="https://www.youtube.com/watch?v=Ci9JYIJstPY"/>
    <s v="none"/>
    <n v="0"/>
    <x v="169"/>
    <d v="2021-05-06T23:59:27.000"/>
    <m/>
    <m/>
    <s v=""/>
    <n v="1"/>
    <s v="1"/>
    <s v="1"/>
    <n v="2"/>
    <n v="15.384615384615385"/>
    <n v="1"/>
    <n v="7.6923076923076925"/>
    <n v="0"/>
    <n v="0"/>
    <n v="11"/>
    <n v="84.61538461538461"/>
    <n v="13"/>
  </r>
  <r>
    <s v="UCishp5q9_MBqughD8R6_7dQ"/>
    <s v="UCrrFW5ckKRfBEOBxH3k9anQ"/>
    <s v="128, 128, 128"/>
    <n v="3"/>
    <m/>
    <n v="40"/>
    <m/>
    <m/>
    <m/>
    <m/>
    <s v="No"/>
    <n v="176"/>
    <m/>
    <m/>
    <s v="Commented Video"/>
    <x v="0"/>
    <s v="🙊🙊🙊🙊"/>
    <s v="UCishp5q9_MBqughD8R6_7dQ"/>
    <s v="sandrine monhiro"/>
    <s v="http://www.youtube.com/channel/UCishp5q9_MBqughD8R6_7dQ"/>
    <m/>
    <s v="Ci9JYIJstPY"/>
    <s v="https://www.youtube.com/watch?v=Ci9JYIJstPY"/>
    <s v="none"/>
    <n v="0"/>
    <x v="170"/>
    <d v="2021-05-07T01:08:56.000"/>
    <m/>
    <m/>
    <s v=""/>
    <n v="1"/>
    <s v="15"/>
    <s v="1"/>
    <n v="0"/>
    <n v="0"/>
    <n v="0"/>
    <n v="0"/>
    <n v="0"/>
    <n v="0"/>
    <n v="0"/>
    <n v="0"/>
    <n v="0"/>
  </r>
  <r>
    <s v="UCIwkpHqUeqI0QDxQsKXcvTw"/>
    <s v="UCrrFW5ckKRfBEOBxH3k9anQ"/>
    <s v="128, 128, 128"/>
    <n v="3"/>
    <m/>
    <n v="40"/>
    <m/>
    <m/>
    <m/>
    <m/>
    <s v="No"/>
    <n v="177"/>
    <m/>
    <m/>
    <s v="Commented Video"/>
    <x v="0"/>
    <s v="Les ivoiriens doivent absolument tourner la page nous en avons trop souffert (cette crise) mais préparons l&amp;#39;avenir en étant prudent comme le serpent et simple comme la colombe car en côte d&amp;#39;ivoire Ilya un proverbe qui di que si Dieu combat pr toi tu n&amp;#39;a pas bésoin d enlever ton habit"/>
    <s v="UCIwkpHqUeqI0QDxQsKXcvTw"/>
    <s v="Ehouman Ehouman"/>
    <s v="http://www.youtube.com/channel/UCIwkpHqUeqI0QDxQsKXcvTw"/>
    <m/>
    <s v="Ci9JYIJstPY"/>
    <s v="https://www.youtube.com/watch?v=Ci9JYIJstPY"/>
    <s v="none"/>
    <n v="0"/>
    <x v="171"/>
    <d v="2021-05-07T12:50:38.000"/>
    <m/>
    <m/>
    <s v=""/>
    <n v="1"/>
    <s v="1"/>
    <s v="1"/>
    <n v="3"/>
    <n v="5.2631578947368425"/>
    <n v="6"/>
    <n v="10.526315789473685"/>
    <n v="0"/>
    <n v="0"/>
    <n v="50"/>
    <n v="87.71929824561404"/>
    <n v="57"/>
  </r>
  <r>
    <s v="UCmUeMZkp5dvd_9XoLdWWdyw"/>
    <s v="UCrrFW5ckKRfBEOBxH3k9anQ"/>
    <s v="171, 85, 85"/>
    <n v="3"/>
    <m/>
    <n v="40"/>
    <m/>
    <m/>
    <m/>
    <m/>
    <s v="No"/>
    <n v="178"/>
    <m/>
    <m/>
    <s v="Commented Video"/>
    <x v="0"/>
    <s v="Christ yapi merci de nous donner l&amp;#39;identité ( origine )de Damana pikass"/>
    <s v="UCmUeMZkp5dvd_9XoLdWWdyw"/>
    <s v="2 L'ART"/>
    <s v="http://www.youtube.com/channel/UCmUeMZkp5dvd_9XoLdWWdyw"/>
    <m/>
    <s v="Ci9JYIJstPY"/>
    <s v="https://www.youtube.com/watch?v=Ci9JYIJstPY"/>
    <s v="none"/>
    <n v="0"/>
    <x v="172"/>
    <d v="2021-05-07T16:19:52.000"/>
    <m/>
    <m/>
    <s v=""/>
    <n v="2"/>
    <s v="1"/>
    <s v="1"/>
    <n v="1"/>
    <n v="7.6923076923076925"/>
    <n v="0"/>
    <n v="0"/>
    <n v="0"/>
    <n v="0"/>
    <n v="12"/>
    <n v="92.3076923076923"/>
    <n v="13"/>
  </r>
  <r>
    <s v="UCmUeMZkp5dvd_9XoLdWWdyw"/>
    <s v="UCrrFW5ckKRfBEOBxH3k9anQ"/>
    <s v="171, 85, 85"/>
    <n v="3"/>
    <m/>
    <n v="40"/>
    <m/>
    <m/>
    <m/>
    <m/>
    <s v="No"/>
    <n v="179"/>
    <m/>
    <m/>
    <s v="Commented Video"/>
    <x v="0"/>
    <s v="Je connais bien sa famille j&amp;#39;attends que vous nous donnez ses origines s&amp;#39;il vous plaît. Merci"/>
    <s v="UCmUeMZkp5dvd_9XoLdWWdyw"/>
    <s v="2 L'ART"/>
    <s v="http://www.youtube.com/channel/UCmUeMZkp5dvd_9XoLdWWdyw"/>
    <m/>
    <s v="Ci9JYIJstPY"/>
    <s v="https://www.youtube.com/watch?v=Ci9JYIJstPY"/>
    <s v="none"/>
    <n v="0"/>
    <x v="173"/>
    <d v="2021-05-07T16:22:22.000"/>
    <m/>
    <m/>
    <s v=""/>
    <n v="2"/>
    <s v="1"/>
    <s v="1"/>
    <n v="3"/>
    <n v="15"/>
    <n v="1"/>
    <n v="5"/>
    <n v="0"/>
    <n v="0"/>
    <n v="17"/>
    <n v="85"/>
    <n v="20"/>
  </r>
  <r>
    <s v="UC-N5zjle-3v2D2XK501MXfw"/>
    <s v="UCrrFW5ckKRfBEOBxH3k9anQ"/>
    <s v="128, 128, 128"/>
    <n v="3"/>
    <m/>
    <n v="40"/>
    <m/>
    <m/>
    <m/>
    <m/>
    <s v="No"/>
    <n v="180"/>
    <m/>
    <m/>
    <s v="Commented Video"/>
    <x v="0"/>
    <s v="Ce monsieur sera arrêté. Que  le tout-puissant le protège. Chris yapi infiniment merci."/>
    <s v="UC-N5zjle-3v2D2XK501MXfw"/>
    <s v="Akoua Florence"/>
    <s v="http://www.youtube.com/channel/UC-N5zjle-3v2D2XK501MXfw"/>
    <m/>
    <s v="Ci9JYIJstPY"/>
    <s v="https://www.youtube.com/watch?v=Ci9JYIJstPY"/>
    <s v="none"/>
    <n v="1"/>
    <x v="174"/>
    <d v="2021-05-07T20:18:10.000"/>
    <m/>
    <m/>
    <s v=""/>
    <n v="1"/>
    <s v="1"/>
    <s v="1"/>
    <n v="2"/>
    <n v="14.285714285714286"/>
    <n v="1"/>
    <n v="7.142857142857143"/>
    <n v="0"/>
    <n v="0"/>
    <n v="12"/>
    <n v="85.71428571428571"/>
    <n v="14"/>
  </r>
  <r>
    <s v="UCeMolquxnK8TDDHkEj-A8Zw"/>
    <s v="UCrrFW5ckKRfBEOBxH3k9anQ"/>
    <s v="128, 128, 128"/>
    <n v="3"/>
    <m/>
    <n v="40"/>
    <m/>
    <m/>
    <m/>
    <m/>
    <s v="No"/>
    <n v="181"/>
    <m/>
    <m/>
    <s v="Commented Video"/>
    <x v="0"/>
    <s v="Merci Chris Yapi !!!!"/>
    <s v="UCeMolquxnK8TDDHkEj-A8Zw"/>
    <s v="Stéphane GNABA"/>
    <s v="http://www.youtube.com/channel/UCeMolquxnK8TDDHkEj-A8Zw"/>
    <m/>
    <s v="Ci9JYIJstPY"/>
    <s v="https://www.youtube.com/watch?v=Ci9JYIJstPY"/>
    <s v="none"/>
    <n v="0"/>
    <x v="175"/>
    <d v="2021-05-07T22:01:17.000"/>
    <m/>
    <m/>
    <s v=""/>
    <n v="1"/>
    <s v="1"/>
    <s v="1"/>
    <n v="1"/>
    <n v="33.333333333333336"/>
    <n v="0"/>
    <n v="0"/>
    <n v="0"/>
    <n v="0"/>
    <n v="2"/>
    <n v="66.66666666666667"/>
    <n v="3"/>
  </r>
  <r>
    <s v="UC7Qdhojel0tnqLB9_hEEByQ"/>
    <s v="UCrrFW5ckKRfBEOBxH3k9anQ"/>
    <s v="128, 128, 128"/>
    <n v="3"/>
    <m/>
    <n v="40"/>
    <m/>
    <m/>
    <m/>
    <m/>
    <s v="No"/>
    <n v="182"/>
    <m/>
    <m/>
    <s v="Commented Video"/>
    <x v="0"/>
    <s v="C&amp;#39;est bien Laurent Gbagbo qui a gagné les élections"/>
    <s v="UC7Qdhojel0tnqLB9_hEEByQ"/>
    <s v="ndri Ramos"/>
    <s v="http://www.youtube.com/channel/UC7Qdhojel0tnqLB9_hEEByQ"/>
    <m/>
    <s v="Ci9JYIJstPY"/>
    <s v="https://www.youtube.com/watch?v=Ci9JYIJstPY"/>
    <s v="none"/>
    <n v="0"/>
    <x v="176"/>
    <d v="2021-05-08T22:19:51.000"/>
    <m/>
    <m/>
    <s v=""/>
    <n v="1"/>
    <s v="1"/>
    <s v="1"/>
    <n v="2"/>
    <n v="18.181818181818183"/>
    <n v="1"/>
    <n v="9.090909090909092"/>
    <n v="0"/>
    <n v="0"/>
    <n v="9"/>
    <n v="81.81818181818181"/>
    <n v="11"/>
  </r>
  <r>
    <s v="UCTc7z4Q7L2jjfRw0DW1JxlA"/>
    <s v="UCrrFW5ckKRfBEOBxH3k9anQ"/>
    <s v="128, 128, 128"/>
    <n v="3"/>
    <m/>
    <n v="40"/>
    <m/>
    <m/>
    <m/>
    <m/>
    <s v="No"/>
    <n v="183"/>
    <m/>
    <m/>
    <s v="Commented Video"/>
    <x v="0"/>
    <s v="Les Ivoiriens ne doivent pas lâcher prise. Ils doivent se coaliser pour dégager Ouattara et cie !"/>
    <s v="UCTc7z4Q7L2jjfRw0DW1JxlA"/>
    <s v="Koffi Gaston Yeouye"/>
    <s v="http://www.youtube.com/channel/UCTc7z4Q7L2jjfRw0DW1JxlA"/>
    <m/>
    <s v="Ci9JYIJstPY"/>
    <s v="https://www.youtube.com/watch?v=Ci9JYIJstPY"/>
    <s v="none"/>
    <n v="0"/>
    <x v="177"/>
    <d v="2021-05-10T08:47:06.000"/>
    <m/>
    <m/>
    <s v=""/>
    <n v="1"/>
    <s v="1"/>
    <s v="1"/>
    <n v="1"/>
    <n v="6.25"/>
    <n v="0"/>
    <n v="0"/>
    <n v="0"/>
    <n v="0"/>
    <n v="15"/>
    <n v="93.75"/>
    <n v="16"/>
  </r>
  <r>
    <s v="UCCpfJjPNtxpHSI3ZBQi6P8w"/>
    <s v="UCFaJOQg4hhsFxk1Y4ZAmrIg"/>
    <s v="128, 128, 128"/>
    <n v="3"/>
    <m/>
    <n v="40"/>
    <m/>
    <m/>
    <m/>
    <m/>
    <s v="No"/>
    <n v="184"/>
    <m/>
    <m/>
    <s v="Replied Comment"/>
    <x v="1"/>
    <s v="Qu&amp;#39;il en soit ainsi"/>
    <s v="UCCpfJjPNtxpHSI3ZBQi6P8w"/>
    <s v="Marie yvette 01 Dizan"/>
    <s v="http://www.youtube.com/channel/UCCpfJjPNtxpHSI3ZBQi6P8w"/>
    <s v="Ugxlq92T96whlCn7bqt4AaABAg"/>
    <s v="Ci9JYIJstPY"/>
    <s v="https://www.youtube.com/watch?v=Ci9JYIJstPY"/>
    <s v="none"/>
    <n v="5"/>
    <x v="178"/>
    <d v="2021-05-06T11:40:37.000"/>
    <m/>
    <m/>
    <s v=""/>
    <n v="1"/>
    <s v="10"/>
    <s v="10"/>
    <n v="0"/>
    <n v="0"/>
    <n v="0"/>
    <n v="0"/>
    <n v="0"/>
    <n v="0"/>
    <n v="6"/>
    <n v="100"/>
    <n v="6"/>
  </r>
  <r>
    <s v="UCFaJOQg4hhsFxk1Y4ZAmrIg"/>
    <s v="UCrrFW5ckKRfBEOBxH3k9anQ"/>
    <s v="128, 128, 128"/>
    <n v="3"/>
    <m/>
    <n v="40"/>
    <m/>
    <m/>
    <m/>
    <m/>
    <s v="No"/>
    <n v="185"/>
    <m/>
    <m/>
    <s v="Commented Video"/>
    <x v="0"/>
    <s v="Même hier à Dubaï dans un supermarché, j&amp;#39;entendis la sonnerie de Christ Yapi. J&amp;#39;ai abordé la dame en lui demandant si elle est ivoirienne. Voilà elle me dit non qu&amp;#39;elle est de Mozambique (un pays limitrophe de l&amp;#39;Afrique du sud).&lt;br /&gt;&lt;br /&gt;Weeeeeeee, chapeau à toi Chris Yapi. Dramane va forcément tomber comme une Orange pourrie et même le plus inintelligent sur la planète viendra lui donner des conseils sur la morale et le bon sens."/>
    <s v="UCFaJOQg4hhsFxk1Y4ZAmrIg"/>
    <s v="Kokuvi Gaston Amedodji"/>
    <s v="http://www.youtube.com/channel/UCFaJOQg4hhsFxk1Y4ZAmrIg"/>
    <m/>
    <s v="Ci9JYIJstPY"/>
    <s v="https://www.youtube.com/watch?v=Ci9JYIJstPY"/>
    <s v="none"/>
    <n v="41"/>
    <x v="179"/>
    <d v="2021-05-06T08:27:51.000"/>
    <m/>
    <m/>
    <s v=""/>
    <n v="1"/>
    <s v="10"/>
    <s v="1"/>
    <n v="3"/>
    <n v="3.5714285714285716"/>
    <n v="4"/>
    <n v="4.761904761904762"/>
    <n v="0"/>
    <n v="0"/>
    <n v="79"/>
    <n v="94.04761904761905"/>
    <n v="84"/>
  </r>
  <r>
    <s v="UCrrFW5ckKRfBEOBxH3k9anQ"/>
    <s v="UCrrFW5ckKRfBEOBxH3k9anQ"/>
    <s v="128, 128, 128"/>
    <n v="3"/>
    <m/>
    <n v="40"/>
    <m/>
    <m/>
    <m/>
    <m/>
    <s v="No"/>
    <n v="186"/>
    <m/>
    <m/>
    <s v="Posted Video"/>
    <x v="2"/>
    <m/>
    <m/>
    <m/>
    <m/>
    <m/>
    <s v="Ci9JYIJstPY"/>
    <s v="https://www.youtube.com/watch?v=Ci9JYIJstPY"/>
    <m/>
    <m/>
    <x v="180"/>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32" firstHeaderRow="1" firstDataRow="1" firstDataCol="1"/>
  <pivotFields count="44">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43"/>
    <field x="42"/>
    <field x="25"/>
  </rowFields>
  <rowItems count="7">
    <i>
      <x v="1"/>
    </i>
    <i r="1">
      <x v="5"/>
    </i>
    <i r="2">
      <x v="127"/>
    </i>
    <i r="2">
      <x v="128"/>
    </i>
    <i r="2">
      <x v="129"/>
    </i>
    <i r="2">
      <x v="131"/>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5" name="TimeSeries"/>
  </pivotTables>
  <data>
    <tabular pivotCacheId="941840120">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186" totalsRowShown="0" headerRowDxfId="329" dataDxfId="293">
  <autoFilter ref="A2:AP186"/>
  <tableColumns count="42">
    <tableColumn id="1" name="Vertex 1" dataDxfId="278"/>
    <tableColumn id="2" name="Vertex 2" dataDxfId="276"/>
    <tableColumn id="3" name="Color" dataDxfId="277"/>
    <tableColumn id="4" name="Width" dataDxfId="302"/>
    <tableColumn id="11" name="Style" dataDxfId="301"/>
    <tableColumn id="5" name="Opacity" dataDxfId="300"/>
    <tableColumn id="6" name="Visibility" dataDxfId="299"/>
    <tableColumn id="10" name="Label" dataDxfId="298"/>
    <tableColumn id="12" name="Label Text Color" dataDxfId="297"/>
    <tableColumn id="13" name="Label Font Size" dataDxfId="296"/>
    <tableColumn id="14" name="Reciprocated?" dataDxfId="204"/>
    <tableColumn id="7" name="ID" dataDxfId="295"/>
    <tableColumn id="9" name="Dynamic Filter" dataDxfId="294"/>
    <tableColumn id="8" name="Add Your Own Columns Here" dataDxfId="275"/>
    <tableColumn id="15" name="Relationship" dataDxfId="274"/>
    <tableColumn id="16" name="Comment Type" dataDxfId="273"/>
    <tableColumn id="17" name="Comment" dataDxfId="272"/>
    <tableColumn id="18" name="Author Channel ID" dataDxfId="271"/>
    <tableColumn id="19" name="Author Display Name" dataDxfId="270"/>
    <tableColumn id="20" name="Author Channel URL" dataDxfId="269"/>
    <tableColumn id="21" name="Parent ID" dataDxfId="268"/>
    <tableColumn id="22" name="Video ID" dataDxfId="267"/>
    <tableColumn id="23" name="Video URL" dataDxfId="266"/>
    <tableColumn id="24" name="Viewer Rating" dataDxfId="265"/>
    <tableColumn id="25" name="Like Count" dataDxfId="264"/>
    <tableColumn id="26" name="Published At" dataDxfId="263"/>
    <tableColumn id="27" name="Updated At" dataDxfId="262"/>
    <tableColumn id="28" name="URLs In Comment" dataDxfId="261"/>
    <tableColumn id="29" name="Domains In Comment" dataDxfId="260"/>
    <tableColumn id="30" name="Hashtags In Comment" dataDxfId="259"/>
    <tableColumn id="31" name="Edge Weight"/>
    <tableColumn id="32" name="Vertex 1 Group" dataDxfId="227">
      <calculatedColumnFormula>REPLACE(INDEX(GroupVertices[Group], MATCH(Edges[[#This Row],[Vertex 1]],GroupVertices[Vertex],0)),1,1,"")</calculatedColumnFormula>
    </tableColumn>
    <tableColumn id="33" name="Vertex 2 Group" dataDxfId="184">
      <calculatedColumnFormula>REPLACE(INDEX(GroupVertices[Group], MATCH(Edges[[#This Row],[Vertex 2]],GroupVertices[Vertex],0)),1,1,"")</calculatedColumnFormula>
    </tableColumn>
    <tableColumn id="34" name="Sentiment List #1: List1 Word Count" dataDxfId="183"/>
    <tableColumn id="35" name="Sentiment List #1: List1 Word Percentage (%)" dataDxfId="182"/>
    <tableColumn id="36" name="Sentiment List #2: List2 Word Count" dataDxfId="181"/>
    <tableColumn id="37" name="Sentiment List #2: List2 Word Percentage (%)" dataDxfId="180"/>
    <tableColumn id="38" name="Sentiment List #3: List3 Word Count" dataDxfId="179"/>
    <tableColumn id="39" name="Sentiment List #3: List3 Word Percentage (%)" dataDxfId="178"/>
    <tableColumn id="40" name="Non-categorized Word Count" dataDxfId="177"/>
    <tableColumn id="41" name="Non-categorized Word Percentage (%)" dataDxfId="176"/>
    <tableColumn id="42" name="Edge Content Word Count" dataDxfId="17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8" totalsRowShown="0" headerRowDxfId="226" dataDxfId="225">
  <autoFilter ref="A1:G448"/>
  <tableColumns count="7">
    <tableColumn id="1" name="Word" dataDxfId="203"/>
    <tableColumn id="2" name="Count" dataDxfId="202"/>
    <tableColumn id="3" name="Salience" dataDxfId="201"/>
    <tableColumn id="4" name="Group" dataDxfId="200"/>
    <tableColumn id="5" name="Word on Sentiment List #1: List1" dataDxfId="199"/>
    <tableColumn id="6" name="Word on Sentiment List #2: List2" dataDxfId="198"/>
    <tableColumn id="7" name="Word on Sentiment List #3: List3" dataDxfId="1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5" totalsRowShown="0" headerRowDxfId="224" dataDxfId="223">
  <autoFilter ref="A1:L85"/>
  <tableColumns count="12">
    <tableColumn id="1" name="Word 1" dataDxfId="196"/>
    <tableColumn id="2" name="Word 2" dataDxfId="195"/>
    <tableColumn id="3" name="Count" dataDxfId="194"/>
    <tableColumn id="4" name="Salience" dataDxfId="193"/>
    <tableColumn id="5" name="Mutual Information" dataDxfId="192"/>
    <tableColumn id="6" name="Group" dataDxfId="191"/>
    <tableColumn id="7" name="Word1 on Sentiment List #1: List1" dataDxfId="190"/>
    <tableColumn id="8" name="Word1 on Sentiment List #2: List2" dataDxfId="189"/>
    <tableColumn id="9" name="Word1 on Sentiment List #3: List3" dataDxfId="188"/>
    <tableColumn id="10" name="Word2 on Sentiment List #1: List1" dataDxfId="187"/>
    <tableColumn id="11" name="Word2 on Sentiment List #2: List2" dataDxfId="186"/>
    <tableColumn id="12" name="Word2 on Sentiment List #3: List3" dataDxfId="185"/>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5" totalsRowShown="0" headerRowDxfId="222" dataDxfId="221">
  <autoFilter ref="A2:C35"/>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20" dataDxfId="219">
  <autoFilter ref="A1:B7"/>
  <tableColumns count="2">
    <tableColumn id="1" name="Key" dataDxfId="138"/>
    <tableColumn id="2" name="Value" dataDxfId="137"/>
  </tableColumns>
  <tableStyleInfo name="NodeXL Table" showFirstColumn="0" showLastColumn="0" showRowStripes="1" showColumnStripes="0"/>
</table>
</file>

<file path=xl/tables/table15.xml><?xml version="1.0" encoding="utf-8"?>
<table xmlns="http://schemas.openxmlformats.org/spreadsheetml/2006/main" id="21"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22" name="NetworkTopItems_1" displayName="NetworkTopItems_1" ref="A1:V2" totalsRowShown="0" headerRowDxfId="136" dataDxfId="135">
  <autoFilter ref="A1:V2"/>
  <tableColumns count="22">
    <tableColumn id="1" name="Top URLs In Comment in Entire Graph" dataDxfId="134"/>
    <tableColumn id="2" name="Entire Graph Count" dataDxfId="133"/>
    <tableColumn id="3" name="Top URLs In Comment in G1" dataDxfId="132"/>
    <tableColumn id="4" name="G1 Count" dataDxfId="131"/>
    <tableColumn id="5" name="Top URLs In Comment in G2" dataDxfId="130"/>
    <tableColumn id="6" name="G2 Count" dataDxfId="129"/>
    <tableColumn id="7" name="Top URLs In Comment in G3" dataDxfId="128"/>
    <tableColumn id="8" name="G3 Count" dataDxfId="127"/>
    <tableColumn id="9" name="Top URLs In Comment in G4" dataDxfId="126"/>
    <tableColumn id="10" name="G4 Count" dataDxfId="125"/>
    <tableColumn id="11" name="Top URLs In Comment in G5" dataDxfId="124"/>
    <tableColumn id="12" name="G5 Count" dataDxfId="123"/>
    <tableColumn id="13" name="Top URLs In Comment in G6" dataDxfId="122"/>
    <tableColumn id="14" name="G6 Count" dataDxfId="121"/>
    <tableColumn id="15" name="Top URLs In Comment in G7" dataDxfId="120"/>
    <tableColumn id="16" name="G7 Count" dataDxfId="119"/>
    <tableColumn id="17" name="Top URLs In Comment in G8" dataDxfId="118"/>
    <tableColumn id="18" name="G8 Count" dataDxfId="117"/>
    <tableColumn id="19" name="Top URLs In Comment in G9" dataDxfId="116"/>
    <tableColumn id="20" name="G9 Count" dataDxfId="115"/>
    <tableColumn id="21" name="Top URLs In Comment in G10" dataDxfId="114"/>
    <tableColumn id="22" name="G10 Count" dataDxfId="113"/>
  </tableColumns>
  <tableStyleInfo name="NodeXL Table" showFirstColumn="0" showLastColumn="0" showRowStripes="1" showColumnStripes="0"/>
</table>
</file>

<file path=xl/tables/table17.xml><?xml version="1.0" encoding="utf-8"?>
<table xmlns="http://schemas.openxmlformats.org/spreadsheetml/2006/main" id="23" name="NetworkTopItems_2" displayName="NetworkTopItems_2" ref="A5:V6" totalsRowShown="0" headerRowDxfId="111" dataDxfId="110">
  <autoFilter ref="A5:V6"/>
  <tableColumns count="22">
    <tableColumn id="1" name="Top Domains In Comment in Entire Graph" dataDxfId="109"/>
    <tableColumn id="2" name="Entire Graph Count" dataDxfId="108"/>
    <tableColumn id="3" name="Top Domains In Comment in G1" dataDxfId="107"/>
    <tableColumn id="4" name="G1 Count" dataDxfId="106"/>
    <tableColumn id="5" name="Top Domains In Comment in G2" dataDxfId="105"/>
    <tableColumn id="6" name="G2 Count" dataDxfId="104"/>
    <tableColumn id="7" name="Top Domains In Comment in G3" dataDxfId="103"/>
    <tableColumn id="8" name="G3 Count" dataDxfId="102"/>
    <tableColumn id="9" name="Top Domains In Comment in G4" dataDxfId="101"/>
    <tableColumn id="10" name="G4 Count" dataDxfId="100"/>
    <tableColumn id="11" name="Top Domains In Comment in G5" dataDxfId="99"/>
    <tableColumn id="12" name="G5 Count" dataDxfId="98"/>
    <tableColumn id="13" name="Top Domains In Comment in G6" dataDxfId="97"/>
    <tableColumn id="14" name="G6 Count" dataDxfId="96"/>
    <tableColumn id="15" name="Top Domains In Comment in G7" dataDxfId="95"/>
    <tableColumn id="16" name="G7 Count" dataDxfId="94"/>
    <tableColumn id="17" name="Top Domains In Comment in G8" dataDxfId="93"/>
    <tableColumn id="18" name="G8 Count" dataDxfId="92"/>
    <tableColumn id="19" name="Top Domains In Comment in G9" dataDxfId="91"/>
    <tableColumn id="20" name="G9 Count" dataDxfId="90"/>
    <tableColumn id="21" name="Top Domains In Comment in G10" dataDxfId="89"/>
    <tableColumn id="22" name="G10 Count" dataDxfId="88"/>
  </tableColumns>
  <tableStyleInfo name="NodeXL Table" showFirstColumn="0" showLastColumn="0" showRowStripes="1" showColumnStripes="0"/>
</table>
</file>

<file path=xl/tables/table18.xml><?xml version="1.0" encoding="utf-8"?>
<table xmlns="http://schemas.openxmlformats.org/spreadsheetml/2006/main" id="24" name="NetworkTopItems_3" displayName="NetworkTopItems_3" ref="A9:V10" totalsRowShown="0" headerRowDxfId="86" dataDxfId="85">
  <autoFilter ref="A9:V10"/>
  <tableColumns count="22">
    <tableColumn id="1" name="Top Hashtags In Comment in Entire Graph" dataDxfId="84"/>
    <tableColumn id="2" name="Entire Graph Count" dataDxfId="83"/>
    <tableColumn id="3" name="Top Hashtags In Comment in G1" dataDxfId="82"/>
    <tableColumn id="4" name="G1 Count" dataDxfId="81"/>
    <tableColumn id="5" name="Top Hashtags In Comment in G2" dataDxfId="80"/>
    <tableColumn id="6" name="G2 Count" dataDxfId="79"/>
    <tableColumn id="7" name="Top Hashtags In Comment in G3" dataDxfId="78"/>
    <tableColumn id="8" name="G3 Count" dataDxfId="77"/>
    <tableColumn id="9" name="Top Hashtags In Comment in G4" dataDxfId="76"/>
    <tableColumn id="10" name="G4 Count" dataDxfId="75"/>
    <tableColumn id="11" name="Top Hashtags In Comment in G5" dataDxfId="74"/>
    <tableColumn id="12" name="G5 Count" dataDxfId="73"/>
    <tableColumn id="13" name="Top Hashtags In Comment in G6" dataDxfId="72"/>
    <tableColumn id="14" name="G6 Count" dataDxfId="71"/>
    <tableColumn id="15" name="Top Hashtags In Comment in G7" dataDxfId="70"/>
    <tableColumn id="16" name="G7 Count" dataDxfId="69"/>
    <tableColumn id="17" name="Top Hashtags In Comment in G8" dataDxfId="68"/>
    <tableColumn id="18" name="G8 Count" dataDxfId="67"/>
    <tableColumn id="19" name="Top Hashtags In Comment in G9" dataDxfId="66"/>
    <tableColumn id="20" name="G9 Count" dataDxfId="65"/>
    <tableColumn id="21" name="Top Hashtags In Comment in G10" dataDxfId="64"/>
    <tableColumn id="22" name="G10 Count" dataDxfId="63"/>
  </tableColumns>
  <tableStyleInfo name="NodeXL Table" showFirstColumn="0" showLastColumn="0" showRowStripes="1" showColumnStripes="0"/>
</table>
</file>

<file path=xl/tables/table19.xml><?xml version="1.0" encoding="utf-8"?>
<table xmlns="http://schemas.openxmlformats.org/spreadsheetml/2006/main" id="25" name="NetworkTopItems_4" displayName="NetworkTopItems_4" ref="A12:V22" totalsRowShown="0" headerRowDxfId="61" dataDxfId="60">
  <autoFilter ref="A12:V22"/>
  <tableColumns count="22">
    <tableColumn id="1" name="Top Words in Comment in Entire Graph" dataDxfId="59"/>
    <tableColumn id="2" name="Entire Graph Count" dataDxfId="58"/>
    <tableColumn id="3" name="Top Words in Comment in G1" dataDxfId="57"/>
    <tableColumn id="4" name="G1 Count" dataDxfId="56"/>
    <tableColumn id="5" name="Top Words in Comment in G2" dataDxfId="55"/>
    <tableColumn id="6" name="G2 Count" dataDxfId="54"/>
    <tableColumn id="7" name="Top Words in Comment in G3" dataDxfId="53"/>
    <tableColumn id="8" name="G3 Count" dataDxfId="52"/>
    <tableColumn id="9" name="Top Words in Comment in G4" dataDxfId="51"/>
    <tableColumn id="10" name="G4 Count" dataDxfId="50"/>
    <tableColumn id="11" name="Top Words in Comment in G5" dataDxfId="49"/>
    <tableColumn id="12" name="G5 Count" dataDxfId="48"/>
    <tableColumn id="13" name="Top Words in Comment in G6" dataDxfId="47"/>
    <tableColumn id="14" name="G6 Count" dataDxfId="46"/>
    <tableColumn id="15" name="Top Words in Comment in G7" dataDxfId="45"/>
    <tableColumn id="16" name="G7 Count" dataDxfId="44"/>
    <tableColumn id="17" name="Top Words in Comment in G8" dataDxfId="43"/>
    <tableColumn id="18" name="G8 Count" dataDxfId="42"/>
    <tableColumn id="19" name="Top Words in Comment in G9" dataDxfId="41"/>
    <tableColumn id="20" name="G9 Count" dataDxfId="40"/>
    <tableColumn id="21" name="Top Words in Comment in G10" dataDxfId="39"/>
    <tableColumn id="22" name="G10 Count" dataDxfId="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155" totalsRowShown="0" headerRowDxfId="328" dataDxfId="279">
  <autoFilter ref="A2:BN155"/>
  <tableColumns count="66">
    <tableColumn id="1" name="Vertex" dataDxfId="292"/>
    <tableColumn id="2" name="Color" dataDxfId="291"/>
    <tableColumn id="5" name="Shape" dataDxfId="290"/>
    <tableColumn id="6" name="Size" dataDxfId="289"/>
    <tableColumn id="4" name="Opacity" dataDxfId="240"/>
    <tableColumn id="7" name="Image File" dataDxfId="238"/>
    <tableColumn id="3" name="Visibility" dataDxfId="239"/>
    <tableColumn id="10" name="Label" dataDxfId="288"/>
    <tableColumn id="16" name="Label Fill Color" dataDxfId="287"/>
    <tableColumn id="9" name="Label Position" dataDxfId="258"/>
    <tableColumn id="8" name="Tooltip" dataDxfId="256"/>
    <tableColumn id="18" name="Layout Order" dataDxfId="257"/>
    <tableColumn id="13" name="X" dataDxfId="286"/>
    <tableColumn id="14" name="Y" dataDxfId="285"/>
    <tableColumn id="12" name="Locked?" dataDxfId="284"/>
    <tableColumn id="19" name="Polar R" dataDxfId="283"/>
    <tableColumn id="20" name="Polar Angle" dataDxfId="282"/>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81"/>
    <tableColumn id="28" name="Dynamic Filter" dataDxfId="280"/>
    <tableColumn id="17" name="Add Your Own Columns Here" dataDxfId="255"/>
    <tableColumn id="30" name="Title" dataDxfId="254"/>
    <tableColumn id="31" name="Description" dataDxfId="253"/>
    <tableColumn id="32" name="Author Channel ID" dataDxfId="252"/>
    <tableColumn id="33" name="Author Display Name" dataDxfId="251"/>
    <tableColumn id="34" name="Author Channel URL" dataDxfId="250"/>
    <tableColumn id="35" name="Custom URL" dataDxfId="249"/>
    <tableColumn id="36" name="Published At" dataDxfId="248"/>
    <tableColumn id="37" name="Thumbnail" dataDxfId="247"/>
    <tableColumn id="38" name="View Count" dataDxfId="246"/>
    <tableColumn id="39" name="Comment Count" dataDxfId="245"/>
    <tableColumn id="40" name="Subscriber Count" dataDxfId="244"/>
    <tableColumn id="41" name="Hidden Subscriber Count" dataDxfId="243"/>
    <tableColumn id="42" name="Video Count" dataDxfId="242"/>
    <tableColumn id="43" name="Content Owner" dataDxfId="241"/>
    <tableColumn id="44" name="Time Linked" dataDxfId="237"/>
    <tableColumn id="45" name="Custom Menu Item Text" dataDxfId="236"/>
    <tableColumn id="46" name="Custom Menu Item Action" dataDxfId="228"/>
    <tableColumn id="47" name="Vertex Group" dataDxfId="174">
      <calculatedColumnFormula>REPLACE(INDEX(GroupVertices[Group], MATCH(Vertices[[#This Row],[Vertex]],GroupVertices[Vertex],0)),1,1,"")</calculatedColumnFormula>
    </tableColumn>
    <tableColumn id="48" name="Sentiment List #1: List1 Word Count" dataDxfId="173"/>
    <tableColumn id="49" name="Sentiment List #1: List1 Word Percentage (%)" dataDxfId="172"/>
    <tableColumn id="50" name="Sentiment List #2: List2 Word Count" dataDxfId="171"/>
    <tableColumn id="51" name="Sentiment List #2: List2 Word Percentage (%)" dataDxfId="170"/>
    <tableColumn id="52" name="Sentiment List #3: List3 Word Count" dataDxfId="169"/>
    <tableColumn id="53" name="Sentiment List #3: List3 Word Percentage (%)" dataDxfId="168"/>
    <tableColumn id="54" name="Non-categorized Word Count" dataDxfId="167"/>
    <tableColumn id="55" name="Non-categorized Word Percentage (%)" dataDxfId="166"/>
    <tableColumn id="56" name="Vertex Content Word Count" dataDxfId="10"/>
    <tableColumn id="57" name="URLs In Comment by Count" dataDxfId="9"/>
    <tableColumn id="58" name="URLs In Comment by Salience" dataDxfId="8"/>
    <tableColumn id="59" name="Domains In Comment by Count" dataDxfId="7"/>
    <tableColumn id="60" name="Domains In Comment by Salience" dataDxfId="6"/>
    <tableColumn id="61" name="Hashtags In Comment by Count" dataDxfId="5"/>
    <tableColumn id="62" name="Hashtags In Comment by Salience" dataDxfId="4"/>
    <tableColumn id="63" name="Top Words in Comment by Count" dataDxfId="3"/>
    <tableColumn id="64" name="Top Words in Comment by Salience" dataDxfId="2"/>
    <tableColumn id="65" name="Top Word Pairs in Comment by Count" dataDxfId="1"/>
    <tableColumn id="66" name="Top Word Pairs in Comment by Salience" dataDxfId="0"/>
  </tableColumns>
  <tableStyleInfo name="NodeXL Table" showFirstColumn="0" showLastColumn="0" showRowStripes="0" showColumnStripes="0"/>
</table>
</file>

<file path=xl/tables/table20.xml><?xml version="1.0" encoding="utf-8"?>
<table xmlns="http://schemas.openxmlformats.org/spreadsheetml/2006/main" id="26" name="NetworkTopItems_5" displayName="NetworkTopItems_5" ref="A25:V35" totalsRowShown="0" headerRowDxfId="36" dataDxfId="35">
  <autoFilter ref="A25:V35"/>
  <tableColumns count="22">
    <tableColumn id="1" name="Top Word Pairs in Comment in Entire Graph" dataDxfId="34"/>
    <tableColumn id="2" name="Entire Graph Count" dataDxfId="33"/>
    <tableColumn id="3" name="Top Word Pairs in Comment in G1" dataDxfId="32"/>
    <tableColumn id="4" name="G1 Count" dataDxfId="31"/>
    <tableColumn id="5" name="Top Word Pairs in Comment in G2" dataDxfId="30"/>
    <tableColumn id="6" name="G2 Count" dataDxfId="29"/>
    <tableColumn id="7" name="Top Word Pairs in Comment in G3" dataDxfId="28"/>
    <tableColumn id="8" name="G3 Count" dataDxfId="27"/>
    <tableColumn id="9" name="Top Word Pairs in Comment in G4" dataDxfId="26"/>
    <tableColumn id="10" name="G4 Count" dataDxfId="25"/>
    <tableColumn id="11" name="Top Word Pairs in Comment in G5" dataDxfId="24"/>
    <tableColumn id="12" name="G5 Count" dataDxfId="23"/>
    <tableColumn id="13" name="Top Word Pairs in Comment in G6" dataDxfId="22"/>
    <tableColumn id="14" name="G6 Count" dataDxfId="21"/>
    <tableColumn id="15" name="Top Word Pairs in Comment in G7" dataDxfId="20"/>
    <tableColumn id="16" name="G7 Count" dataDxfId="19"/>
    <tableColumn id="17" name="Top Word Pairs in Comment in G8" dataDxfId="18"/>
    <tableColumn id="18" name="G8 Count" dataDxfId="17"/>
    <tableColumn id="19" name="Top Word Pairs in Comment in G9" dataDxfId="16"/>
    <tableColumn id="20" name="G9 Count" dataDxfId="15"/>
    <tableColumn id="21" name="Top Word Pairs in Comment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9" totalsRowShown="0" headerRowDxfId="327">
  <autoFilter ref="A2:AL19"/>
  <tableColumns count="38">
    <tableColumn id="1" name="Group" dataDxfId="235"/>
    <tableColumn id="2" name="Vertex Color" dataDxfId="234"/>
    <tableColumn id="3" name="Vertex Shape" dataDxfId="232"/>
    <tableColumn id="22" name="Visibility" dataDxfId="233"/>
    <tableColumn id="4" name="Collapsed?"/>
    <tableColumn id="18" name="Label" dataDxfId="326"/>
    <tableColumn id="20" name="Collapsed X"/>
    <tableColumn id="21" name="Collapsed Y"/>
    <tableColumn id="6" name="ID" dataDxfId="325"/>
    <tableColumn id="19" name="Collapsed Properties" dataDxfId="218"/>
    <tableColumn id="5" name="Vertices" dataDxfId="217"/>
    <tableColumn id="7" name="Unique Edges" dataDxfId="216"/>
    <tableColumn id="8" name="Edges With Duplicates" dataDxfId="215"/>
    <tableColumn id="9" name="Total Edges" dataDxfId="214"/>
    <tableColumn id="10" name="Self-Loops" dataDxfId="213"/>
    <tableColumn id="24" name="Reciprocated Vertex Pair Ratio" dataDxfId="212"/>
    <tableColumn id="25" name="Reciprocated Edge Ratio" dataDxfId="211"/>
    <tableColumn id="11" name="Connected Components" dataDxfId="210"/>
    <tableColumn id="12" name="Single-Vertex Connected Components" dataDxfId="209"/>
    <tableColumn id="13" name="Maximum Vertices in a Connected Component" dataDxfId="208"/>
    <tableColumn id="14" name="Maximum Edges in a Connected Component" dataDxfId="207"/>
    <tableColumn id="15" name="Maximum Geodesic Distance (Diameter)" dataDxfId="206"/>
    <tableColumn id="16" name="Average Geodesic Distance" dataDxfId="205"/>
    <tableColumn id="17" name="Graph Density" dataDxfId="165"/>
    <tableColumn id="23" name="Sentiment List #1: List1 Word Count" dataDxfId="164"/>
    <tableColumn id="26" name="Sentiment List #1: List1 Word Percentage (%)" dataDxfId="163"/>
    <tableColumn id="27" name="Sentiment List #2: List2 Word Count" dataDxfId="162"/>
    <tableColumn id="28" name="Sentiment List #2: List2 Word Percentage (%)" dataDxfId="161"/>
    <tableColumn id="29" name="Sentiment List #3: List3 Word Count" dataDxfId="160"/>
    <tableColumn id="30" name="Sentiment List #3: List3 Word Percentage (%)" dataDxfId="159"/>
    <tableColumn id="31" name="Non-categorized Word Count" dataDxfId="158"/>
    <tableColumn id="32" name="Non-categorized Word Percentage (%)" dataDxfId="157"/>
    <tableColumn id="33" name="Group Content Word Count" dataDxfId="112"/>
    <tableColumn id="34" name="Top URLs In Comment" dataDxfId="87"/>
    <tableColumn id="35" name="Top Domains In Comment" dataDxfId="62"/>
    <tableColumn id="36" name="Top Hashtags In Comment" dataDxfId="37"/>
    <tableColumn id="37" name="Top Words in Comment" dataDxfId="12"/>
    <tableColumn id="38" name="Top Word Pairs in Comm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4" totalsRowShown="0" headerRowDxfId="324" dataDxfId="323">
  <autoFilter ref="A1:C154"/>
  <tableColumns count="3">
    <tableColumn id="1" name="Group" dataDxfId="231"/>
    <tableColumn id="2" name="Vertex" dataDxfId="230"/>
    <tableColumn id="3" name="Vertex ID" dataDxfId="2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2"/>
    <tableColumn id="2" name="Degree Frequency" dataDxfId="321">
      <calculatedColumnFormula>COUNTIF(Vertices[Degree], "&gt;= " &amp; D2) - COUNTIF(Vertices[Degree], "&gt;=" &amp; D3)</calculatedColumnFormula>
    </tableColumn>
    <tableColumn id="3" name="In-Degree Bin" dataDxfId="320"/>
    <tableColumn id="4" name="In-Degree Frequency" dataDxfId="319">
      <calculatedColumnFormula>COUNTIF(Vertices[In-Degree], "&gt;= " &amp; F2) - COUNTIF(Vertices[In-Degree], "&gt;=" &amp; F3)</calculatedColumnFormula>
    </tableColumn>
    <tableColumn id="5" name="Out-Degree Bin" dataDxfId="318"/>
    <tableColumn id="6" name="Out-Degree Frequency" dataDxfId="317">
      <calculatedColumnFormula>COUNTIF(Vertices[Out-Degree], "&gt;= " &amp; H2) - COUNTIF(Vertices[Out-Degree], "&gt;=" &amp; H3)</calculatedColumnFormula>
    </tableColumn>
    <tableColumn id="7" name="Betweenness Centrality Bin" dataDxfId="316"/>
    <tableColumn id="8" name="Betweenness Centrality Frequency" dataDxfId="315">
      <calculatedColumnFormula>COUNTIF(Vertices[Betweenness Centrality], "&gt;= " &amp; J2) - COUNTIF(Vertices[Betweenness Centrality], "&gt;=" &amp; J3)</calculatedColumnFormula>
    </tableColumn>
    <tableColumn id="9" name="Closeness Centrality Bin" dataDxfId="314"/>
    <tableColumn id="10" name="Closeness Centrality Frequency" dataDxfId="313">
      <calculatedColumnFormula>COUNTIF(Vertices[Closeness Centrality], "&gt;= " &amp; L2) - COUNTIF(Vertices[Closeness Centrality], "&gt;=" &amp; L3)</calculatedColumnFormula>
    </tableColumn>
    <tableColumn id="11" name="Eigenvector Centrality Bin" dataDxfId="312"/>
    <tableColumn id="12" name="Eigenvector Centrality Frequency" dataDxfId="311">
      <calculatedColumnFormula>COUNTIF(Vertices[Eigenvector Centrality], "&gt;= " &amp; N2) - COUNTIF(Vertices[Eigenvector Centrality], "&gt;=" &amp; N3)</calculatedColumnFormula>
    </tableColumn>
    <tableColumn id="18" name="PageRank Bin" dataDxfId="310"/>
    <tableColumn id="17" name="PageRank Frequency" dataDxfId="309">
      <calculatedColumnFormula>COUNTIF(Vertices[Eigenvector Centrality], "&gt;= " &amp; P2) - COUNTIF(Vertices[Eigenvector Centrality], "&gt;=" &amp; P3)</calculatedColumnFormula>
    </tableColumn>
    <tableColumn id="13" name="Clustering Coefficient Bin" dataDxfId="308"/>
    <tableColumn id="14" name="Clustering Coefficient Frequency" dataDxfId="307">
      <calculatedColumnFormula>COUNTIF(Vertices[Clustering Coefficient], "&gt;= " &amp; R2) - COUNTIF(Vertices[Clustering Coefficient], "&gt;=" &amp; R3)</calculatedColumnFormula>
    </tableColumn>
    <tableColumn id="15" name="Dynamic Filter Bin" dataDxfId="306"/>
    <tableColumn id="16" name="Dynamic Filter Frequency" dataDxfId="30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04">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youtube.com/results?search_query=%23rgps" TargetMode="External" /><Relationship Id="rId2" Type="http://schemas.openxmlformats.org/officeDocument/2006/relationships/hyperlink" Target="http://www.youtube.com/results?search_query=%23rgps" TargetMode="External" /><Relationship Id="rId3" Type="http://schemas.openxmlformats.org/officeDocument/2006/relationships/table" Target="../tables/table16.xml" /><Relationship Id="rId4" Type="http://schemas.openxmlformats.org/officeDocument/2006/relationships/table" Target="../tables/table17.xml" /><Relationship Id="rId5" Type="http://schemas.openxmlformats.org/officeDocument/2006/relationships/table" Target="../tables/table18.xml" /><Relationship Id="rId6" Type="http://schemas.openxmlformats.org/officeDocument/2006/relationships/table" Target="../tables/table19.xml" /><Relationship Id="rId7"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86"/>
  <sheetViews>
    <sheetView workbookViewId="0" topLeftCell="A1">
      <pane xSplit="2" ySplit="2" topLeftCell="C152"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14.421875" style="0" customWidth="1"/>
    <col min="32" max="33" width="10.7109375" style="0" bestFit="1" customWidth="1"/>
    <col min="34" max="34" width="19.140625" style="0" bestFit="1" customWidth="1"/>
    <col min="35" max="35" width="23.8515625" style="0" bestFit="1" customWidth="1"/>
    <col min="36" max="36" width="19.140625" style="0" bestFit="1" customWidth="1"/>
    <col min="37" max="37" width="23.8515625" style="0" bestFit="1" customWidth="1"/>
    <col min="38" max="38" width="19.140625" style="0" bestFit="1" customWidth="1"/>
    <col min="39" max="39" width="23.8515625" style="0" bestFit="1" customWidth="1"/>
    <col min="40" max="40" width="18.140625" style="0" bestFit="1" customWidth="1"/>
    <col min="41" max="41" width="22.28125" style="0" bestFit="1" customWidth="1"/>
    <col min="42" max="42" width="15.14062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312</v>
      </c>
      <c r="P2" s="13" t="s">
        <v>313</v>
      </c>
      <c r="Q2" s="13" t="s">
        <v>314</v>
      </c>
      <c r="R2" s="13" t="s">
        <v>315</v>
      </c>
      <c r="S2" s="13" t="s">
        <v>316</v>
      </c>
      <c r="T2" s="13" t="s">
        <v>317</v>
      </c>
      <c r="U2" s="13" t="s">
        <v>318</v>
      </c>
      <c r="V2" s="13" t="s">
        <v>319</v>
      </c>
      <c r="W2" s="13" t="s">
        <v>320</v>
      </c>
      <c r="X2" s="13" t="s">
        <v>321</v>
      </c>
      <c r="Y2" s="13" t="s">
        <v>322</v>
      </c>
      <c r="Z2" s="13" t="s">
        <v>323</v>
      </c>
      <c r="AA2" s="13" t="s">
        <v>324</v>
      </c>
      <c r="AB2" s="13" t="s">
        <v>325</v>
      </c>
      <c r="AC2" s="13" t="s">
        <v>326</v>
      </c>
      <c r="AD2" s="13" t="s">
        <v>327</v>
      </c>
      <c r="AE2" t="s">
        <v>872</v>
      </c>
      <c r="AF2" s="13" t="s">
        <v>903</v>
      </c>
      <c r="AG2" s="13" t="s">
        <v>904</v>
      </c>
      <c r="AH2" s="54" t="s">
        <v>1167</v>
      </c>
      <c r="AI2" s="54" t="s">
        <v>1168</v>
      </c>
      <c r="AJ2" s="54" t="s">
        <v>1169</v>
      </c>
      <c r="AK2" s="54" t="s">
        <v>1170</v>
      </c>
      <c r="AL2" s="54" t="s">
        <v>1171</v>
      </c>
      <c r="AM2" s="54" t="s">
        <v>1172</v>
      </c>
      <c r="AN2" s="54" t="s">
        <v>1173</v>
      </c>
      <c r="AO2" s="54" t="s">
        <v>1174</v>
      </c>
      <c r="AP2" s="54" t="s">
        <v>1175</v>
      </c>
    </row>
    <row r="3" spans="1:42" ht="15" customHeight="1">
      <c r="A3" s="65" t="s">
        <v>480</v>
      </c>
      <c r="B3" s="65" t="s">
        <v>479</v>
      </c>
      <c r="C3" s="66" t="s">
        <v>1613</v>
      </c>
      <c r="D3" s="67">
        <v>3</v>
      </c>
      <c r="E3" s="68"/>
      <c r="F3" s="69">
        <v>40</v>
      </c>
      <c r="G3" s="66"/>
      <c r="H3" s="70"/>
      <c r="I3" s="71"/>
      <c r="J3" s="71"/>
      <c r="K3" s="35" t="s">
        <v>65</v>
      </c>
      <c r="L3" s="72">
        <v>3</v>
      </c>
      <c r="M3" s="72"/>
      <c r="N3" s="73"/>
      <c r="O3" s="80" t="s">
        <v>481</v>
      </c>
      <c r="P3" s="80" t="s">
        <v>314</v>
      </c>
      <c r="Q3" s="83" t="s">
        <v>667</v>
      </c>
      <c r="R3" s="80" t="s">
        <v>480</v>
      </c>
      <c r="S3" s="80" t="s">
        <v>819</v>
      </c>
      <c r="T3" s="85" t="str">
        <f>HYPERLINK("http://www.youtube.com/channel/UC1W6BV2qFMEWnMBbCN5txMg")</f>
        <v>http://www.youtube.com/channel/UC1W6BV2qFMEWnMBbCN5txMg</v>
      </c>
      <c r="U3" s="80"/>
      <c r="V3" s="80" t="s">
        <v>839</v>
      </c>
      <c r="W3" s="85" t="str">
        <f>HYPERLINK("https://www.youtube.com/watch?v=Ci9JYIJstPY")</f>
        <v>https://www.youtube.com/watch?v=Ci9JYIJstPY</v>
      </c>
      <c r="X3" s="80" t="s">
        <v>840</v>
      </c>
      <c r="Y3" s="80">
        <v>4</v>
      </c>
      <c r="Z3" s="87">
        <v>44322.03273148148</v>
      </c>
      <c r="AA3" s="87">
        <v>44322.03273148148</v>
      </c>
      <c r="AB3" s="80"/>
      <c r="AC3" s="80"/>
      <c r="AD3" s="83" t="s">
        <v>843</v>
      </c>
      <c r="AE3" s="82">
        <v>1</v>
      </c>
      <c r="AF3" s="83" t="str">
        <f>REPLACE(INDEX(GroupVertices[Group],MATCH(Edges[[#This Row],[Vertex 1]],GroupVertices[Vertex],0)),1,1,"")</f>
        <v>1</v>
      </c>
      <c r="AG3" s="83" t="str">
        <f>REPLACE(INDEX(GroupVertices[Group],MATCH(Edges[[#This Row],[Vertex 2]],GroupVertices[Vertex],0)),1,1,"")</f>
        <v>1</v>
      </c>
      <c r="AH3" s="111">
        <v>0</v>
      </c>
      <c r="AI3" s="112">
        <v>0</v>
      </c>
      <c r="AJ3" s="111">
        <v>0</v>
      </c>
      <c r="AK3" s="112">
        <v>0</v>
      </c>
      <c r="AL3" s="111">
        <v>0</v>
      </c>
      <c r="AM3" s="112">
        <v>0</v>
      </c>
      <c r="AN3" s="111">
        <v>6</v>
      </c>
      <c r="AO3" s="112">
        <v>100</v>
      </c>
      <c r="AP3" s="111">
        <v>6</v>
      </c>
    </row>
    <row r="4" spans="1:42" ht="15" customHeight="1">
      <c r="A4" s="65" t="s">
        <v>328</v>
      </c>
      <c r="B4" s="65" t="s">
        <v>479</v>
      </c>
      <c r="C4" s="66" t="s">
        <v>1613</v>
      </c>
      <c r="D4" s="67">
        <v>3</v>
      </c>
      <c r="E4" s="68"/>
      <c r="F4" s="69">
        <v>40</v>
      </c>
      <c r="G4" s="66"/>
      <c r="H4" s="70"/>
      <c r="I4" s="71"/>
      <c r="J4" s="71"/>
      <c r="K4" s="35" t="s">
        <v>65</v>
      </c>
      <c r="L4" s="79">
        <v>4</v>
      </c>
      <c r="M4" s="79"/>
      <c r="N4" s="73"/>
      <c r="O4" s="81" t="s">
        <v>481</v>
      </c>
      <c r="P4" s="81" t="s">
        <v>314</v>
      </c>
      <c r="Q4" s="84" t="s">
        <v>485</v>
      </c>
      <c r="R4" s="81" t="s">
        <v>328</v>
      </c>
      <c r="S4" s="81" t="s">
        <v>668</v>
      </c>
      <c r="T4" s="86" t="str">
        <f>HYPERLINK("http://www.youtube.com/channel/UCJeHiMICYm6RdaqvukoCR2A")</f>
        <v>http://www.youtube.com/channel/UCJeHiMICYm6RdaqvukoCR2A</v>
      </c>
      <c r="U4" s="81"/>
      <c r="V4" s="81" t="s">
        <v>839</v>
      </c>
      <c r="W4" s="86" t="str">
        <f>HYPERLINK("https://www.youtube.com/watch?v=Ci9JYIJstPY")</f>
        <v>https://www.youtube.com/watch?v=Ci9JYIJstPY</v>
      </c>
      <c r="X4" s="81" t="s">
        <v>840</v>
      </c>
      <c r="Y4" s="81">
        <v>1</v>
      </c>
      <c r="Z4" s="88">
        <v>44322.0327662037</v>
      </c>
      <c r="AA4" s="88">
        <v>44322.0327662037</v>
      </c>
      <c r="AB4" s="81"/>
      <c r="AC4" s="81"/>
      <c r="AD4" s="84" t="s">
        <v>843</v>
      </c>
      <c r="AE4" s="82">
        <v>1</v>
      </c>
      <c r="AF4" s="83" t="str">
        <f>REPLACE(INDEX(GroupVertices[Group],MATCH(Edges[[#This Row],[Vertex 1]],GroupVertices[Vertex],0)),1,1,"")</f>
        <v>1</v>
      </c>
      <c r="AG4" s="83" t="str">
        <f>REPLACE(INDEX(GroupVertices[Group],MATCH(Edges[[#This Row],[Vertex 2]],GroupVertices[Vertex],0)),1,1,"")</f>
        <v>1</v>
      </c>
      <c r="AH4" s="111">
        <v>0</v>
      </c>
      <c r="AI4" s="112">
        <v>0</v>
      </c>
      <c r="AJ4" s="111">
        <v>0</v>
      </c>
      <c r="AK4" s="112">
        <v>0</v>
      </c>
      <c r="AL4" s="111">
        <v>0</v>
      </c>
      <c r="AM4" s="112">
        <v>0</v>
      </c>
      <c r="AN4" s="111">
        <v>3</v>
      </c>
      <c r="AO4" s="112">
        <v>100</v>
      </c>
      <c r="AP4" s="111">
        <v>3</v>
      </c>
    </row>
    <row r="5" spans="1:42" ht="15">
      <c r="A5" s="65" t="s">
        <v>329</v>
      </c>
      <c r="B5" s="65" t="s">
        <v>479</v>
      </c>
      <c r="C5" s="66" t="s">
        <v>1613</v>
      </c>
      <c r="D5" s="67">
        <v>3</v>
      </c>
      <c r="E5" s="68"/>
      <c r="F5" s="69">
        <v>40</v>
      </c>
      <c r="G5" s="66"/>
      <c r="H5" s="70"/>
      <c r="I5" s="71"/>
      <c r="J5" s="71"/>
      <c r="K5" s="35" t="s">
        <v>65</v>
      </c>
      <c r="L5" s="79">
        <v>5</v>
      </c>
      <c r="M5" s="79"/>
      <c r="N5" s="73"/>
      <c r="O5" s="81" t="s">
        <v>481</v>
      </c>
      <c r="P5" s="81" t="s">
        <v>314</v>
      </c>
      <c r="Q5" s="84" t="s">
        <v>486</v>
      </c>
      <c r="R5" s="81" t="s">
        <v>329</v>
      </c>
      <c r="S5" s="81" t="s">
        <v>669</v>
      </c>
      <c r="T5" s="86" t="str">
        <f>HYPERLINK("http://www.youtube.com/channel/UCOMPKGVxY-2Mklt0Ccuy2EA")</f>
        <v>http://www.youtube.com/channel/UCOMPKGVxY-2Mklt0Ccuy2EA</v>
      </c>
      <c r="U5" s="81"/>
      <c r="V5" s="81" t="s">
        <v>839</v>
      </c>
      <c r="W5" s="86" t="str">
        <f>HYPERLINK("https://www.youtube.com/watch?v=Ci9JYIJstPY")</f>
        <v>https://www.youtube.com/watch?v=Ci9JYIJstPY</v>
      </c>
      <c r="X5" s="81" t="s">
        <v>840</v>
      </c>
      <c r="Y5" s="81">
        <v>2</v>
      </c>
      <c r="Z5" s="88">
        <v>44322.0328125</v>
      </c>
      <c r="AA5" s="88">
        <v>44322.0328125</v>
      </c>
      <c r="AB5" s="81"/>
      <c r="AC5" s="81"/>
      <c r="AD5" s="84" t="s">
        <v>843</v>
      </c>
      <c r="AE5" s="82">
        <v>1</v>
      </c>
      <c r="AF5" s="83" t="str">
        <f>REPLACE(INDEX(GroupVertices[Group],MATCH(Edges[[#This Row],[Vertex 1]],GroupVertices[Vertex],0)),1,1,"")</f>
        <v>1</v>
      </c>
      <c r="AG5" s="83" t="str">
        <f>REPLACE(INDEX(GroupVertices[Group],MATCH(Edges[[#This Row],[Vertex 2]],GroupVertices[Vertex],0)),1,1,"")</f>
        <v>1</v>
      </c>
      <c r="AH5" s="111">
        <v>1</v>
      </c>
      <c r="AI5" s="112">
        <v>14.285714285714286</v>
      </c>
      <c r="AJ5" s="111">
        <v>1</v>
      </c>
      <c r="AK5" s="112">
        <v>14.285714285714286</v>
      </c>
      <c r="AL5" s="111">
        <v>0</v>
      </c>
      <c r="AM5" s="112">
        <v>0</v>
      </c>
      <c r="AN5" s="111">
        <v>6</v>
      </c>
      <c r="AO5" s="112">
        <v>85.71428571428571</v>
      </c>
      <c r="AP5" s="111">
        <v>7</v>
      </c>
    </row>
    <row r="6" spans="1:42" ht="15">
      <c r="A6" s="65" t="s">
        <v>330</v>
      </c>
      <c r="B6" s="65" t="s">
        <v>479</v>
      </c>
      <c r="C6" s="66" t="s">
        <v>1613</v>
      </c>
      <c r="D6" s="67">
        <v>3</v>
      </c>
      <c r="E6" s="68"/>
      <c r="F6" s="69">
        <v>40</v>
      </c>
      <c r="G6" s="66"/>
      <c r="H6" s="70"/>
      <c r="I6" s="71"/>
      <c r="J6" s="71"/>
      <c r="K6" s="35" t="s">
        <v>65</v>
      </c>
      <c r="L6" s="79">
        <v>6</v>
      </c>
      <c r="M6" s="79"/>
      <c r="N6" s="73"/>
      <c r="O6" s="81" t="s">
        <v>481</v>
      </c>
      <c r="P6" s="81" t="s">
        <v>314</v>
      </c>
      <c r="Q6" s="84" t="s">
        <v>487</v>
      </c>
      <c r="R6" s="81" t="s">
        <v>330</v>
      </c>
      <c r="S6" s="81" t="s">
        <v>670</v>
      </c>
      <c r="T6" s="86" t="str">
        <f>HYPERLINK("http://www.youtube.com/channel/UClzPVk0jQBCao2obuQboocQ")</f>
        <v>http://www.youtube.com/channel/UClzPVk0jQBCao2obuQboocQ</v>
      </c>
      <c r="U6" s="81"/>
      <c r="V6" s="81" t="s">
        <v>839</v>
      </c>
      <c r="W6" s="86" t="str">
        <f>HYPERLINK("https://www.youtube.com/watch?v=Ci9JYIJstPY")</f>
        <v>https://www.youtube.com/watch?v=Ci9JYIJstPY</v>
      </c>
      <c r="X6" s="81" t="s">
        <v>840</v>
      </c>
      <c r="Y6" s="81">
        <v>4</v>
      </c>
      <c r="Z6" s="88">
        <v>44322.0328125</v>
      </c>
      <c r="AA6" s="88">
        <v>44322.0328125</v>
      </c>
      <c r="AB6" s="81"/>
      <c r="AC6" s="81"/>
      <c r="AD6" s="84" t="s">
        <v>843</v>
      </c>
      <c r="AE6" s="82">
        <v>1</v>
      </c>
      <c r="AF6" s="83" t="str">
        <f>REPLACE(INDEX(GroupVertices[Group],MATCH(Edges[[#This Row],[Vertex 1]],GroupVertices[Vertex],0)),1,1,"")</f>
        <v>1</v>
      </c>
      <c r="AG6" s="83" t="str">
        <f>REPLACE(INDEX(GroupVertices[Group],MATCH(Edges[[#This Row],[Vertex 2]],GroupVertices[Vertex],0)),1,1,"")</f>
        <v>1</v>
      </c>
      <c r="AH6" s="111">
        <v>1</v>
      </c>
      <c r="AI6" s="112">
        <v>50</v>
      </c>
      <c r="AJ6" s="111">
        <v>1</v>
      </c>
      <c r="AK6" s="112">
        <v>50</v>
      </c>
      <c r="AL6" s="111">
        <v>0</v>
      </c>
      <c r="AM6" s="112">
        <v>0</v>
      </c>
      <c r="AN6" s="111">
        <v>1</v>
      </c>
      <c r="AO6" s="112">
        <v>50</v>
      </c>
      <c r="AP6" s="111">
        <v>2</v>
      </c>
    </row>
    <row r="7" spans="1:42" ht="15">
      <c r="A7" s="65" t="s">
        <v>331</v>
      </c>
      <c r="B7" s="65" t="s">
        <v>479</v>
      </c>
      <c r="C7" s="66" t="s">
        <v>1613</v>
      </c>
      <c r="D7" s="67">
        <v>3</v>
      </c>
      <c r="E7" s="68"/>
      <c r="F7" s="69">
        <v>40</v>
      </c>
      <c r="G7" s="66"/>
      <c r="H7" s="70"/>
      <c r="I7" s="71"/>
      <c r="J7" s="71"/>
      <c r="K7" s="35" t="s">
        <v>65</v>
      </c>
      <c r="L7" s="79">
        <v>7</v>
      </c>
      <c r="M7" s="79"/>
      <c r="N7" s="73"/>
      <c r="O7" s="81" t="s">
        <v>481</v>
      </c>
      <c r="P7" s="81" t="s">
        <v>314</v>
      </c>
      <c r="Q7" s="84" t="s">
        <v>488</v>
      </c>
      <c r="R7" s="81" t="s">
        <v>331</v>
      </c>
      <c r="S7" s="81" t="s">
        <v>671</v>
      </c>
      <c r="T7" s="86" t="str">
        <f>HYPERLINK("http://www.youtube.com/channel/UCHU71QXv1P91-ohYiBaaoaQ")</f>
        <v>http://www.youtube.com/channel/UCHU71QXv1P91-ohYiBaaoaQ</v>
      </c>
      <c r="U7" s="81"/>
      <c r="V7" s="81" t="s">
        <v>839</v>
      </c>
      <c r="W7" s="86" t="str">
        <f>HYPERLINK("https://www.youtube.com/watch?v=Ci9JYIJstPY")</f>
        <v>https://www.youtube.com/watch?v=Ci9JYIJstPY</v>
      </c>
      <c r="X7" s="81" t="s">
        <v>840</v>
      </c>
      <c r="Y7" s="81">
        <v>4</v>
      </c>
      <c r="Z7" s="88">
        <v>44322.03282407407</v>
      </c>
      <c r="AA7" s="88">
        <v>44322.03282407407</v>
      </c>
      <c r="AB7" s="81"/>
      <c r="AC7" s="81"/>
      <c r="AD7" s="84" t="s">
        <v>843</v>
      </c>
      <c r="AE7" s="82">
        <v>1</v>
      </c>
      <c r="AF7" s="83" t="str">
        <f>REPLACE(INDEX(GroupVertices[Group],MATCH(Edges[[#This Row],[Vertex 1]],GroupVertices[Vertex],0)),1,1,"")</f>
        <v>1</v>
      </c>
      <c r="AG7" s="83" t="str">
        <f>REPLACE(INDEX(GroupVertices[Group],MATCH(Edges[[#This Row],[Vertex 2]],GroupVertices[Vertex],0)),1,1,"")</f>
        <v>1</v>
      </c>
      <c r="AH7" s="111">
        <v>0</v>
      </c>
      <c r="AI7" s="112">
        <v>0</v>
      </c>
      <c r="AJ7" s="111">
        <v>0</v>
      </c>
      <c r="AK7" s="112">
        <v>0</v>
      </c>
      <c r="AL7" s="111">
        <v>0</v>
      </c>
      <c r="AM7" s="112">
        <v>0</v>
      </c>
      <c r="AN7" s="111">
        <v>6</v>
      </c>
      <c r="AO7" s="112">
        <v>100</v>
      </c>
      <c r="AP7" s="111">
        <v>6</v>
      </c>
    </row>
    <row r="8" spans="1:42" ht="15">
      <c r="A8" s="65" t="s">
        <v>332</v>
      </c>
      <c r="B8" s="65" t="s">
        <v>479</v>
      </c>
      <c r="C8" s="66" t="s">
        <v>1613</v>
      </c>
      <c r="D8" s="67">
        <v>3</v>
      </c>
      <c r="E8" s="68"/>
      <c r="F8" s="69">
        <v>40</v>
      </c>
      <c r="G8" s="66"/>
      <c r="H8" s="70"/>
      <c r="I8" s="71"/>
      <c r="J8" s="71"/>
      <c r="K8" s="35" t="s">
        <v>65</v>
      </c>
      <c r="L8" s="79">
        <v>8</v>
      </c>
      <c r="M8" s="79"/>
      <c r="N8" s="73"/>
      <c r="O8" s="81" t="s">
        <v>481</v>
      </c>
      <c r="P8" s="81" t="s">
        <v>314</v>
      </c>
      <c r="Q8" s="84" t="s">
        <v>489</v>
      </c>
      <c r="R8" s="81" t="s">
        <v>332</v>
      </c>
      <c r="S8" s="81" t="s">
        <v>672</v>
      </c>
      <c r="T8" s="86" t="str">
        <f>HYPERLINK("http://www.youtube.com/channel/UCNdwsLhhuDuBep5DVHzqZeQ")</f>
        <v>http://www.youtube.com/channel/UCNdwsLhhuDuBep5DVHzqZeQ</v>
      </c>
      <c r="U8" s="81"/>
      <c r="V8" s="81" t="s">
        <v>839</v>
      </c>
      <c r="W8" s="86" t="str">
        <f>HYPERLINK("https://www.youtube.com/watch?v=Ci9JYIJstPY")</f>
        <v>https://www.youtube.com/watch?v=Ci9JYIJstPY</v>
      </c>
      <c r="X8" s="81" t="s">
        <v>840</v>
      </c>
      <c r="Y8" s="81">
        <v>0</v>
      </c>
      <c r="Z8" s="88">
        <v>44322.032847222225</v>
      </c>
      <c r="AA8" s="88">
        <v>44322.032847222225</v>
      </c>
      <c r="AB8" s="81"/>
      <c r="AC8" s="81"/>
      <c r="AD8" s="84" t="s">
        <v>843</v>
      </c>
      <c r="AE8" s="82">
        <v>1</v>
      </c>
      <c r="AF8" s="83" t="str">
        <f>REPLACE(INDEX(GroupVertices[Group],MATCH(Edges[[#This Row],[Vertex 1]],GroupVertices[Vertex],0)),1,1,"")</f>
        <v>1</v>
      </c>
      <c r="AG8" s="83" t="str">
        <f>REPLACE(INDEX(GroupVertices[Group],MATCH(Edges[[#This Row],[Vertex 2]],GroupVertices[Vertex],0)),1,1,"")</f>
        <v>1</v>
      </c>
      <c r="AH8" s="111">
        <v>0</v>
      </c>
      <c r="AI8" s="112">
        <v>0</v>
      </c>
      <c r="AJ8" s="111">
        <v>0</v>
      </c>
      <c r="AK8" s="112">
        <v>0</v>
      </c>
      <c r="AL8" s="111">
        <v>0</v>
      </c>
      <c r="AM8" s="112">
        <v>0</v>
      </c>
      <c r="AN8" s="111">
        <v>3</v>
      </c>
      <c r="AO8" s="112">
        <v>100</v>
      </c>
      <c r="AP8" s="111">
        <v>3</v>
      </c>
    </row>
    <row r="9" spans="1:42" ht="15">
      <c r="A9" s="65" t="s">
        <v>333</v>
      </c>
      <c r="B9" s="65" t="s">
        <v>479</v>
      </c>
      <c r="C9" s="66" t="s">
        <v>1613</v>
      </c>
      <c r="D9" s="67">
        <v>3</v>
      </c>
      <c r="E9" s="68"/>
      <c r="F9" s="69">
        <v>40</v>
      </c>
      <c r="G9" s="66"/>
      <c r="H9" s="70"/>
      <c r="I9" s="71"/>
      <c r="J9" s="71"/>
      <c r="K9" s="35" t="s">
        <v>65</v>
      </c>
      <c r="L9" s="79">
        <v>9</v>
      </c>
      <c r="M9" s="79"/>
      <c r="N9" s="73"/>
      <c r="O9" s="81" t="s">
        <v>481</v>
      </c>
      <c r="P9" s="81" t="s">
        <v>314</v>
      </c>
      <c r="Q9" s="84" t="s">
        <v>490</v>
      </c>
      <c r="R9" s="81" t="s">
        <v>333</v>
      </c>
      <c r="S9" s="81" t="s">
        <v>673</v>
      </c>
      <c r="T9" s="86" t="str">
        <f>HYPERLINK("http://www.youtube.com/channel/UCPv4RA_MIqx_Wa9HNUAO4vw")</f>
        <v>http://www.youtube.com/channel/UCPv4RA_MIqx_Wa9HNUAO4vw</v>
      </c>
      <c r="U9" s="81"/>
      <c r="V9" s="81" t="s">
        <v>839</v>
      </c>
      <c r="W9" s="86" t="str">
        <f>HYPERLINK("https://www.youtube.com/watch?v=Ci9JYIJstPY")</f>
        <v>https://www.youtube.com/watch?v=Ci9JYIJstPY</v>
      </c>
      <c r="X9" s="81" t="s">
        <v>840</v>
      </c>
      <c r="Y9" s="81">
        <v>15</v>
      </c>
      <c r="Z9" s="88">
        <v>44322.03304398148</v>
      </c>
      <c r="AA9" s="88">
        <v>44322.03304398148</v>
      </c>
      <c r="AB9" s="81"/>
      <c r="AC9" s="81"/>
      <c r="AD9" s="84" t="s">
        <v>843</v>
      </c>
      <c r="AE9" s="82">
        <v>1</v>
      </c>
      <c r="AF9" s="83" t="str">
        <f>REPLACE(INDEX(GroupVertices[Group],MATCH(Edges[[#This Row],[Vertex 1]],GroupVertices[Vertex],0)),1,1,"")</f>
        <v>1</v>
      </c>
      <c r="AG9" s="83" t="str">
        <f>REPLACE(INDEX(GroupVertices[Group],MATCH(Edges[[#This Row],[Vertex 2]],GroupVertices[Vertex],0)),1,1,"")</f>
        <v>1</v>
      </c>
      <c r="AH9" s="111">
        <v>2</v>
      </c>
      <c r="AI9" s="112">
        <v>12.5</v>
      </c>
      <c r="AJ9" s="111">
        <v>1</v>
      </c>
      <c r="AK9" s="112">
        <v>6.25</v>
      </c>
      <c r="AL9" s="111">
        <v>0</v>
      </c>
      <c r="AM9" s="112">
        <v>0</v>
      </c>
      <c r="AN9" s="111">
        <v>14</v>
      </c>
      <c r="AO9" s="112">
        <v>87.5</v>
      </c>
      <c r="AP9" s="111">
        <v>16</v>
      </c>
    </row>
    <row r="10" spans="1:42" ht="15">
      <c r="A10" s="65" t="s">
        <v>334</v>
      </c>
      <c r="B10" s="65" t="s">
        <v>338</v>
      </c>
      <c r="C10" s="66" t="s">
        <v>1613</v>
      </c>
      <c r="D10" s="67">
        <v>3</v>
      </c>
      <c r="E10" s="68"/>
      <c r="F10" s="69">
        <v>40</v>
      </c>
      <c r="G10" s="66"/>
      <c r="H10" s="70"/>
      <c r="I10" s="71"/>
      <c r="J10" s="71"/>
      <c r="K10" s="35" t="s">
        <v>65</v>
      </c>
      <c r="L10" s="79">
        <v>10</v>
      </c>
      <c r="M10" s="79"/>
      <c r="N10" s="73"/>
      <c r="O10" s="81" t="s">
        <v>482</v>
      </c>
      <c r="P10" s="81" t="s">
        <v>484</v>
      </c>
      <c r="Q10" s="84" t="s">
        <v>491</v>
      </c>
      <c r="R10" s="81" t="s">
        <v>334</v>
      </c>
      <c r="S10" s="81" t="s">
        <v>674</v>
      </c>
      <c r="T10" s="86" t="str">
        <f>HYPERLINK("http://www.youtube.com/channel/UCnZQzTqGBNRA4_HEODkRwEw")</f>
        <v>http://www.youtube.com/channel/UCnZQzTqGBNRA4_HEODkRwEw</v>
      </c>
      <c r="U10" s="81" t="s">
        <v>820</v>
      </c>
      <c r="V10" s="81" t="s">
        <v>839</v>
      </c>
      <c r="W10" s="86" t="str">
        <f>HYPERLINK("https://www.youtube.com/watch?v=Ci9JYIJstPY")</f>
        <v>https://www.youtube.com/watch?v=Ci9JYIJstPY</v>
      </c>
      <c r="X10" s="81" t="s">
        <v>840</v>
      </c>
      <c r="Y10" s="81">
        <v>1</v>
      </c>
      <c r="Z10" s="88">
        <v>44322.49285879629</v>
      </c>
      <c r="AA10" s="88">
        <v>44322.49285879629</v>
      </c>
      <c r="AB10" s="81"/>
      <c r="AC10" s="81"/>
      <c r="AD10" s="84" t="s">
        <v>843</v>
      </c>
      <c r="AE10" s="82">
        <v>1</v>
      </c>
      <c r="AF10" s="83" t="str">
        <f>REPLACE(INDEX(GroupVertices[Group],MATCH(Edges[[#This Row],[Vertex 1]],GroupVertices[Vertex],0)),1,1,"")</f>
        <v>5</v>
      </c>
      <c r="AG10" s="83" t="str">
        <f>REPLACE(INDEX(GroupVertices[Group],MATCH(Edges[[#This Row],[Vertex 2]],GroupVertices[Vertex],0)),1,1,"")</f>
        <v>5</v>
      </c>
      <c r="AH10" s="111">
        <v>0</v>
      </c>
      <c r="AI10" s="112">
        <v>0</v>
      </c>
      <c r="AJ10" s="111">
        <v>0</v>
      </c>
      <c r="AK10" s="112">
        <v>0</v>
      </c>
      <c r="AL10" s="111">
        <v>0</v>
      </c>
      <c r="AM10" s="112">
        <v>0</v>
      </c>
      <c r="AN10" s="111">
        <v>0</v>
      </c>
      <c r="AO10" s="112">
        <v>0</v>
      </c>
      <c r="AP10" s="111">
        <v>0</v>
      </c>
    </row>
    <row r="11" spans="1:42" ht="15">
      <c r="A11" s="65" t="s">
        <v>335</v>
      </c>
      <c r="B11" s="65" t="s">
        <v>338</v>
      </c>
      <c r="C11" s="66" t="s">
        <v>1613</v>
      </c>
      <c r="D11" s="67">
        <v>3</v>
      </c>
      <c r="E11" s="68"/>
      <c r="F11" s="69">
        <v>40</v>
      </c>
      <c r="G11" s="66"/>
      <c r="H11" s="70"/>
      <c r="I11" s="71"/>
      <c r="J11" s="71"/>
      <c r="K11" s="35" t="s">
        <v>65</v>
      </c>
      <c r="L11" s="79">
        <v>11</v>
      </c>
      <c r="M11" s="79"/>
      <c r="N11" s="73"/>
      <c r="O11" s="81" t="s">
        <v>482</v>
      </c>
      <c r="P11" s="81" t="s">
        <v>484</v>
      </c>
      <c r="Q11" s="84" t="s">
        <v>492</v>
      </c>
      <c r="R11" s="81" t="s">
        <v>335</v>
      </c>
      <c r="S11" s="81" t="s">
        <v>675</v>
      </c>
      <c r="T11" s="86" t="str">
        <f>HYPERLINK("http://www.youtube.com/channel/UCEUXal6BPmfaBlXDUgBxYKw")</f>
        <v>http://www.youtube.com/channel/UCEUXal6BPmfaBlXDUgBxYKw</v>
      </c>
      <c r="U11" s="81" t="s">
        <v>820</v>
      </c>
      <c r="V11" s="81" t="s">
        <v>839</v>
      </c>
      <c r="W11" s="86" t="str">
        <f>HYPERLINK("https://www.youtube.com/watch?v=Ci9JYIJstPY")</f>
        <v>https://www.youtube.com/watch?v=Ci9JYIJstPY</v>
      </c>
      <c r="X11" s="81" t="s">
        <v>840</v>
      </c>
      <c r="Y11" s="81">
        <v>0</v>
      </c>
      <c r="Z11" s="88">
        <v>44322.74961805555</v>
      </c>
      <c r="AA11" s="88">
        <v>44322.74961805555</v>
      </c>
      <c r="AB11" s="81"/>
      <c r="AC11" s="81"/>
      <c r="AD11" s="84" t="s">
        <v>843</v>
      </c>
      <c r="AE11" s="82">
        <v>1</v>
      </c>
      <c r="AF11" s="83" t="str">
        <f>REPLACE(INDEX(GroupVertices[Group],MATCH(Edges[[#This Row],[Vertex 1]],GroupVertices[Vertex],0)),1,1,"")</f>
        <v>5</v>
      </c>
      <c r="AG11" s="83" t="str">
        <f>REPLACE(INDEX(GroupVertices[Group],MATCH(Edges[[#This Row],[Vertex 2]],GroupVertices[Vertex],0)),1,1,"")</f>
        <v>5</v>
      </c>
      <c r="AH11" s="111">
        <v>0</v>
      </c>
      <c r="AI11" s="112">
        <v>0</v>
      </c>
      <c r="AJ11" s="111">
        <v>1</v>
      </c>
      <c r="AK11" s="112">
        <v>100</v>
      </c>
      <c r="AL11" s="111">
        <v>0</v>
      </c>
      <c r="AM11" s="112">
        <v>0</v>
      </c>
      <c r="AN11" s="111">
        <v>0</v>
      </c>
      <c r="AO11" s="112">
        <v>0</v>
      </c>
      <c r="AP11" s="111">
        <v>1</v>
      </c>
    </row>
    <row r="12" spans="1:42" ht="15">
      <c r="A12" s="65" t="s">
        <v>336</v>
      </c>
      <c r="B12" s="65" t="s">
        <v>338</v>
      </c>
      <c r="C12" s="66" t="s">
        <v>1613</v>
      </c>
      <c r="D12" s="67">
        <v>3</v>
      </c>
      <c r="E12" s="68"/>
      <c r="F12" s="69">
        <v>40</v>
      </c>
      <c r="G12" s="66"/>
      <c r="H12" s="70"/>
      <c r="I12" s="71"/>
      <c r="J12" s="71"/>
      <c r="K12" s="35" t="s">
        <v>65</v>
      </c>
      <c r="L12" s="79">
        <v>12</v>
      </c>
      <c r="M12" s="79"/>
      <c r="N12" s="73"/>
      <c r="O12" s="81" t="s">
        <v>482</v>
      </c>
      <c r="P12" s="81" t="s">
        <v>484</v>
      </c>
      <c r="Q12" s="84" t="s">
        <v>493</v>
      </c>
      <c r="R12" s="81" t="s">
        <v>336</v>
      </c>
      <c r="S12" s="81" t="s">
        <v>676</v>
      </c>
      <c r="T12" s="86" t="str">
        <f>HYPERLINK("http://www.youtube.com/channel/UCeyiDSEDNrGph88osV5u9ww")</f>
        <v>http://www.youtube.com/channel/UCeyiDSEDNrGph88osV5u9ww</v>
      </c>
      <c r="U12" s="81" t="s">
        <v>820</v>
      </c>
      <c r="V12" s="81" t="s">
        <v>839</v>
      </c>
      <c r="W12" s="86" t="str">
        <f>HYPERLINK("https://www.youtube.com/watch?v=Ci9JYIJstPY")</f>
        <v>https://www.youtube.com/watch?v=Ci9JYIJstPY</v>
      </c>
      <c r="X12" s="81" t="s">
        <v>840</v>
      </c>
      <c r="Y12" s="81">
        <v>0</v>
      </c>
      <c r="Z12" s="88">
        <v>44322.838692129626</v>
      </c>
      <c r="AA12" s="88">
        <v>44322.838692129626</v>
      </c>
      <c r="AB12" s="81"/>
      <c r="AC12" s="81"/>
      <c r="AD12" s="84" t="s">
        <v>843</v>
      </c>
      <c r="AE12" s="82">
        <v>1</v>
      </c>
      <c r="AF12" s="83" t="str">
        <f>REPLACE(INDEX(GroupVertices[Group],MATCH(Edges[[#This Row],[Vertex 1]],GroupVertices[Vertex],0)),1,1,"")</f>
        <v>5</v>
      </c>
      <c r="AG12" s="83" t="str">
        <f>REPLACE(INDEX(GroupVertices[Group],MATCH(Edges[[#This Row],[Vertex 2]],GroupVertices[Vertex],0)),1,1,"")</f>
        <v>5</v>
      </c>
      <c r="AH12" s="111">
        <v>1</v>
      </c>
      <c r="AI12" s="112">
        <v>16.666666666666668</v>
      </c>
      <c r="AJ12" s="111">
        <v>1</v>
      </c>
      <c r="AK12" s="112">
        <v>16.666666666666668</v>
      </c>
      <c r="AL12" s="111">
        <v>0</v>
      </c>
      <c r="AM12" s="112">
        <v>0</v>
      </c>
      <c r="AN12" s="111">
        <v>5</v>
      </c>
      <c r="AO12" s="112">
        <v>83.33333333333333</v>
      </c>
      <c r="AP12" s="111">
        <v>6</v>
      </c>
    </row>
    <row r="13" spans="1:42" ht="15">
      <c r="A13" s="65" t="s">
        <v>337</v>
      </c>
      <c r="B13" s="65" t="s">
        <v>338</v>
      </c>
      <c r="C13" s="66" t="s">
        <v>1613</v>
      </c>
      <c r="D13" s="67">
        <v>3</v>
      </c>
      <c r="E13" s="68"/>
      <c r="F13" s="69">
        <v>40</v>
      </c>
      <c r="G13" s="66"/>
      <c r="H13" s="70"/>
      <c r="I13" s="71"/>
      <c r="J13" s="71"/>
      <c r="K13" s="35" t="s">
        <v>65</v>
      </c>
      <c r="L13" s="79">
        <v>13</v>
      </c>
      <c r="M13" s="79"/>
      <c r="N13" s="73"/>
      <c r="O13" s="81" t="s">
        <v>482</v>
      </c>
      <c r="P13" s="81" t="s">
        <v>484</v>
      </c>
      <c r="Q13" s="84" t="s">
        <v>494</v>
      </c>
      <c r="R13" s="81" t="s">
        <v>337</v>
      </c>
      <c r="S13" s="81" t="s">
        <v>677</v>
      </c>
      <c r="T13" s="86" t="str">
        <f>HYPERLINK("http://www.youtube.com/channel/UCSnWL77qsUeISHxIDhGWzRQ")</f>
        <v>http://www.youtube.com/channel/UCSnWL77qsUeISHxIDhGWzRQ</v>
      </c>
      <c r="U13" s="81" t="s">
        <v>820</v>
      </c>
      <c r="V13" s="81" t="s">
        <v>839</v>
      </c>
      <c r="W13" s="86" t="str">
        <f>HYPERLINK("https://www.youtube.com/watch?v=Ci9JYIJstPY")</f>
        <v>https://www.youtube.com/watch?v=Ci9JYIJstPY</v>
      </c>
      <c r="X13" s="81" t="s">
        <v>840</v>
      </c>
      <c r="Y13" s="81">
        <v>0</v>
      </c>
      <c r="Z13" s="88">
        <v>44323.047800925924</v>
      </c>
      <c r="AA13" s="88">
        <v>44323.047800925924</v>
      </c>
      <c r="AB13" s="81"/>
      <c r="AC13" s="81"/>
      <c r="AD13" s="84" t="s">
        <v>843</v>
      </c>
      <c r="AE13" s="82">
        <v>1</v>
      </c>
      <c r="AF13" s="83" t="str">
        <f>REPLACE(INDEX(GroupVertices[Group],MATCH(Edges[[#This Row],[Vertex 1]],GroupVertices[Vertex],0)),1,1,"")</f>
        <v>5</v>
      </c>
      <c r="AG13" s="83" t="str">
        <f>REPLACE(INDEX(GroupVertices[Group],MATCH(Edges[[#This Row],[Vertex 2]],GroupVertices[Vertex],0)),1,1,"")</f>
        <v>5</v>
      </c>
      <c r="AH13" s="111">
        <v>0</v>
      </c>
      <c r="AI13" s="112">
        <v>0</v>
      </c>
      <c r="AJ13" s="111">
        <v>0</v>
      </c>
      <c r="AK13" s="112">
        <v>0</v>
      </c>
      <c r="AL13" s="111">
        <v>0</v>
      </c>
      <c r="AM13" s="112">
        <v>0</v>
      </c>
      <c r="AN13" s="111">
        <v>1</v>
      </c>
      <c r="AO13" s="112">
        <v>100</v>
      </c>
      <c r="AP13" s="111">
        <v>1</v>
      </c>
    </row>
    <row r="14" spans="1:42" ht="15">
      <c r="A14" s="65" t="s">
        <v>338</v>
      </c>
      <c r="B14" s="65" t="s">
        <v>479</v>
      </c>
      <c r="C14" s="66" t="s">
        <v>1613</v>
      </c>
      <c r="D14" s="67">
        <v>3</v>
      </c>
      <c r="E14" s="68"/>
      <c r="F14" s="69">
        <v>40</v>
      </c>
      <c r="G14" s="66"/>
      <c r="H14" s="70"/>
      <c r="I14" s="71"/>
      <c r="J14" s="71"/>
      <c r="K14" s="35" t="s">
        <v>65</v>
      </c>
      <c r="L14" s="79">
        <v>14</v>
      </c>
      <c r="M14" s="79"/>
      <c r="N14" s="73"/>
      <c r="O14" s="81" t="s">
        <v>481</v>
      </c>
      <c r="P14" s="81" t="s">
        <v>314</v>
      </c>
      <c r="Q14" s="84" t="s">
        <v>495</v>
      </c>
      <c r="R14" s="81" t="s">
        <v>338</v>
      </c>
      <c r="S14" s="81" t="s">
        <v>678</v>
      </c>
      <c r="T14" s="86" t="str">
        <f>HYPERLINK("http://www.youtube.com/channel/UC3TmlkyMLVtPRgucjAx0Ltg")</f>
        <v>http://www.youtube.com/channel/UC3TmlkyMLVtPRgucjAx0Ltg</v>
      </c>
      <c r="U14" s="81"/>
      <c r="V14" s="81" t="s">
        <v>839</v>
      </c>
      <c r="W14" s="86" t="str">
        <f>HYPERLINK("https://www.youtube.com/watch?v=Ci9JYIJstPY")</f>
        <v>https://www.youtube.com/watch?v=Ci9JYIJstPY</v>
      </c>
      <c r="X14" s="81" t="s">
        <v>840</v>
      </c>
      <c r="Y14" s="81">
        <v>57</v>
      </c>
      <c r="Z14" s="88">
        <v>44322.03403935185</v>
      </c>
      <c r="AA14" s="88">
        <v>44322.03403935185</v>
      </c>
      <c r="AB14" s="81"/>
      <c r="AC14" s="81"/>
      <c r="AD14" s="84" t="s">
        <v>843</v>
      </c>
      <c r="AE14" s="82">
        <v>1</v>
      </c>
      <c r="AF14" s="83" t="str">
        <f>REPLACE(INDEX(GroupVertices[Group],MATCH(Edges[[#This Row],[Vertex 1]],GroupVertices[Vertex],0)),1,1,"")</f>
        <v>5</v>
      </c>
      <c r="AG14" s="83" t="str">
        <f>REPLACE(INDEX(GroupVertices[Group],MATCH(Edges[[#This Row],[Vertex 2]],GroupVertices[Vertex],0)),1,1,"")</f>
        <v>1</v>
      </c>
      <c r="AH14" s="111">
        <v>2</v>
      </c>
      <c r="AI14" s="112">
        <v>9.090909090909092</v>
      </c>
      <c r="AJ14" s="111">
        <v>1</v>
      </c>
      <c r="AK14" s="112">
        <v>4.545454545454546</v>
      </c>
      <c r="AL14" s="111">
        <v>0</v>
      </c>
      <c r="AM14" s="112">
        <v>0</v>
      </c>
      <c r="AN14" s="111">
        <v>20</v>
      </c>
      <c r="AO14" s="112">
        <v>90.9090909090909</v>
      </c>
      <c r="AP14" s="111">
        <v>22</v>
      </c>
    </row>
    <row r="15" spans="1:42" ht="15">
      <c r="A15" s="65" t="s">
        <v>339</v>
      </c>
      <c r="B15" s="65" t="s">
        <v>343</v>
      </c>
      <c r="C15" s="66" t="s">
        <v>1613</v>
      </c>
      <c r="D15" s="67">
        <v>3</v>
      </c>
      <c r="E15" s="68"/>
      <c r="F15" s="69">
        <v>40</v>
      </c>
      <c r="G15" s="66"/>
      <c r="H15" s="70"/>
      <c r="I15" s="71"/>
      <c r="J15" s="71"/>
      <c r="K15" s="35" t="s">
        <v>65</v>
      </c>
      <c r="L15" s="79">
        <v>15</v>
      </c>
      <c r="M15" s="79"/>
      <c r="N15" s="73"/>
      <c r="O15" s="81" t="s">
        <v>482</v>
      </c>
      <c r="P15" s="81" t="s">
        <v>484</v>
      </c>
      <c r="Q15" s="84" t="s">
        <v>496</v>
      </c>
      <c r="R15" s="81" t="s">
        <v>339</v>
      </c>
      <c r="S15" s="81" t="s">
        <v>679</v>
      </c>
      <c r="T15" s="86" t="str">
        <f>HYPERLINK("http://www.youtube.com/channel/UCPog7wBEVDO7s-vabvZVNXg")</f>
        <v>http://www.youtube.com/channel/UCPog7wBEVDO7s-vabvZVNXg</v>
      </c>
      <c r="U15" s="81" t="s">
        <v>821</v>
      </c>
      <c r="V15" s="81" t="s">
        <v>839</v>
      </c>
      <c r="W15" s="86" t="str">
        <f>HYPERLINK("https://www.youtube.com/watch?v=Ci9JYIJstPY")</f>
        <v>https://www.youtube.com/watch?v=Ci9JYIJstPY</v>
      </c>
      <c r="X15" s="81" t="s">
        <v>840</v>
      </c>
      <c r="Y15" s="81">
        <v>1</v>
      </c>
      <c r="Z15" s="88">
        <v>44322.15971064815</v>
      </c>
      <c r="AA15" s="88">
        <v>44322.15971064815</v>
      </c>
      <c r="AB15" s="81"/>
      <c r="AC15" s="81"/>
      <c r="AD15" s="84" t="s">
        <v>843</v>
      </c>
      <c r="AE15" s="82">
        <v>1</v>
      </c>
      <c r="AF15" s="83" t="str">
        <f>REPLACE(INDEX(GroupVertices[Group],MATCH(Edges[[#This Row],[Vertex 1]],GroupVertices[Vertex],0)),1,1,"")</f>
        <v>2</v>
      </c>
      <c r="AG15" s="83" t="str">
        <f>REPLACE(INDEX(GroupVertices[Group],MATCH(Edges[[#This Row],[Vertex 2]],GroupVertices[Vertex],0)),1,1,"")</f>
        <v>2</v>
      </c>
      <c r="AH15" s="111">
        <v>0</v>
      </c>
      <c r="AI15" s="112">
        <v>0</v>
      </c>
      <c r="AJ15" s="111">
        <v>0</v>
      </c>
      <c r="AK15" s="112">
        <v>0</v>
      </c>
      <c r="AL15" s="111">
        <v>0</v>
      </c>
      <c r="AM15" s="112">
        <v>0</v>
      </c>
      <c r="AN15" s="111">
        <v>11</v>
      </c>
      <c r="AO15" s="112">
        <v>100</v>
      </c>
      <c r="AP15" s="111">
        <v>11</v>
      </c>
    </row>
    <row r="16" spans="1:42" ht="15">
      <c r="A16" s="65" t="s">
        <v>340</v>
      </c>
      <c r="B16" s="65" t="s">
        <v>343</v>
      </c>
      <c r="C16" s="66" t="s">
        <v>1613</v>
      </c>
      <c r="D16" s="67">
        <v>3</v>
      </c>
      <c r="E16" s="68"/>
      <c r="F16" s="69">
        <v>40</v>
      </c>
      <c r="G16" s="66"/>
      <c r="H16" s="70"/>
      <c r="I16" s="71"/>
      <c r="J16" s="71"/>
      <c r="K16" s="35" t="s">
        <v>65</v>
      </c>
      <c r="L16" s="79">
        <v>16</v>
      </c>
      <c r="M16" s="79"/>
      <c r="N16" s="73"/>
      <c r="O16" s="81" t="s">
        <v>482</v>
      </c>
      <c r="P16" s="81" t="s">
        <v>484</v>
      </c>
      <c r="Q16" s="84" t="s">
        <v>497</v>
      </c>
      <c r="R16" s="81" t="s">
        <v>340</v>
      </c>
      <c r="S16" s="81" t="s">
        <v>680</v>
      </c>
      <c r="T16" s="86" t="str">
        <f>HYPERLINK("http://www.youtube.com/channel/UCz12X8InPaYO_uCl0d6EtUA")</f>
        <v>http://www.youtube.com/channel/UCz12X8InPaYO_uCl0d6EtUA</v>
      </c>
      <c r="U16" s="81" t="s">
        <v>821</v>
      </c>
      <c r="V16" s="81" t="s">
        <v>839</v>
      </c>
      <c r="W16" s="86" t="str">
        <f>HYPERLINK("https://www.youtube.com/watch?v=Ci9JYIJstPY")</f>
        <v>https://www.youtube.com/watch?v=Ci9JYIJstPY</v>
      </c>
      <c r="X16" s="81" t="s">
        <v>840</v>
      </c>
      <c r="Y16" s="81">
        <v>1</v>
      </c>
      <c r="Z16" s="88">
        <v>44322.04153935185</v>
      </c>
      <c r="AA16" s="88">
        <v>44322.04153935185</v>
      </c>
      <c r="AB16" s="81"/>
      <c r="AC16" s="81"/>
      <c r="AD16" s="84" t="s">
        <v>843</v>
      </c>
      <c r="AE16" s="82">
        <v>1</v>
      </c>
      <c r="AF16" s="83" t="str">
        <f>REPLACE(INDEX(GroupVertices[Group],MATCH(Edges[[#This Row],[Vertex 1]],GroupVertices[Vertex],0)),1,1,"")</f>
        <v>2</v>
      </c>
      <c r="AG16" s="83" t="str">
        <f>REPLACE(INDEX(GroupVertices[Group],MATCH(Edges[[#This Row],[Vertex 2]],GroupVertices[Vertex],0)),1,1,"")</f>
        <v>2</v>
      </c>
      <c r="AH16" s="111">
        <v>0</v>
      </c>
      <c r="AI16" s="112">
        <v>0</v>
      </c>
      <c r="AJ16" s="111">
        <v>1</v>
      </c>
      <c r="AK16" s="112">
        <v>6.666666666666667</v>
      </c>
      <c r="AL16" s="111">
        <v>0</v>
      </c>
      <c r="AM16" s="112">
        <v>0</v>
      </c>
      <c r="AN16" s="111">
        <v>14</v>
      </c>
      <c r="AO16" s="112">
        <v>93.33333333333333</v>
      </c>
      <c r="AP16" s="111">
        <v>15</v>
      </c>
    </row>
    <row r="17" spans="1:42" ht="15">
      <c r="A17" s="65" t="s">
        <v>341</v>
      </c>
      <c r="B17" s="65" t="s">
        <v>343</v>
      </c>
      <c r="C17" s="66" t="s">
        <v>1613</v>
      </c>
      <c r="D17" s="67">
        <v>3</v>
      </c>
      <c r="E17" s="68"/>
      <c r="F17" s="69">
        <v>40</v>
      </c>
      <c r="G17" s="66"/>
      <c r="H17" s="70"/>
      <c r="I17" s="71"/>
      <c r="J17" s="71"/>
      <c r="K17" s="35" t="s">
        <v>65</v>
      </c>
      <c r="L17" s="79">
        <v>17</v>
      </c>
      <c r="M17" s="79"/>
      <c r="N17" s="73"/>
      <c r="O17" s="81" t="s">
        <v>482</v>
      </c>
      <c r="P17" s="81" t="s">
        <v>484</v>
      </c>
      <c r="Q17" s="84" t="s">
        <v>498</v>
      </c>
      <c r="R17" s="81" t="s">
        <v>341</v>
      </c>
      <c r="S17" s="81" t="s">
        <v>681</v>
      </c>
      <c r="T17" s="86" t="str">
        <f>HYPERLINK("http://www.youtube.com/channel/UCqaRNBLGkTej2D0R7550KNA")</f>
        <v>http://www.youtube.com/channel/UCqaRNBLGkTej2D0R7550KNA</v>
      </c>
      <c r="U17" s="81" t="s">
        <v>821</v>
      </c>
      <c r="V17" s="81" t="s">
        <v>839</v>
      </c>
      <c r="W17" s="86" t="str">
        <f>HYPERLINK("https://www.youtube.com/watch?v=Ci9JYIJstPY")</f>
        <v>https://www.youtube.com/watch?v=Ci9JYIJstPY</v>
      </c>
      <c r="X17" s="81" t="s">
        <v>840</v>
      </c>
      <c r="Y17" s="81">
        <v>3</v>
      </c>
      <c r="Z17" s="88">
        <v>44322.054618055554</v>
      </c>
      <c r="AA17" s="88">
        <v>44322.054618055554</v>
      </c>
      <c r="AB17" s="81"/>
      <c r="AC17" s="81"/>
      <c r="AD17" s="84" t="s">
        <v>843</v>
      </c>
      <c r="AE17" s="82">
        <v>1</v>
      </c>
      <c r="AF17" s="83" t="str">
        <f>REPLACE(INDEX(GroupVertices[Group],MATCH(Edges[[#This Row],[Vertex 1]],GroupVertices[Vertex],0)),1,1,"")</f>
        <v>2</v>
      </c>
      <c r="AG17" s="83" t="str">
        <f>REPLACE(INDEX(GroupVertices[Group],MATCH(Edges[[#This Row],[Vertex 2]],GroupVertices[Vertex],0)),1,1,"")</f>
        <v>2</v>
      </c>
      <c r="AH17" s="111">
        <v>0</v>
      </c>
      <c r="AI17" s="112">
        <v>0</v>
      </c>
      <c r="AJ17" s="111">
        <v>0</v>
      </c>
      <c r="AK17" s="112">
        <v>0</v>
      </c>
      <c r="AL17" s="111">
        <v>0</v>
      </c>
      <c r="AM17" s="112">
        <v>0</v>
      </c>
      <c r="AN17" s="111">
        <v>15</v>
      </c>
      <c r="AO17" s="112">
        <v>100</v>
      </c>
      <c r="AP17" s="111">
        <v>15</v>
      </c>
    </row>
    <row r="18" spans="1:42" ht="15">
      <c r="A18" s="65" t="s">
        <v>342</v>
      </c>
      <c r="B18" s="65" t="s">
        <v>343</v>
      </c>
      <c r="C18" s="66" t="s">
        <v>1613</v>
      </c>
      <c r="D18" s="67">
        <v>3</v>
      </c>
      <c r="E18" s="68"/>
      <c r="F18" s="69">
        <v>40</v>
      </c>
      <c r="G18" s="66"/>
      <c r="H18" s="70"/>
      <c r="I18" s="71"/>
      <c r="J18" s="71"/>
      <c r="K18" s="35" t="s">
        <v>65</v>
      </c>
      <c r="L18" s="79">
        <v>18</v>
      </c>
      <c r="M18" s="79"/>
      <c r="N18" s="73"/>
      <c r="O18" s="81" t="s">
        <v>482</v>
      </c>
      <c r="P18" s="81" t="s">
        <v>484</v>
      </c>
      <c r="Q18" s="84" t="s">
        <v>499</v>
      </c>
      <c r="R18" s="81" t="s">
        <v>342</v>
      </c>
      <c r="S18" s="81" t="s">
        <v>682</v>
      </c>
      <c r="T18" s="86" t="str">
        <f>HYPERLINK("http://www.youtube.com/channel/UClanhoQVUQAXPY1ibUnRU1w")</f>
        <v>http://www.youtube.com/channel/UClanhoQVUQAXPY1ibUnRU1w</v>
      </c>
      <c r="U18" s="81" t="s">
        <v>821</v>
      </c>
      <c r="V18" s="81" t="s">
        <v>839</v>
      </c>
      <c r="W18" s="86" t="str">
        <f>HYPERLINK("https://www.youtube.com/watch?v=Ci9JYIJstPY")</f>
        <v>https://www.youtube.com/watch?v=Ci9JYIJstPY</v>
      </c>
      <c r="X18" s="81" t="s">
        <v>840</v>
      </c>
      <c r="Y18" s="81">
        <v>1</v>
      </c>
      <c r="Z18" s="88">
        <v>44322.05881944444</v>
      </c>
      <c r="AA18" s="88">
        <v>44322.05881944444</v>
      </c>
      <c r="AB18" s="81"/>
      <c r="AC18" s="81"/>
      <c r="AD18" s="84" t="s">
        <v>843</v>
      </c>
      <c r="AE18" s="82">
        <v>1</v>
      </c>
      <c r="AF18" s="83" t="str">
        <f>REPLACE(INDEX(GroupVertices[Group],MATCH(Edges[[#This Row],[Vertex 1]],GroupVertices[Vertex],0)),1,1,"")</f>
        <v>2</v>
      </c>
      <c r="AG18" s="83" t="str">
        <f>REPLACE(INDEX(GroupVertices[Group],MATCH(Edges[[#This Row],[Vertex 2]],GroupVertices[Vertex],0)),1,1,"")</f>
        <v>2</v>
      </c>
      <c r="AH18" s="111">
        <v>0</v>
      </c>
      <c r="AI18" s="112">
        <v>0</v>
      </c>
      <c r="AJ18" s="111">
        <v>1</v>
      </c>
      <c r="AK18" s="112">
        <v>1.36986301369863</v>
      </c>
      <c r="AL18" s="111">
        <v>0</v>
      </c>
      <c r="AM18" s="112">
        <v>0</v>
      </c>
      <c r="AN18" s="111">
        <v>72</v>
      </c>
      <c r="AO18" s="112">
        <v>98.63013698630137</v>
      </c>
      <c r="AP18" s="111">
        <v>73</v>
      </c>
    </row>
    <row r="19" spans="1:42" ht="15">
      <c r="A19" s="65" t="s">
        <v>343</v>
      </c>
      <c r="B19" s="65" t="s">
        <v>479</v>
      </c>
      <c r="C19" s="66" t="s">
        <v>1613</v>
      </c>
      <c r="D19" s="67">
        <v>3</v>
      </c>
      <c r="E19" s="68"/>
      <c r="F19" s="69">
        <v>40</v>
      </c>
      <c r="G19" s="66"/>
      <c r="H19" s="70"/>
      <c r="I19" s="71"/>
      <c r="J19" s="71"/>
      <c r="K19" s="35" t="s">
        <v>65</v>
      </c>
      <c r="L19" s="79">
        <v>19</v>
      </c>
      <c r="M19" s="79"/>
      <c r="N19" s="73"/>
      <c r="O19" s="81" t="s">
        <v>481</v>
      </c>
      <c r="P19" s="81" t="s">
        <v>314</v>
      </c>
      <c r="Q19" s="84" t="s">
        <v>500</v>
      </c>
      <c r="R19" s="81" t="s">
        <v>343</v>
      </c>
      <c r="S19" s="81" t="s">
        <v>683</v>
      </c>
      <c r="T19" s="86" t="str">
        <f>HYPERLINK("http://www.youtube.com/channel/UCYSE6P4YdKtcJVgsxubD99w")</f>
        <v>http://www.youtube.com/channel/UCYSE6P4YdKtcJVgsxubD99w</v>
      </c>
      <c r="U19" s="81"/>
      <c r="V19" s="81" t="s">
        <v>839</v>
      </c>
      <c r="W19" s="86" t="str">
        <f>HYPERLINK("https://www.youtube.com/watch?v=Ci9JYIJstPY")</f>
        <v>https://www.youtube.com/watch?v=Ci9JYIJstPY</v>
      </c>
      <c r="X19" s="81" t="s">
        <v>840</v>
      </c>
      <c r="Y19" s="81">
        <v>11</v>
      </c>
      <c r="Z19" s="88">
        <v>44322.034895833334</v>
      </c>
      <c r="AA19" s="88">
        <v>44322.034895833334</v>
      </c>
      <c r="AB19" s="81"/>
      <c r="AC19" s="81"/>
      <c r="AD19" s="84" t="s">
        <v>843</v>
      </c>
      <c r="AE19" s="82">
        <v>1</v>
      </c>
      <c r="AF19" s="83" t="str">
        <f>REPLACE(INDEX(GroupVertices[Group],MATCH(Edges[[#This Row],[Vertex 1]],GroupVertices[Vertex],0)),1,1,"")</f>
        <v>2</v>
      </c>
      <c r="AG19" s="83" t="str">
        <f>REPLACE(INDEX(GroupVertices[Group],MATCH(Edges[[#This Row],[Vertex 2]],GroupVertices[Vertex],0)),1,1,"")</f>
        <v>1</v>
      </c>
      <c r="AH19" s="111">
        <v>0</v>
      </c>
      <c r="AI19" s="112">
        <v>0</v>
      </c>
      <c r="AJ19" s="111">
        <v>0</v>
      </c>
      <c r="AK19" s="112">
        <v>0</v>
      </c>
      <c r="AL19" s="111">
        <v>0</v>
      </c>
      <c r="AM19" s="112">
        <v>0</v>
      </c>
      <c r="AN19" s="111">
        <v>14</v>
      </c>
      <c r="AO19" s="112">
        <v>100</v>
      </c>
      <c r="AP19" s="111">
        <v>14</v>
      </c>
    </row>
    <row r="20" spans="1:42" ht="15">
      <c r="A20" s="65" t="s">
        <v>344</v>
      </c>
      <c r="B20" s="65" t="s">
        <v>479</v>
      </c>
      <c r="C20" s="66" t="s">
        <v>1613</v>
      </c>
      <c r="D20" s="67">
        <v>3</v>
      </c>
      <c r="E20" s="68"/>
      <c r="F20" s="69">
        <v>40</v>
      </c>
      <c r="G20" s="66"/>
      <c r="H20" s="70"/>
      <c r="I20" s="71"/>
      <c r="J20" s="71"/>
      <c r="K20" s="35" t="s">
        <v>65</v>
      </c>
      <c r="L20" s="79">
        <v>20</v>
      </c>
      <c r="M20" s="79"/>
      <c r="N20" s="73"/>
      <c r="O20" s="81" t="s">
        <v>481</v>
      </c>
      <c r="P20" s="81" t="s">
        <v>314</v>
      </c>
      <c r="Q20" s="84" t="s">
        <v>501</v>
      </c>
      <c r="R20" s="81" t="s">
        <v>344</v>
      </c>
      <c r="S20" s="81" t="s">
        <v>684</v>
      </c>
      <c r="T20" s="86" t="str">
        <f>HYPERLINK("http://www.youtube.com/channel/UCzrwc2lCv-ZzMRMegkZpC3g")</f>
        <v>http://www.youtube.com/channel/UCzrwc2lCv-ZzMRMegkZpC3g</v>
      </c>
      <c r="U20" s="81"/>
      <c r="V20" s="81" t="s">
        <v>839</v>
      </c>
      <c r="W20" s="86" t="str">
        <f>HYPERLINK("https://www.youtube.com/watch?v=Ci9JYIJstPY")</f>
        <v>https://www.youtube.com/watch?v=Ci9JYIJstPY</v>
      </c>
      <c r="X20" s="81" t="s">
        <v>840</v>
      </c>
      <c r="Y20" s="81">
        <v>2</v>
      </c>
      <c r="Z20" s="88">
        <v>44322.03503472222</v>
      </c>
      <c r="AA20" s="88">
        <v>44322.03503472222</v>
      </c>
      <c r="AB20" s="81"/>
      <c r="AC20" s="81"/>
      <c r="AD20" s="84" t="s">
        <v>843</v>
      </c>
      <c r="AE20" s="82">
        <v>1</v>
      </c>
      <c r="AF20" s="83" t="str">
        <f>REPLACE(INDEX(GroupVertices[Group],MATCH(Edges[[#This Row],[Vertex 1]],GroupVertices[Vertex],0)),1,1,"")</f>
        <v>1</v>
      </c>
      <c r="AG20" s="83" t="str">
        <f>REPLACE(INDEX(GroupVertices[Group],MATCH(Edges[[#This Row],[Vertex 2]],GroupVertices[Vertex],0)),1,1,"")</f>
        <v>1</v>
      </c>
      <c r="AH20" s="111">
        <v>0</v>
      </c>
      <c r="AI20" s="112">
        <v>0</v>
      </c>
      <c r="AJ20" s="111">
        <v>0</v>
      </c>
      <c r="AK20" s="112">
        <v>0</v>
      </c>
      <c r="AL20" s="111">
        <v>0</v>
      </c>
      <c r="AM20" s="112">
        <v>0</v>
      </c>
      <c r="AN20" s="111">
        <v>3</v>
      </c>
      <c r="AO20" s="112">
        <v>100</v>
      </c>
      <c r="AP20" s="111">
        <v>3</v>
      </c>
    </row>
    <row r="21" spans="1:42" ht="15">
      <c r="A21" s="65" t="s">
        <v>345</v>
      </c>
      <c r="B21" s="65" t="s">
        <v>479</v>
      </c>
      <c r="C21" s="66" t="s">
        <v>1613</v>
      </c>
      <c r="D21" s="67">
        <v>3</v>
      </c>
      <c r="E21" s="68"/>
      <c r="F21" s="69">
        <v>40</v>
      </c>
      <c r="G21" s="66"/>
      <c r="H21" s="70"/>
      <c r="I21" s="71"/>
      <c r="J21" s="71"/>
      <c r="K21" s="35" t="s">
        <v>65</v>
      </c>
      <c r="L21" s="79">
        <v>21</v>
      </c>
      <c r="M21" s="79"/>
      <c r="N21" s="73"/>
      <c r="O21" s="81" t="s">
        <v>481</v>
      </c>
      <c r="P21" s="81" t="s">
        <v>314</v>
      </c>
      <c r="Q21" s="84" t="s">
        <v>502</v>
      </c>
      <c r="R21" s="81" t="s">
        <v>345</v>
      </c>
      <c r="S21" s="81" t="s">
        <v>685</v>
      </c>
      <c r="T21" s="86" t="str">
        <f>HYPERLINK("http://www.youtube.com/channel/UCX8GwAV7-mZWpP6wKyvJCww")</f>
        <v>http://www.youtube.com/channel/UCX8GwAV7-mZWpP6wKyvJCww</v>
      </c>
      <c r="U21" s="81"/>
      <c r="V21" s="81" t="s">
        <v>839</v>
      </c>
      <c r="W21" s="86" t="str">
        <f>HYPERLINK("https://www.youtube.com/watch?v=Ci9JYIJstPY")</f>
        <v>https://www.youtube.com/watch?v=Ci9JYIJstPY</v>
      </c>
      <c r="X21" s="81" t="s">
        <v>840</v>
      </c>
      <c r="Y21" s="81">
        <v>1</v>
      </c>
      <c r="Z21" s="88">
        <v>44322.03532407407</v>
      </c>
      <c r="AA21" s="88">
        <v>44322.03532407407</v>
      </c>
      <c r="AB21" s="81"/>
      <c r="AC21" s="81"/>
      <c r="AD21" s="84" t="s">
        <v>843</v>
      </c>
      <c r="AE21" s="82">
        <v>1</v>
      </c>
      <c r="AF21" s="83" t="str">
        <f>REPLACE(INDEX(GroupVertices[Group],MATCH(Edges[[#This Row],[Vertex 1]],GroupVertices[Vertex],0)),1,1,"")</f>
        <v>1</v>
      </c>
      <c r="AG21" s="83" t="str">
        <f>REPLACE(INDEX(GroupVertices[Group],MATCH(Edges[[#This Row],[Vertex 2]],GroupVertices[Vertex],0)),1,1,"")</f>
        <v>1</v>
      </c>
      <c r="AH21" s="111">
        <v>0</v>
      </c>
      <c r="AI21" s="112">
        <v>0</v>
      </c>
      <c r="AJ21" s="111">
        <v>0</v>
      </c>
      <c r="AK21" s="112">
        <v>0</v>
      </c>
      <c r="AL21" s="111">
        <v>0</v>
      </c>
      <c r="AM21" s="112">
        <v>0</v>
      </c>
      <c r="AN21" s="111">
        <v>2</v>
      </c>
      <c r="AO21" s="112">
        <v>100</v>
      </c>
      <c r="AP21" s="111">
        <v>2</v>
      </c>
    </row>
    <row r="22" spans="1:42" ht="15">
      <c r="A22" s="65" t="s">
        <v>346</v>
      </c>
      <c r="B22" s="65" t="s">
        <v>348</v>
      </c>
      <c r="C22" s="66" t="s">
        <v>1613</v>
      </c>
      <c r="D22" s="67">
        <v>3</v>
      </c>
      <c r="E22" s="68"/>
      <c r="F22" s="69">
        <v>40</v>
      </c>
      <c r="G22" s="66"/>
      <c r="H22" s="70"/>
      <c r="I22" s="71"/>
      <c r="J22" s="71"/>
      <c r="K22" s="35" t="s">
        <v>65</v>
      </c>
      <c r="L22" s="79">
        <v>22</v>
      </c>
      <c r="M22" s="79"/>
      <c r="N22" s="73"/>
      <c r="O22" s="81" t="s">
        <v>482</v>
      </c>
      <c r="P22" s="81" t="s">
        <v>484</v>
      </c>
      <c r="Q22" s="84" t="s">
        <v>503</v>
      </c>
      <c r="R22" s="81" t="s">
        <v>346</v>
      </c>
      <c r="S22" s="81" t="s">
        <v>686</v>
      </c>
      <c r="T22" s="86" t="str">
        <f>HYPERLINK("http://www.youtube.com/channel/UCkfOE4pCYbH-BLwo_75tmSA")</f>
        <v>http://www.youtube.com/channel/UCkfOE4pCYbH-BLwo_75tmSA</v>
      </c>
      <c r="U22" s="81" t="s">
        <v>822</v>
      </c>
      <c r="V22" s="81" t="s">
        <v>839</v>
      </c>
      <c r="W22" s="86" t="str">
        <f>HYPERLINK("https://www.youtube.com/watch?v=Ci9JYIJstPY")</f>
        <v>https://www.youtube.com/watch?v=Ci9JYIJstPY</v>
      </c>
      <c r="X22" s="81" t="s">
        <v>840</v>
      </c>
      <c r="Y22" s="81">
        <v>1</v>
      </c>
      <c r="Z22" s="88">
        <v>44322.06298611111</v>
      </c>
      <c r="AA22" s="88">
        <v>44322.06298611111</v>
      </c>
      <c r="AB22" s="81"/>
      <c r="AC22" s="81"/>
      <c r="AD22" s="84" t="s">
        <v>843</v>
      </c>
      <c r="AE22" s="82">
        <v>1</v>
      </c>
      <c r="AF22" s="83" t="str">
        <f>REPLACE(INDEX(GroupVertices[Group],MATCH(Edges[[#This Row],[Vertex 1]],GroupVertices[Vertex],0)),1,1,"")</f>
        <v>9</v>
      </c>
      <c r="AG22" s="83" t="str">
        <f>REPLACE(INDEX(GroupVertices[Group],MATCH(Edges[[#This Row],[Vertex 2]],GroupVertices[Vertex],0)),1,1,"")</f>
        <v>9</v>
      </c>
      <c r="AH22" s="111">
        <v>0</v>
      </c>
      <c r="AI22" s="112">
        <v>0</v>
      </c>
      <c r="AJ22" s="111">
        <v>1</v>
      </c>
      <c r="AK22" s="112">
        <v>100</v>
      </c>
      <c r="AL22" s="111">
        <v>0</v>
      </c>
      <c r="AM22" s="112">
        <v>0</v>
      </c>
      <c r="AN22" s="111">
        <v>0</v>
      </c>
      <c r="AO22" s="112">
        <v>0</v>
      </c>
      <c r="AP22" s="111">
        <v>1</v>
      </c>
    </row>
    <row r="23" spans="1:42" ht="15">
      <c r="A23" s="65" t="s">
        <v>347</v>
      </c>
      <c r="B23" s="65" t="s">
        <v>348</v>
      </c>
      <c r="C23" s="66" t="s">
        <v>1613</v>
      </c>
      <c r="D23" s="67">
        <v>3</v>
      </c>
      <c r="E23" s="68"/>
      <c r="F23" s="69">
        <v>40</v>
      </c>
      <c r="G23" s="66"/>
      <c r="H23" s="70"/>
      <c r="I23" s="71"/>
      <c r="J23" s="71"/>
      <c r="K23" s="35" t="s">
        <v>65</v>
      </c>
      <c r="L23" s="79">
        <v>23</v>
      </c>
      <c r="M23" s="79"/>
      <c r="N23" s="73"/>
      <c r="O23" s="81" t="s">
        <v>482</v>
      </c>
      <c r="P23" s="81" t="s">
        <v>484</v>
      </c>
      <c r="Q23" s="84" t="s">
        <v>504</v>
      </c>
      <c r="R23" s="81" t="s">
        <v>347</v>
      </c>
      <c r="S23" s="81" t="s">
        <v>687</v>
      </c>
      <c r="T23" s="86" t="str">
        <f>HYPERLINK("http://www.youtube.com/channel/UCbzcSwLyP4DYIxDbVaBQ6Hw")</f>
        <v>http://www.youtube.com/channel/UCbzcSwLyP4DYIxDbVaBQ6Hw</v>
      </c>
      <c r="U23" s="81" t="s">
        <v>822</v>
      </c>
      <c r="V23" s="81" t="s">
        <v>839</v>
      </c>
      <c r="W23" s="86" t="str">
        <f>HYPERLINK("https://www.youtube.com/watch?v=Ci9JYIJstPY")</f>
        <v>https://www.youtube.com/watch?v=Ci9JYIJstPY</v>
      </c>
      <c r="X23" s="81" t="s">
        <v>840</v>
      </c>
      <c r="Y23" s="81">
        <v>0</v>
      </c>
      <c r="Z23" s="88">
        <v>44322.095497685186</v>
      </c>
      <c r="AA23" s="88">
        <v>44322.095497685186</v>
      </c>
      <c r="AB23" s="81"/>
      <c r="AC23" s="81"/>
      <c r="AD23" s="84" t="s">
        <v>843</v>
      </c>
      <c r="AE23" s="82">
        <v>1</v>
      </c>
      <c r="AF23" s="83" t="str">
        <f>REPLACE(INDEX(GroupVertices[Group],MATCH(Edges[[#This Row],[Vertex 1]],GroupVertices[Vertex],0)),1,1,"")</f>
        <v>9</v>
      </c>
      <c r="AG23" s="83" t="str">
        <f>REPLACE(INDEX(GroupVertices[Group],MATCH(Edges[[#This Row],[Vertex 2]],GroupVertices[Vertex],0)),1,1,"")</f>
        <v>9</v>
      </c>
      <c r="AH23" s="111">
        <v>0</v>
      </c>
      <c r="AI23" s="112">
        <v>0</v>
      </c>
      <c r="AJ23" s="111">
        <v>0</v>
      </c>
      <c r="AK23" s="112">
        <v>0</v>
      </c>
      <c r="AL23" s="111">
        <v>0</v>
      </c>
      <c r="AM23" s="112">
        <v>0</v>
      </c>
      <c r="AN23" s="111">
        <v>0</v>
      </c>
      <c r="AO23" s="112">
        <v>0</v>
      </c>
      <c r="AP23" s="111">
        <v>0</v>
      </c>
    </row>
    <row r="24" spans="1:42" ht="15">
      <c r="A24" s="65" t="s">
        <v>348</v>
      </c>
      <c r="B24" s="65" t="s">
        <v>479</v>
      </c>
      <c r="C24" s="66" t="s">
        <v>1613</v>
      </c>
      <c r="D24" s="67">
        <v>3</v>
      </c>
      <c r="E24" s="68"/>
      <c r="F24" s="69">
        <v>40</v>
      </c>
      <c r="G24" s="66"/>
      <c r="H24" s="70"/>
      <c r="I24" s="71"/>
      <c r="J24" s="71"/>
      <c r="K24" s="35" t="s">
        <v>65</v>
      </c>
      <c r="L24" s="79">
        <v>24</v>
      </c>
      <c r="M24" s="79"/>
      <c r="N24" s="73"/>
      <c r="O24" s="81" t="s">
        <v>481</v>
      </c>
      <c r="P24" s="81" t="s">
        <v>314</v>
      </c>
      <c r="Q24" s="84" t="s">
        <v>505</v>
      </c>
      <c r="R24" s="81" t="s">
        <v>348</v>
      </c>
      <c r="S24" s="81" t="s">
        <v>688</v>
      </c>
      <c r="T24" s="86" t="str">
        <f>HYPERLINK("http://www.youtube.com/channel/UC59BfWXrQndBPmqKq4IgRZQ")</f>
        <v>http://www.youtube.com/channel/UC59BfWXrQndBPmqKq4IgRZQ</v>
      </c>
      <c r="U24" s="81"/>
      <c r="V24" s="81" t="s">
        <v>839</v>
      </c>
      <c r="W24" s="86" t="str">
        <f>HYPERLINK("https://www.youtube.com/watch?v=Ci9JYIJstPY")</f>
        <v>https://www.youtube.com/watch?v=Ci9JYIJstPY</v>
      </c>
      <c r="X24" s="81" t="s">
        <v>840</v>
      </c>
      <c r="Y24" s="81">
        <v>29</v>
      </c>
      <c r="Z24" s="88">
        <v>44322.03550925926</v>
      </c>
      <c r="AA24" s="88">
        <v>44322.03550925926</v>
      </c>
      <c r="AB24" s="81"/>
      <c r="AC24" s="81"/>
      <c r="AD24" s="84" t="s">
        <v>843</v>
      </c>
      <c r="AE24" s="82">
        <v>1</v>
      </c>
      <c r="AF24" s="83" t="str">
        <f>REPLACE(INDEX(GroupVertices[Group],MATCH(Edges[[#This Row],[Vertex 1]],GroupVertices[Vertex],0)),1,1,"")</f>
        <v>9</v>
      </c>
      <c r="AG24" s="83" t="str">
        <f>REPLACE(INDEX(GroupVertices[Group],MATCH(Edges[[#This Row],[Vertex 2]],GroupVertices[Vertex],0)),1,1,"")</f>
        <v>1</v>
      </c>
      <c r="AH24" s="111">
        <v>1</v>
      </c>
      <c r="AI24" s="112">
        <v>6.666666666666667</v>
      </c>
      <c r="AJ24" s="111">
        <v>1</v>
      </c>
      <c r="AK24" s="112">
        <v>6.666666666666667</v>
      </c>
      <c r="AL24" s="111">
        <v>0</v>
      </c>
      <c r="AM24" s="112">
        <v>0</v>
      </c>
      <c r="AN24" s="111">
        <v>14</v>
      </c>
      <c r="AO24" s="112">
        <v>93.33333333333333</v>
      </c>
      <c r="AP24" s="111">
        <v>15</v>
      </c>
    </row>
    <row r="25" spans="1:42" ht="15">
      <c r="A25" s="65" t="s">
        <v>349</v>
      </c>
      <c r="B25" s="65" t="s">
        <v>479</v>
      </c>
      <c r="C25" s="66" t="s">
        <v>1613</v>
      </c>
      <c r="D25" s="67">
        <v>3</v>
      </c>
      <c r="E25" s="68"/>
      <c r="F25" s="69">
        <v>40</v>
      </c>
      <c r="G25" s="66"/>
      <c r="H25" s="70"/>
      <c r="I25" s="71"/>
      <c r="J25" s="71"/>
      <c r="K25" s="35" t="s">
        <v>65</v>
      </c>
      <c r="L25" s="79">
        <v>25</v>
      </c>
      <c r="M25" s="79"/>
      <c r="N25" s="73"/>
      <c r="O25" s="81" t="s">
        <v>481</v>
      </c>
      <c r="P25" s="81" t="s">
        <v>314</v>
      </c>
      <c r="Q25" s="84" t="s">
        <v>506</v>
      </c>
      <c r="R25" s="81" t="s">
        <v>349</v>
      </c>
      <c r="S25" s="81" t="s">
        <v>689</v>
      </c>
      <c r="T25" s="86" t="str">
        <f>HYPERLINK("http://www.youtube.com/channel/UCx54gVMTbOXZqYU0btCl7Xg")</f>
        <v>http://www.youtube.com/channel/UCx54gVMTbOXZqYU0btCl7Xg</v>
      </c>
      <c r="U25" s="81"/>
      <c r="V25" s="81" t="s">
        <v>839</v>
      </c>
      <c r="W25" s="86" t="str">
        <f>HYPERLINK("https://www.youtube.com/watch?v=Ci9JYIJstPY")</f>
        <v>https://www.youtube.com/watch?v=Ci9JYIJstPY</v>
      </c>
      <c r="X25" s="81" t="s">
        <v>840</v>
      </c>
      <c r="Y25" s="81">
        <v>0</v>
      </c>
      <c r="Z25" s="88">
        <v>44322.0356712963</v>
      </c>
      <c r="AA25" s="88">
        <v>44322.0356712963</v>
      </c>
      <c r="AB25" s="81"/>
      <c r="AC25" s="81"/>
      <c r="AD25" s="84" t="s">
        <v>843</v>
      </c>
      <c r="AE25" s="82">
        <v>1</v>
      </c>
      <c r="AF25" s="83" t="str">
        <f>REPLACE(INDEX(GroupVertices[Group],MATCH(Edges[[#This Row],[Vertex 1]],GroupVertices[Vertex],0)),1,1,"")</f>
        <v>1</v>
      </c>
      <c r="AG25" s="83" t="str">
        <f>REPLACE(INDEX(GroupVertices[Group],MATCH(Edges[[#This Row],[Vertex 2]],GroupVertices[Vertex],0)),1,1,"")</f>
        <v>1</v>
      </c>
      <c r="AH25" s="111">
        <v>0</v>
      </c>
      <c r="AI25" s="112">
        <v>0</v>
      </c>
      <c r="AJ25" s="111">
        <v>0</v>
      </c>
      <c r="AK25" s="112">
        <v>0</v>
      </c>
      <c r="AL25" s="111">
        <v>0</v>
      </c>
      <c r="AM25" s="112">
        <v>0</v>
      </c>
      <c r="AN25" s="111">
        <v>0</v>
      </c>
      <c r="AO25" s="112">
        <v>0</v>
      </c>
      <c r="AP25" s="111">
        <v>0</v>
      </c>
    </row>
    <row r="26" spans="1:42" ht="15">
      <c r="A26" s="65" t="s">
        <v>350</v>
      </c>
      <c r="B26" s="65" t="s">
        <v>351</v>
      </c>
      <c r="C26" s="66" t="s">
        <v>1613</v>
      </c>
      <c r="D26" s="67">
        <v>3</v>
      </c>
      <c r="E26" s="68"/>
      <c r="F26" s="69">
        <v>40</v>
      </c>
      <c r="G26" s="66"/>
      <c r="H26" s="70"/>
      <c r="I26" s="71"/>
      <c r="J26" s="71"/>
      <c r="K26" s="35" t="s">
        <v>65</v>
      </c>
      <c r="L26" s="79">
        <v>26</v>
      </c>
      <c r="M26" s="79"/>
      <c r="N26" s="73"/>
      <c r="O26" s="81" t="s">
        <v>482</v>
      </c>
      <c r="P26" s="81" t="s">
        <v>484</v>
      </c>
      <c r="Q26" s="84" t="s">
        <v>507</v>
      </c>
      <c r="R26" s="81" t="s">
        <v>350</v>
      </c>
      <c r="S26" s="81" t="s">
        <v>690</v>
      </c>
      <c r="T26" s="86" t="str">
        <f>HYPERLINK("http://www.youtube.com/channel/UC3uvWFMnLdPQ-YPYb1EUQRQ")</f>
        <v>http://www.youtube.com/channel/UC3uvWFMnLdPQ-YPYb1EUQRQ</v>
      </c>
      <c r="U26" s="81" t="s">
        <v>823</v>
      </c>
      <c r="V26" s="81" t="s">
        <v>839</v>
      </c>
      <c r="W26" s="86" t="str">
        <f>HYPERLINK("https://www.youtube.com/watch?v=Ci9JYIJstPY")</f>
        <v>https://www.youtube.com/watch?v=Ci9JYIJstPY</v>
      </c>
      <c r="X26" s="81" t="s">
        <v>840</v>
      </c>
      <c r="Y26" s="81">
        <v>1</v>
      </c>
      <c r="Z26" s="88">
        <v>44322.35803240741</v>
      </c>
      <c r="AA26" s="88">
        <v>44322.35803240741</v>
      </c>
      <c r="AB26" s="81"/>
      <c r="AC26" s="81"/>
      <c r="AD26" s="84" t="s">
        <v>843</v>
      </c>
      <c r="AE26" s="82">
        <v>1</v>
      </c>
      <c r="AF26" s="83" t="str">
        <f>REPLACE(INDEX(GroupVertices[Group],MATCH(Edges[[#This Row],[Vertex 1]],GroupVertices[Vertex],0)),1,1,"")</f>
        <v>17</v>
      </c>
      <c r="AG26" s="83" t="str">
        <f>REPLACE(INDEX(GroupVertices[Group],MATCH(Edges[[#This Row],[Vertex 2]],GroupVertices[Vertex],0)),1,1,"")</f>
        <v>17</v>
      </c>
      <c r="AH26" s="111">
        <v>2</v>
      </c>
      <c r="AI26" s="112">
        <v>7.142857142857143</v>
      </c>
      <c r="AJ26" s="111">
        <v>1</v>
      </c>
      <c r="AK26" s="112">
        <v>3.5714285714285716</v>
      </c>
      <c r="AL26" s="111">
        <v>0</v>
      </c>
      <c r="AM26" s="112">
        <v>0</v>
      </c>
      <c r="AN26" s="111">
        <v>26</v>
      </c>
      <c r="AO26" s="112">
        <v>92.85714285714286</v>
      </c>
      <c r="AP26" s="111">
        <v>28</v>
      </c>
    </row>
    <row r="27" spans="1:42" ht="15">
      <c r="A27" s="65" t="s">
        <v>351</v>
      </c>
      <c r="B27" s="65" t="s">
        <v>479</v>
      </c>
      <c r="C27" s="66" t="s">
        <v>1614</v>
      </c>
      <c r="D27" s="67">
        <v>3</v>
      </c>
      <c r="E27" s="68"/>
      <c r="F27" s="69">
        <v>40</v>
      </c>
      <c r="G27" s="66"/>
      <c r="H27" s="70"/>
      <c r="I27" s="71"/>
      <c r="J27" s="71"/>
      <c r="K27" s="35" t="s">
        <v>65</v>
      </c>
      <c r="L27" s="79">
        <v>27</v>
      </c>
      <c r="M27" s="79"/>
      <c r="N27" s="73"/>
      <c r="O27" s="81" t="s">
        <v>481</v>
      </c>
      <c r="P27" s="81" t="s">
        <v>314</v>
      </c>
      <c r="Q27" s="84" t="s">
        <v>508</v>
      </c>
      <c r="R27" s="81" t="s">
        <v>351</v>
      </c>
      <c r="S27" s="81" t="s">
        <v>691</v>
      </c>
      <c r="T27" s="86" t="str">
        <f>HYPERLINK("http://www.youtube.com/channel/UCMpKt3R83_bsj58AWV9Fm_g")</f>
        <v>http://www.youtube.com/channel/UCMpKt3R83_bsj58AWV9Fm_g</v>
      </c>
      <c r="U27" s="81"/>
      <c r="V27" s="81" t="s">
        <v>839</v>
      </c>
      <c r="W27" s="86" t="str">
        <f>HYPERLINK("https://www.youtube.com/watch?v=Ci9JYIJstPY")</f>
        <v>https://www.youtube.com/watch?v=Ci9JYIJstPY</v>
      </c>
      <c r="X27" s="81" t="s">
        <v>840</v>
      </c>
      <c r="Y27" s="81">
        <v>1</v>
      </c>
      <c r="Z27" s="88">
        <v>44322.032534722224</v>
      </c>
      <c r="AA27" s="88">
        <v>44322.032534722224</v>
      </c>
      <c r="AB27" s="81"/>
      <c r="AC27" s="81"/>
      <c r="AD27" s="84" t="s">
        <v>843</v>
      </c>
      <c r="AE27" s="82">
        <v>2</v>
      </c>
      <c r="AF27" s="83" t="str">
        <f>REPLACE(INDEX(GroupVertices[Group],MATCH(Edges[[#This Row],[Vertex 1]],GroupVertices[Vertex],0)),1,1,"")</f>
        <v>17</v>
      </c>
      <c r="AG27" s="83" t="str">
        <f>REPLACE(INDEX(GroupVertices[Group],MATCH(Edges[[#This Row],[Vertex 2]],GroupVertices[Vertex],0)),1,1,"")</f>
        <v>1</v>
      </c>
      <c r="AH27" s="111">
        <v>0</v>
      </c>
      <c r="AI27" s="112">
        <v>0</v>
      </c>
      <c r="AJ27" s="111">
        <v>0</v>
      </c>
      <c r="AK27" s="112">
        <v>0</v>
      </c>
      <c r="AL27" s="111">
        <v>0</v>
      </c>
      <c r="AM27" s="112">
        <v>0</v>
      </c>
      <c r="AN27" s="111">
        <v>1</v>
      </c>
      <c r="AO27" s="112">
        <v>100</v>
      </c>
      <c r="AP27" s="111">
        <v>1</v>
      </c>
    </row>
    <row r="28" spans="1:42" ht="15">
      <c r="A28" s="65" t="s">
        <v>351</v>
      </c>
      <c r="B28" s="65" t="s">
        <v>351</v>
      </c>
      <c r="C28" s="66" t="s">
        <v>1613</v>
      </c>
      <c r="D28" s="67">
        <v>3</v>
      </c>
      <c r="E28" s="68"/>
      <c r="F28" s="69">
        <v>40</v>
      </c>
      <c r="G28" s="66"/>
      <c r="H28" s="70"/>
      <c r="I28" s="71"/>
      <c r="J28" s="71"/>
      <c r="K28" s="35" t="s">
        <v>65</v>
      </c>
      <c r="L28" s="79">
        <v>28</v>
      </c>
      <c r="M28" s="79"/>
      <c r="N28" s="73"/>
      <c r="O28" s="81" t="s">
        <v>482</v>
      </c>
      <c r="P28" s="81" t="s">
        <v>484</v>
      </c>
      <c r="Q28" s="84" t="s">
        <v>509</v>
      </c>
      <c r="R28" s="81" t="s">
        <v>351</v>
      </c>
      <c r="S28" s="81" t="s">
        <v>691</v>
      </c>
      <c r="T28" s="86" t="str">
        <f>HYPERLINK("http://www.youtube.com/channel/UCMpKt3R83_bsj58AWV9Fm_g")</f>
        <v>http://www.youtube.com/channel/UCMpKt3R83_bsj58AWV9Fm_g</v>
      </c>
      <c r="U28" s="81" t="s">
        <v>823</v>
      </c>
      <c r="V28" s="81" t="s">
        <v>839</v>
      </c>
      <c r="W28" s="86" t="str">
        <f>HYPERLINK("https://www.youtube.com/watch?v=Ci9JYIJstPY")</f>
        <v>https://www.youtube.com/watch?v=Ci9JYIJstPY</v>
      </c>
      <c r="X28" s="81" t="s">
        <v>840</v>
      </c>
      <c r="Y28" s="81">
        <v>0</v>
      </c>
      <c r="Z28" s="88">
        <v>44322.36476851852</v>
      </c>
      <c r="AA28" s="88">
        <v>44322.36476851852</v>
      </c>
      <c r="AB28" s="81"/>
      <c r="AC28" s="81"/>
      <c r="AD28" s="84" t="s">
        <v>843</v>
      </c>
      <c r="AE28" s="82">
        <v>1</v>
      </c>
      <c r="AF28" s="83" t="str">
        <f>REPLACE(INDEX(GroupVertices[Group],MATCH(Edges[[#This Row],[Vertex 1]],GroupVertices[Vertex],0)),1,1,"")</f>
        <v>17</v>
      </c>
      <c r="AG28" s="83" t="str">
        <f>REPLACE(INDEX(GroupVertices[Group],MATCH(Edges[[#This Row],[Vertex 2]],GroupVertices[Vertex],0)),1,1,"")</f>
        <v>17</v>
      </c>
      <c r="AH28" s="111">
        <v>0</v>
      </c>
      <c r="AI28" s="112">
        <v>0</v>
      </c>
      <c r="AJ28" s="111">
        <v>1</v>
      </c>
      <c r="AK28" s="112">
        <v>33.333333333333336</v>
      </c>
      <c r="AL28" s="111">
        <v>0</v>
      </c>
      <c r="AM28" s="112">
        <v>0</v>
      </c>
      <c r="AN28" s="111">
        <v>2</v>
      </c>
      <c r="AO28" s="112">
        <v>66.66666666666667</v>
      </c>
      <c r="AP28" s="111">
        <v>3</v>
      </c>
    </row>
    <row r="29" spans="1:42" ht="15">
      <c r="A29" s="65" t="s">
        <v>351</v>
      </c>
      <c r="B29" s="65" t="s">
        <v>479</v>
      </c>
      <c r="C29" s="66" t="s">
        <v>1614</v>
      </c>
      <c r="D29" s="67">
        <v>3</v>
      </c>
      <c r="E29" s="68"/>
      <c r="F29" s="69">
        <v>40</v>
      </c>
      <c r="G29" s="66"/>
      <c r="H29" s="70"/>
      <c r="I29" s="71"/>
      <c r="J29" s="71"/>
      <c r="K29" s="35" t="s">
        <v>65</v>
      </c>
      <c r="L29" s="79">
        <v>29</v>
      </c>
      <c r="M29" s="79"/>
      <c r="N29" s="73"/>
      <c r="O29" s="81" t="s">
        <v>481</v>
      </c>
      <c r="P29" s="81" t="s">
        <v>314</v>
      </c>
      <c r="Q29" s="84" t="s">
        <v>510</v>
      </c>
      <c r="R29" s="81" t="s">
        <v>351</v>
      </c>
      <c r="S29" s="81" t="s">
        <v>691</v>
      </c>
      <c r="T29" s="86" t="str">
        <f>HYPERLINK("http://www.youtube.com/channel/UCMpKt3R83_bsj58AWV9Fm_g")</f>
        <v>http://www.youtube.com/channel/UCMpKt3R83_bsj58AWV9Fm_g</v>
      </c>
      <c r="U29" s="81"/>
      <c r="V29" s="81" t="s">
        <v>839</v>
      </c>
      <c r="W29" s="86" t="str">
        <f>HYPERLINK("https://www.youtube.com/watch?v=Ci9JYIJstPY")</f>
        <v>https://www.youtube.com/watch?v=Ci9JYIJstPY</v>
      </c>
      <c r="X29" s="81" t="s">
        <v>840</v>
      </c>
      <c r="Y29" s="81">
        <v>10</v>
      </c>
      <c r="Z29" s="88">
        <v>44322.037210648145</v>
      </c>
      <c r="AA29" s="88">
        <v>44322.037210648145</v>
      </c>
      <c r="AB29" s="81"/>
      <c r="AC29" s="81"/>
      <c r="AD29" s="84" t="s">
        <v>843</v>
      </c>
      <c r="AE29" s="82">
        <v>2</v>
      </c>
      <c r="AF29" s="83" t="str">
        <f>REPLACE(INDEX(GroupVertices[Group],MATCH(Edges[[#This Row],[Vertex 1]],GroupVertices[Vertex],0)),1,1,"")</f>
        <v>17</v>
      </c>
      <c r="AG29" s="83" t="str">
        <f>REPLACE(INDEX(GroupVertices[Group],MATCH(Edges[[#This Row],[Vertex 2]],GroupVertices[Vertex],0)),1,1,"")</f>
        <v>1</v>
      </c>
      <c r="AH29" s="111">
        <v>2</v>
      </c>
      <c r="AI29" s="112">
        <v>15.384615384615385</v>
      </c>
      <c r="AJ29" s="111">
        <v>0</v>
      </c>
      <c r="AK29" s="112">
        <v>0</v>
      </c>
      <c r="AL29" s="111">
        <v>0</v>
      </c>
      <c r="AM29" s="112">
        <v>0</v>
      </c>
      <c r="AN29" s="111">
        <v>11</v>
      </c>
      <c r="AO29" s="112">
        <v>84.61538461538461</v>
      </c>
      <c r="AP29" s="111">
        <v>13</v>
      </c>
    </row>
    <row r="30" spans="1:42" ht="15">
      <c r="A30" s="65" t="s">
        <v>352</v>
      </c>
      <c r="B30" s="65" t="s">
        <v>479</v>
      </c>
      <c r="C30" s="66" t="s">
        <v>1613</v>
      </c>
      <c r="D30" s="67">
        <v>3</v>
      </c>
      <c r="E30" s="68"/>
      <c r="F30" s="69">
        <v>40</v>
      </c>
      <c r="G30" s="66"/>
      <c r="H30" s="70"/>
      <c r="I30" s="71"/>
      <c r="J30" s="71"/>
      <c r="K30" s="35" t="s">
        <v>65</v>
      </c>
      <c r="L30" s="79">
        <v>30</v>
      </c>
      <c r="M30" s="79"/>
      <c r="N30" s="73"/>
      <c r="O30" s="81" t="s">
        <v>481</v>
      </c>
      <c r="P30" s="81" t="s">
        <v>314</v>
      </c>
      <c r="Q30" s="84" t="s">
        <v>511</v>
      </c>
      <c r="R30" s="81" t="s">
        <v>352</v>
      </c>
      <c r="S30" s="81" t="s">
        <v>692</v>
      </c>
      <c r="T30" s="86" t="str">
        <f>HYPERLINK("http://www.youtube.com/channel/UCb_HJ0MPee9-CKKd5yRD7aw")</f>
        <v>http://www.youtube.com/channel/UCb_HJ0MPee9-CKKd5yRD7aw</v>
      </c>
      <c r="U30" s="81"/>
      <c r="V30" s="81" t="s">
        <v>839</v>
      </c>
      <c r="W30" s="86" t="str">
        <f>HYPERLINK("https://www.youtube.com/watch?v=Ci9JYIJstPY")</f>
        <v>https://www.youtube.com/watch?v=Ci9JYIJstPY</v>
      </c>
      <c r="X30" s="81" t="s">
        <v>840</v>
      </c>
      <c r="Y30" s="81">
        <v>2</v>
      </c>
      <c r="Z30" s="88">
        <v>44322.03769675926</v>
      </c>
      <c r="AA30" s="88">
        <v>44322.03769675926</v>
      </c>
      <c r="AB30" s="81"/>
      <c r="AC30" s="81"/>
      <c r="AD30" s="84" t="s">
        <v>843</v>
      </c>
      <c r="AE30" s="82">
        <v>1</v>
      </c>
      <c r="AF30" s="83" t="str">
        <f>REPLACE(INDEX(GroupVertices[Group],MATCH(Edges[[#This Row],[Vertex 1]],GroupVertices[Vertex],0)),1,1,"")</f>
        <v>1</v>
      </c>
      <c r="AG30" s="83" t="str">
        <f>REPLACE(INDEX(GroupVertices[Group],MATCH(Edges[[#This Row],[Vertex 2]],GroupVertices[Vertex],0)),1,1,"")</f>
        <v>1</v>
      </c>
      <c r="AH30" s="111">
        <v>1</v>
      </c>
      <c r="AI30" s="112">
        <v>33.333333333333336</v>
      </c>
      <c r="AJ30" s="111">
        <v>0</v>
      </c>
      <c r="AK30" s="112">
        <v>0</v>
      </c>
      <c r="AL30" s="111">
        <v>0</v>
      </c>
      <c r="AM30" s="112">
        <v>0</v>
      </c>
      <c r="AN30" s="111">
        <v>2</v>
      </c>
      <c r="AO30" s="112">
        <v>66.66666666666667</v>
      </c>
      <c r="AP30" s="111">
        <v>3</v>
      </c>
    </row>
    <row r="31" spans="1:42" ht="15">
      <c r="A31" s="65" t="s">
        <v>353</v>
      </c>
      <c r="B31" s="65" t="s">
        <v>479</v>
      </c>
      <c r="C31" s="66" t="s">
        <v>1613</v>
      </c>
      <c r="D31" s="67">
        <v>3</v>
      </c>
      <c r="E31" s="68"/>
      <c r="F31" s="69">
        <v>40</v>
      </c>
      <c r="G31" s="66"/>
      <c r="H31" s="70"/>
      <c r="I31" s="71"/>
      <c r="J31" s="71"/>
      <c r="K31" s="35" t="s">
        <v>65</v>
      </c>
      <c r="L31" s="79">
        <v>31</v>
      </c>
      <c r="M31" s="79"/>
      <c r="N31" s="73"/>
      <c r="O31" s="81" t="s">
        <v>481</v>
      </c>
      <c r="P31" s="81" t="s">
        <v>314</v>
      </c>
      <c r="Q31" s="84" t="s">
        <v>512</v>
      </c>
      <c r="R31" s="81" t="s">
        <v>353</v>
      </c>
      <c r="S31" s="81" t="s">
        <v>693</v>
      </c>
      <c r="T31" s="86" t="str">
        <f>HYPERLINK("http://www.youtube.com/channel/UCrRHeAGbtjROfUpoGxJKkLA")</f>
        <v>http://www.youtube.com/channel/UCrRHeAGbtjROfUpoGxJKkLA</v>
      </c>
      <c r="U31" s="81"/>
      <c r="V31" s="81" t="s">
        <v>839</v>
      </c>
      <c r="W31" s="86" t="str">
        <f>HYPERLINK("https://www.youtube.com/watch?v=Ci9JYIJstPY")</f>
        <v>https://www.youtube.com/watch?v=Ci9JYIJstPY</v>
      </c>
      <c r="X31" s="81" t="s">
        <v>840</v>
      </c>
      <c r="Y31" s="81">
        <v>3</v>
      </c>
      <c r="Z31" s="88">
        <v>44322.03775462963</v>
      </c>
      <c r="AA31" s="88">
        <v>44322.03775462963</v>
      </c>
      <c r="AB31" s="81"/>
      <c r="AC31" s="81"/>
      <c r="AD31" s="84" t="s">
        <v>843</v>
      </c>
      <c r="AE31" s="82">
        <v>1</v>
      </c>
      <c r="AF31" s="83" t="str">
        <f>REPLACE(INDEX(GroupVertices[Group],MATCH(Edges[[#This Row],[Vertex 1]],GroupVertices[Vertex],0)),1,1,"")</f>
        <v>1</v>
      </c>
      <c r="AG31" s="83" t="str">
        <f>REPLACE(INDEX(GroupVertices[Group],MATCH(Edges[[#This Row],[Vertex 2]],GroupVertices[Vertex],0)),1,1,"")</f>
        <v>1</v>
      </c>
      <c r="AH31" s="111">
        <v>1</v>
      </c>
      <c r="AI31" s="112">
        <v>3.125</v>
      </c>
      <c r="AJ31" s="111">
        <v>1</v>
      </c>
      <c r="AK31" s="112">
        <v>3.125</v>
      </c>
      <c r="AL31" s="111">
        <v>0</v>
      </c>
      <c r="AM31" s="112">
        <v>0</v>
      </c>
      <c r="AN31" s="111">
        <v>31</v>
      </c>
      <c r="AO31" s="112">
        <v>96.875</v>
      </c>
      <c r="AP31" s="111">
        <v>32</v>
      </c>
    </row>
    <row r="32" spans="1:42" ht="15">
      <c r="A32" s="65" t="s">
        <v>354</v>
      </c>
      <c r="B32" s="65" t="s">
        <v>479</v>
      </c>
      <c r="C32" s="66" t="s">
        <v>1613</v>
      </c>
      <c r="D32" s="67">
        <v>3</v>
      </c>
      <c r="E32" s="68"/>
      <c r="F32" s="69">
        <v>40</v>
      </c>
      <c r="G32" s="66"/>
      <c r="H32" s="70"/>
      <c r="I32" s="71"/>
      <c r="J32" s="71"/>
      <c r="K32" s="35" t="s">
        <v>65</v>
      </c>
      <c r="L32" s="79">
        <v>32</v>
      </c>
      <c r="M32" s="79"/>
      <c r="N32" s="73"/>
      <c r="O32" s="81" t="s">
        <v>481</v>
      </c>
      <c r="P32" s="81" t="s">
        <v>314</v>
      </c>
      <c r="Q32" s="84" t="s">
        <v>513</v>
      </c>
      <c r="R32" s="81" t="s">
        <v>354</v>
      </c>
      <c r="S32" s="81" t="s">
        <v>694</v>
      </c>
      <c r="T32" s="86" t="str">
        <f>HYPERLINK("http://www.youtube.com/channel/UCFtZFrT1qchibJXIm7Lg4yQ")</f>
        <v>http://www.youtube.com/channel/UCFtZFrT1qchibJXIm7Lg4yQ</v>
      </c>
      <c r="U32" s="81"/>
      <c r="V32" s="81" t="s">
        <v>839</v>
      </c>
      <c r="W32" s="86" t="str">
        <f>HYPERLINK("https://www.youtube.com/watch?v=Ci9JYIJstPY")</f>
        <v>https://www.youtube.com/watch?v=Ci9JYIJstPY</v>
      </c>
      <c r="X32" s="81" t="s">
        <v>840</v>
      </c>
      <c r="Y32" s="81">
        <v>3</v>
      </c>
      <c r="Z32" s="88">
        <v>44322.037835648145</v>
      </c>
      <c r="AA32" s="88">
        <v>44322.037835648145</v>
      </c>
      <c r="AB32" s="81"/>
      <c r="AC32" s="81"/>
      <c r="AD32" s="84" t="s">
        <v>843</v>
      </c>
      <c r="AE32" s="82">
        <v>1</v>
      </c>
      <c r="AF32" s="83" t="str">
        <f>REPLACE(INDEX(GroupVertices[Group],MATCH(Edges[[#This Row],[Vertex 1]],GroupVertices[Vertex],0)),1,1,"")</f>
        <v>1</v>
      </c>
      <c r="AG32" s="83" t="str">
        <f>REPLACE(INDEX(GroupVertices[Group],MATCH(Edges[[#This Row],[Vertex 2]],GroupVertices[Vertex],0)),1,1,"")</f>
        <v>1</v>
      </c>
      <c r="AH32" s="111">
        <v>2</v>
      </c>
      <c r="AI32" s="112">
        <v>40</v>
      </c>
      <c r="AJ32" s="111">
        <v>2</v>
      </c>
      <c r="AK32" s="112">
        <v>40</v>
      </c>
      <c r="AL32" s="111">
        <v>0</v>
      </c>
      <c r="AM32" s="112">
        <v>0</v>
      </c>
      <c r="AN32" s="111">
        <v>3</v>
      </c>
      <c r="AO32" s="112">
        <v>60</v>
      </c>
      <c r="AP32" s="111">
        <v>5</v>
      </c>
    </row>
    <row r="33" spans="1:42" ht="15">
      <c r="A33" s="65" t="s">
        <v>340</v>
      </c>
      <c r="B33" s="65" t="s">
        <v>479</v>
      </c>
      <c r="C33" s="66" t="s">
        <v>1613</v>
      </c>
      <c r="D33" s="67">
        <v>3</v>
      </c>
      <c r="E33" s="68"/>
      <c r="F33" s="69">
        <v>40</v>
      </c>
      <c r="G33" s="66"/>
      <c r="H33" s="70"/>
      <c r="I33" s="71"/>
      <c r="J33" s="71"/>
      <c r="K33" s="35" t="s">
        <v>65</v>
      </c>
      <c r="L33" s="79">
        <v>33</v>
      </c>
      <c r="M33" s="79"/>
      <c r="N33" s="73"/>
      <c r="O33" s="81" t="s">
        <v>481</v>
      </c>
      <c r="P33" s="81" t="s">
        <v>314</v>
      </c>
      <c r="Q33" s="84" t="s">
        <v>514</v>
      </c>
      <c r="R33" s="81" t="s">
        <v>340</v>
      </c>
      <c r="S33" s="81" t="s">
        <v>680</v>
      </c>
      <c r="T33" s="86" t="str">
        <f>HYPERLINK("http://www.youtube.com/channel/UCz12X8InPaYO_uCl0d6EtUA")</f>
        <v>http://www.youtube.com/channel/UCz12X8InPaYO_uCl0d6EtUA</v>
      </c>
      <c r="U33" s="81"/>
      <c r="V33" s="81" t="s">
        <v>839</v>
      </c>
      <c r="W33" s="86" t="str">
        <f>HYPERLINK("https://www.youtube.com/watch?v=Ci9JYIJstPY")</f>
        <v>https://www.youtube.com/watch?v=Ci9JYIJstPY</v>
      </c>
      <c r="X33" s="81" t="s">
        <v>840</v>
      </c>
      <c r="Y33" s="81">
        <v>1</v>
      </c>
      <c r="Z33" s="88">
        <v>44322.03797453704</v>
      </c>
      <c r="AA33" s="88">
        <v>44322.03797453704</v>
      </c>
      <c r="AB33" s="81"/>
      <c r="AC33" s="81"/>
      <c r="AD33" s="84" t="s">
        <v>843</v>
      </c>
      <c r="AE33" s="82">
        <v>1</v>
      </c>
      <c r="AF33" s="83" t="str">
        <f>REPLACE(INDEX(GroupVertices[Group],MATCH(Edges[[#This Row],[Vertex 1]],GroupVertices[Vertex],0)),1,1,"")</f>
        <v>2</v>
      </c>
      <c r="AG33" s="83" t="str">
        <f>REPLACE(INDEX(GroupVertices[Group],MATCH(Edges[[#This Row],[Vertex 2]],GroupVertices[Vertex],0)),1,1,"")</f>
        <v>1</v>
      </c>
      <c r="AH33" s="111">
        <v>0</v>
      </c>
      <c r="AI33" s="112">
        <v>0</v>
      </c>
      <c r="AJ33" s="111">
        <v>0</v>
      </c>
      <c r="AK33" s="112">
        <v>0</v>
      </c>
      <c r="AL33" s="111">
        <v>0</v>
      </c>
      <c r="AM33" s="112">
        <v>0</v>
      </c>
      <c r="AN33" s="111">
        <v>2</v>
      </c>
      <c r="AO33" s="112">
        <v>100</v>
      </c>
      <c r="AP33" s="111">
        <v>2</v>
      </c>
    </row>
    <row r="34" spans="1:42" ht="15">
      <c r="A34" s="65" t="s">
        <v>355</v>
      </c>
      <c r="B34" s="65" t="s">
        <v>357</v>
      </c>
      <c r="C34" s="66" t="s">
        <v>1613</v>
      </c>
      <c r="D34" s="67">
        <v>3</v>
      </c>
      <c r="E34" s="68"/>
      <c r="F34" s="69">
        <v>40</v>
      </c>
      <c r="G34" s="66"/>
      <c r="H34" s="70"/>
      <c r="I34" s="71"/>
      <c r="J34" s="71"/>
      <c r="K34" s="35" t="s">
        <v>65</v>
      </c>
      <c r="L34" s="79">
        <v>34</v>
      </c>
      <c r="M34" s="79"/>
      <c r="N34" s="73"/>
      <c r="O34" s="81" t="s">
        <v>482</v>
      </c>
      <c r="P34" s="81" t="s">
        <v>484</v>
      </c>
      <c r="Q34" s="84" t="s">
        <v>515</v>
      </c>
      <c r="R34" s="81" t="s">
        <v>355</v>
      </c>
      <c r="S34" s="81" t="s">
        <v>695</v>
      </c>
      <c r="T34" s="86" t="str">
        <f>HYPERLINK("http://www.youtube.com/channel/UCnoEi3PvX_Cy_sP37Sefn0w")</f>
        <v>http://www.youtube.com/channel/UCnoEi3PvX_Cy_sP37Sefn0w</v>
      </c>
      <c r="U34" s="81" t="s">
        <v>824</v>
      </c>
      <c r="V34" s="81" t="s">
        <v>839</v>
      </c>
      <c r="W34" s="86" t="str">
        <f>HYPERLINK("https://www.youtube.com/watch?v=Ci9JYIJstPY")</f>
        <v>https://www.youtube.com/watch?v=Ci9JYIJstPY</v>
      </c>
      <c r="X34" s="81" t="s">
        <v>840</v>
      </c>
      <c r="Y34" s="81">
        <v>2</v>
      </c>
      <c r="Z34" s="88">
        <v>44322.65006944445</v>
      </c>
      <c r="AA34" s="88">
        <v>44322.65006944445</v>
      </c>
      <c r="AB34" s="81"/>
      <c r="AC34" s="81"/>
      <c r="AD34" s="84" t="s">
        <v>843</v>
      </c>
      <c r="AE34" s="82">
        <v>1</v>
      </c>
      <c r="AF34" s="83" t="str">
        <f>REPLACE(INDEX(GroupVertices[Group],MATCH(Edges[[#This Row],[Vertex 1]],GroupVertices[Vertex],0)),1,1,"")</f>
        <v>8</v>
      </c>
      <c r="AG34" s="83" t="str">
        <f>REPLACE(INDEX(GroupVertices[Group],MATCH(Edges[[#This Row],[Vertex 2]],GroupVertices[Vertex],0)),1,1,"")</f>
        <v>8</v>
      </c>
      <c r="AH34" s="111">
        <v>1</v>
      </c>
      <c r="AI34" s="112">
        <v>11.11111111111111</v>
      </c>
      <c r="AJ34" s="111">
        <v>1</v>
      </c>
      <c r="AK34" s="112">
        <v>11.11111111111111</v>
      </c>
      <c r="AL34" s="111">
        <v>0</v>
      </c>
      <c r="AM34" s="112">
        <v>0</v>
      </c>
      <c r="AN34" s="111">
        <v>8</v>
      </c>
      <c r="AO34" s="112">
        <v>88.88888888888889</v>
      </c>
      <c r="AP34" s="111">
        <v>9</v>
      </c>
    </row>
    <row r="35" spans="1:42" ht="15">
      <c r="A35" s="65" t="s">
        <v>356</v>
      </c>
      <c r="B35" s="65" t="s">
        <v>357</v>
      </c>
      <c r="C35" s="66" t="s">
        <v>1613</v>
      </c>
      <c r="D35" s="67">
        <v>3</v>
      </c>
      <c r="E35" s="68"/>
      <c r="F35" s="69">
        <v>40</v>
      </c>
      <c r="G35" s="66"/>
      <c r="H35" s="70"/>
      <c r="I35" s="71"/>
      <c r="J35" s="71"/>
      <c r="K35" s="35" t="s">
        <v>65</v>
      </c>
      <c r="L35" s="79">
        <v>35</v>
      </c>
      <c r="M35" s="79"/>
      <c r="N35" s="73"/>
      <c r="O35" s="81" t="s">
        <v>482</v>
      </c>
      <c r="P35" s="81" t="s">
        <v>484</v>
      </c>
      <c r="Q35" s="84" t="s">
        <v>516</v>
      </c>
      <c r="R35" s="81" t="s">
        <v>356</v>
      </c>
      <c r="S35" s="81" t="s">
        <v>696</v>
      </c>
      <c r="T35" s="86" t="str">
        <f>HYPERLINK("http://www.youtube.com/channel/UCBBQVtSH7RfBLgLiLplXdsw")</f>
        <v>http://www.youtube.com/channel/UCBBQVtSH7RfBLgLiLplXdsw</v>
      </c>
      <c r="U35" s="81" t="s">
        <v>824</v>
      </c>
      <c r="V35" s="81" t="s">
        <v>839</v>
      </c>
      <c r="W35" s="86" t="str">
        <f>HYPERLINK("https://www.youtube.com/watch?v=Ci9JYIJstPY")</f>
        <v>https://www.youtube.com/watch?v=Ci9JYIJstPY</v>
      </c>
      <c r="X35" s="81" t="s">
        <v>840</v>
      </c>
      <c r="Y35" s="81">
        <v>1</v>
      </c>
      <c r="Z35" s="88">
        <v>44322.94795138889</v>
      </c>
      <c r="AA35" s="88">
        <v>44322.94795138889</v>
      </c>
      <c r="AB35" s="81"/>
      <c r="AC35" s="81"/>
      <c r="AD35" s="84" t="s">
        <v>843</v>
      </c>
      <c r="AE35" s="82">
        <v>1</v>
      </c>
      <c r="AF35" s="83" t="str">
        <f>REPLACE(INDEX(GroupVertices[Group],MATCH(Edges[[#This Row],[Vertex 1]],GroupVertices[Vertex],0)),1,1,"")</f>
        <v>8</v>
      </c>
      <c r="AG35" s="83" t="str">
        <f>REPLACE(INDEX(GroupVertices[Group],MATCH(Edges[[#This Row],[Vertex 2]],GroupVertices[Vertex],0)),1,1,"")</f>
        <v>8</v>
      </c>
      <c r="AH35" s="111">
        <v>0</v>
      </c>
      <c r="AI35" s="112">
        <v>0</v>
      </c>
      <c r="AJ35" s="111">
        <v>2</v>
      </c>
      <c r="AK35" s="112">
        <v>16.666666666666668</v>
      </c>
      <c r="AL35" s="111">
        <v>0</v>
      </c>
      <c r="AM35" s="112">
        <v>0</v>
      </c>
      <c r="AN35" s="111">
        <v>10</v>
      </c>
      <c r="AO35" s="112">
        <v>83.33333333333333</v>
      </c>
      <c r="AP35" s="111">
        <v>12</v>
      </c>
    </row>
    <row r="36" spans="1:42" ht="15">
      <c r="A36" s="65" t="s">
        <v>357</v>
      </c>
      <c r="B36" s="65" t="s">
        <v>479</v>
      </c>
      <c r="C36" s="66" t="s">
        <v>1613</v>
      </c>
      <c r="D36" s="67">
        <v>3</v>
      </c>
      <c r="E36" s="68"/>
      <c r="F36" s="69">
        <v>40</v>
      </c>
      <c r="G36" s="66"/>
      <c r="H36" s="70"/>
      <c r="I36" s="71"/>
      <c r="J36" s="71"/>
      <c r="K36" s="35" t="s">
        <v>65</v>
      </c>
      <c r="L36" s="79">
        <v>36</v>
      </c>
      <c r="M36" s="79"/>
      <c r="N36" s="73"/>
      <c r="O36" s="81" t="s">
        <v>481</v>
      </c>
      <c r="P36" s="81" t="s">
        <v>314</v>
      </c>
      <c r="Q36" s="84" t="s">
        <v>517</v>
      </c>
      <c r="R36" s="81" t="s">
        <v>357</v>
      </c>
      <c r="S36" s="81" t="s">
        <v>697</v>
      </c>
      <c r="T36" s="86" t="str">
        <f>HYPERLINK("http://www.youtube.com/channel/UC553r5zKT7KkG7bdWAt3XuA")</f>
        <v>http://www.youtube.com/channel/UC553r5zKT7KkG7bdWAt3XuA</v>
      </c>
      <c r="U36" s="81"/>
      <c r="V36" s="81" t="s">
        <v>839</v>
      </c>
      <c r="W36" s="86" t="str">
        <f>HYPERLINK("https://www.youtube.com/watch?v=Ci9JYIJstPY")</f>
        <v>https://www.youtube.com/watch?v=Ci9JYIJstPY</v>
      </c>
      <c r="X36" s="81" t="s">
        <v>840</v>
      </c>
      <c r="Y36" s="81">
        <v>34</v>
      </c>
      <c r="Z36" s="88">
        <v>44322.037986111114</v>
      </c>
      <c r="AA36" s="88">
        <v>44322.037986111114</v>
      </c>
      <c r="AB36" s="81"/>
      <c r="AC36" s="81"/>
      <c r="AD36" s="84" t="s">
        <v>843</v>
      </c>
      <c r="AE36" s="82">
        <v>1</v>
      </c>
      <c r="AF36" s="83" t="str">
        <f>REPLACE(INDEX(GroupVertices[Group],MATCH(Edges[[#This Row],[Vertex 1]],GroupVertices[Vertex],0)),1,1,"")</f>
        <v>8</v>
      </c>
      <c r="AG36" s="83" t="str">
        <f>REPLACE(INDEX(GroupVertices[Group],MATCH(Edges[[#This Row],[Vertex 2]],GroupVertices[Vertex],0)),1,1,"")</f>
        <v>1</v>
      </c>
      <c r="AH36" s="111">
        <v>1</v>
      </c>
      <c r="AI36" s="112">
        <v>4</v>
      </c>
      <c r="AJ36" s="111">
        <v>3</v>
      </c>
      <c r="AK36" s="112">
        <v>12</v>
      </c>
      <c r="AL36" s="111">
        <v>0</v>
      </c>
      <c r="AM36" s="112">
        <v>0</v>
      </c>
      <c r="AN36" s="111">
        <v>22</v>
      </c>
      <c r="AO36" s="112">
        <v>88</v>
      </c>
      <c r="AP36" s="111">
        <v>25</v>
      </c>
    </row>
    <row r="37" spans="1:42" ht="15">
      <c r="A37" s="65" t="s">
        <v>358</v>
      </c>
      <c r="B37" s="65" t="s">
        <v>479</v>
      </c>
      <c r="C37" s="66" t="s">
        <v>1613</v>
      </c>
      <c r="D37" s="67">
        <v>3</v>
      </c>
      <c r="E37" s="68"/>
      <c r="F37" s="69">
        <v>40</v>
      </c>
      <c r="G37" s="66"/>
      <c r="H37" s="70"/>
      <c r="I37" s="71"/>
      <c r="J37" s="71"/>
      <c r="K37" s="35" t="s">
        <v>65</v>
      </c>
      <c r="L37" s="79">
        <v>37</v>
      </c>
      <c r="M37" s="79"/>
      <c r="N37" s="73"/>
      <c r="O37" s="81" t="s">
        <v>481</v>
      </c>
      <c r="P37" s="81" t="s">
        <v>314</v>
      </c>
      <c r="Q37" s="84" t="s">
        <v>518</v>
      </c>
      <c r="R37" s="81" t="s">
        <v>358</v>
      </c>
      <c r="S37" s="81" t="s">
        <v>698</v>
      </c>
      <c r="T37" s="86" t="str">
        <f>HYPERLINK("http://www.youtube.com/channel/UC9lCFBbUwe9g39h0aw0XLNQ")</f>
        <v>http://www.youtube.com/channel/UC9lCFBbUwe9g39h0aw0XLNQ</v>
      </c>
      <c r="U37" s="81"/>
      <c r="V37" s="81" t="s">
        <v>839</v>
      </c>
      <c r="W37" s="86" t="str">
        <f>HYPERLINK("https://www.youtube.com/watch?v=Ci9JYIJstPY")</f>
        <v>https://www.youtube.com/watch?v=Ci9JYIJstPY</v>
      </c>
      <c r="X37" s="81" t="s">
        <v>840</v>
      </c>
      <c r="Y37" s="81">
        <v>0</v>
      </c>
      <c r="Z37" s="88">
        <v>44322.037986111114</v>
      </c>
      <c r="AA37" s="88">
        <v>44322.037986111114</v>
      </c>
      <c r="AB37" s="81"/>
      <c r="AC37" s="81"/>
      <c r="AD37" s="84" t="s">
        <v>843</v>
      </c>
      <c r="AE37" s="82">
        <v>1</v>
      </c>
      <c r="AF37" s="83" t="str">
        <f>REPLACE(INDEX(GroupVertices[Group],MATCH(Edges[[#This Row],[Vertex 1]],GroupVertices[Vertex],0)),1,1,"")</f>
        <v>1</v>
      </c>
      <c r="AG37" s="83" t="str">
        <f>REPLACE(INDEX(GroupVertices[Group],MATCH(Edges[[#This Row],[Vertex 2]],GroupVertices[Vertex],0)),1,1,"")</f>
        <v>1</v>
      </c>
      <c r="AH37" s="111">
        <v>1</v>
      </c>
      <c r="AI37" s="112">
        <v>50</v>
      </c>
      <c r="AJ37" s="111">
        <v>1</v>
      </c>
      <c r="AK37" s="112">
        <v>50</v>
      </c>
      <c r="AL37" s="111">
        <v>0</v>
      </c>
      <c r="AM37" s="112">
        <v>0</v>
      </c>
      <c r="AN37" s="111">
        <v>1</v>
      </c>
      <c r="AO37" s="112">
        <v>50</v>
      </c>
      <c r="AP37" s="111">
        <v>2</v>
      </c>
    </row>
    <row r="38" spans="1:42" ht="15">
      <c r="A38" s="65" t="s">
        <v>359</v>
      </c>
      <c r="B38" s="65" t="s">
        <v>479</v>
      </c>
      <c r="C38" s="66" t="s">
        <v>1613</v>
      </c>
      <c r="D38" s="67">
        <v>3</v>
      </c>
      <c r="E38" s="68"/>
      <c r="F38" s="69">
        <v>40</v>
      </c>
      <c r="G38" s="66"/>
      <c r="H38" s="70"/>
      <c r="I38" s="71"/>
      <c r="J38" s="71"/>
      <c r="K38" s="35" t="s">
        <v>65</v>
      </c>
      <c r="L38" s="79">
        <v>38</v>
      </c>
      <c r="M38" s="79"/>
      <c r="N38" s="73"/>
      <c r="O38" s="81" t="s">
        <v>481</v>
      </c>
      <c r="P38" s="81" t="s">
        <v>314</v>
      </c>
      <c r="Q38" s="84" t="s">
        <v>519</v>
      </c>
      <c r="R38" s="81" t="s">
        <v>359</v>
      </c>
      <c r="S38" s="81" t="s">
        <v>699</v>
      </c>
      <c r="T38" s="86" t="str">
        <f>HYPERLINK("http://www.youtube.com/channel/UC14Bw1lEduGx4Ier_6EFzFA")</f>
        <v>http://www.youtube.com/channel/UC14Bw1lEduGx4Ier_6EFzFA</v>
      </c>
      <c r="U38" s="81"/>
      <c r="V38" s="81" t="s">
        <v>839</v>
      </c>
      <c r="W38" s="86" t="str">
        <f>HYPERLINK("https://www.youtube.com/watch?v=Ci9JYIJstPY")</f>
        <v>https://www.youtube.com/watch?v=Ci9JYIJstPY</v>
      </c>
      <c r="X38" s="81" t="s">
        <v>840</v>
      </c>
      <c r="Y38" s="81">
        <v>5</v>
      </c>
      <c r="Z38" s="88">
        <v>44322.03896990741</v>
      </c>
      <c r="AA38" s="88">
        <v>44322.03896990741</v>
      </c>
      <c r="AB38" s="81"/>
      <c r="AC38" s="81"/>
      <c r="AD38" s="84" t="s">
        <v>843</v>
      </c>
      <c r="AE38" s="82">
        <v>1</v>
      </c>
      <c r="AF38" s="83" t="str">
        <f>REPLACE(INDEX(GroupVertices[Group],MATCH(Edges[[#This Row],[Vertex 1]],GroupVertices[Vertex],0)),1,1,"")</f>
        <v>1</v>
      </c>
      <c r="AG38" s="83" t="str">
        <f>REPLACE(INDEX(GroupVertices[Group],MATCH(Edges[[#This Row],[Vertex 2]],GroupVertices[Vertex],0)),1,1,"")</f>
        <v>1</v>
      </c>
      <c r="AH38" s="111">
        <v>1</v>
      </c>
      <c r="AI38" s="112">
        <v>11.11111111111111</v>
      </c>
      <c r="AJ38" s="111">
        <v>1</v>
      </c>
      <c r="AK38" s="112">
        <v>11.11111111111111</v>
      </c>
      <c r="AL38" s="111">
        <v>0</v>
      </c>
      <c r="AM38" s="112">
        <v>0</v>
      </c>
      <c r="AN38" s="111">
        <v>7</v>
      </c>
      <c r="AO38" s="112">
        <v>77.77777777777777</v>
      </c>
      <c r="AP38" s="111">
        <v>9</v>
      </c>
    </row>
    <row r="39" spans="1:42" ht="15">
      <c r="A39" s="65" t="s">
        <v>360</v>
      </c>
      <c r="B39" s="65" t="s">
        <v>479</v>
      </c>
      <c r="C39" s="66" t="s">
        <v>1613</v>
      </c>
      <c r="D39" s="67">
        <v>3</v>
      </c>
      <c r="E39" s="68"/>
      <c r="F39" s="69">
        <v>40</v>
      </c>
      <c r="G39" s="66"/>
      <c r="H39" s="70"/>
      <c r="I39" s="71"/>
      <c r="J39" s="71"/>
      <c r="K39" s="35" t="s">
        <v>65</v>
      </c>
      <c r="L39" s="79">
        <v>39</v>
      </c>
      <c r="M39" s="79"/>
      <c r="N39" s="73"/>
      <c r="O39" s="81" t="s">
        <v>481</v>
      </c>
      <c r="P39" s="81" t="s">
        <v>314</v>
      </c>
      <c r="Q39" s="84" t="s">
        <v>520</v>
      </c>
      <c r="R39" s="81" t="s">
        <v>360</v>
      </c>
      <c r="S39" s="81" t="s">
        <v>700</v>
      </c>
      <c r="T39" s="86" t="str">
        <f>HYPERLINK("http://www.youtube.com/channel/UCpvC0AYTJDYzRx8Fo0Sjwng")</f>
        <v>http://www.youtube.com/channel/UCpvC0AYTJDYzRx8Fo0Sjwng</v>
      </c>
      <c r="U39" s="81"/>
      <c r="V39" s="81" t="s">
        <v>839</v>
      </c>
      <c r="W39" s="86" t="str">
        <f>HYPERLINK("https://www.youtube.com/watch?v=Ci9JYIJstPY")</f>
        <v>https://www.youtube.com/watch?v=Ci9JYIJstPY</v>
      </c>
      <c r="X39" s="81" t="s">
        <v>840</v>
      </c>
      <c r="Y39" s="81">
        <v>12</v>
      </c>
      <c r="Z39" s="88">
        <v>44322.04194444444</v>
      </c>
      <c r="AA39" s="88">
        <v>44322.04194444444</v>
      </c>
      <c r="AB39" s="81"/>
      <c r="AC39" s="81"/>
      <c r="AD39" s="84" t="s">
        <v>843</v>
      </c>
      <c r="AE39" s="82">
        <v>1</v>
      </c>
      <c r="AF39" s="83" t="str">
        <f>REPLACE(INDEX(GroupVertices[Group],MATCH(Edges[[#This Row],[Vertex 1]],GroupVertices[Vertex],0)),1,1,"")</f>
        <v>1</v>
      </c>
      <c r="AG39" s="83" t="str">
        <f>REPLACE(INDEX(GroupVertices[Group],MATCH(Edges[[#This Row],[Vertex 2]],GroupVertices[Vertex],0)),1,1,"")</f>
        <v>1</v>
      </c>
      <c r="AH39" s="111">
        <v>1</v>
      </c>
      <c r="AI39" s="112">
        <v>5.555555555555555</v>
      </c>
      <c r="AJ39" s="111">
        <v>2</v>
      </c>
      <c r="AK39" s="112">
        <v>11.11111111111111</v>
      </c>
      <c r="AL39" s="111">
        <v>0</v>
      </c>
      <c r="AM39" s="112">
        <v>0</v>
      </c>
      <c r="AN39" s="111">
        <v>15</v>
      </c>
      <c r="AO39" s="112">
        <v>83.33333333333333</v>
      </c>
      <c r="AP39" s="111">
        <v>18</v>
      </c>
    </row>
    <row r="40" spans="1:42" ht="15">
      <c r="A40" s="65" t="s">
        <v>361</v>
      </c>
      <c r="B40" s="65" t="s">
        <v>479</v>
      </c>
      <c r="C40" s="66" t="s">
        <v>1613</v>
      </c>
      <c r="D40" s="67">
        <v>3</v>
      </c>
      <c r="E40" s="68"/>
      <c r="F40" s="69">
        <v>40</v>
      </c>
      <c r="G40" s="66"/>
      <c r="H40" s="70"/>
      <c r="I40" s="71"/>
      <c r="J40" s="71"/>
      <c r="K40" s="35" t="s">
        <v>65</v>
      </c>
      <c r="L40" s="79">
        <v>40</v>
      </c>
      <c r="M40" s="79"/>
      <c r="N40" s="73"/>
      <c r="O40" s="81" t="s">
        <v>481</v>
      </c>
      <c r="P40" s="81" t="s">
        <v>314</v>
      </c>
      <c r="Q40" s="84" t="s">
        <v>521</v>
      </c>
      <c r="R40" s="81" t="s">
        <v>361</v>
      </c>
      <c r="S40" s="81" t="s">
        <v>701</v>
      </c>
      <c r="T40" s="86" t="str">
        <f>HYPERLINK("http://www.youtube.com/channel/UCBZhB7BmkDyoSkITH78tBJg")</f>
        <v>http://www.youtube.com/channel/UCBZhB7BmkDyoSkITH78tBJg</v>
      </c>
      <c r="U40" s="81"/>
      <c r="V40" s="81" t="s">
        <v>839</v>
      </c>
      <c r="W40" s="86" t="str">
        <f>HYPERLINK("https://www.youtube.com/watch?v=Ci9JYIJstPY")</f>
        <v>https://www.youtube.com/watch?v=Ci9JYIJstPY</v>
      </c>
      <c r="X40" s="81" t="s">
        <v>840</v>
      </c>
      <c r="Y40" s="81">
        <v>1</v>
      </c>
      <c r="Z40" s="88">
        <v>44322.04256944444</v>
      </c>
      <c r="AA40" s="88">
        <v>44322.04256944444</v>
      </c>
      <c r="AB40" s="81"/>
      <c r="AC40" s="81"/>
      <c r="AD40" s="84" t="s">
        <v>843</v>
      </c>
      <c r="AE40" s="82">
        <v>1</v>
      </c>
      <c r="AF40" s="83" t="str">
        <f>REPLACE(INDEX(GroupVertices[Group],MATCH(Edges[[#This Row],[Vertex 1]],GroupVertices[Vertex],0)),1,1,"")</f>
        <v>1</v>
      </c>
      <c r="AG40" s="83" t="str">
        <f>REPLACE(INDEX(GroupVertices[Group],MATCH(Edges[[#This Row],[Vertex 2]],GroupVertices[Vertex],0)),1,1,"")</f>
        <v>1</v>
      </c>
      <c r="AH40" s="111">
        <v>1</v>
      </c>
      <c r="AI40" s="112">
        <v>100</v>
      </c>
      <c r="AJ40" s="111">
        <v>1</v>
      </c>
      <c r="AK40" s="112">
        <v>100</v>
      </c>
      <c r="AL40" s="111">
        <v>0</v>
      </c>
      <c r="AM40" s="112">
        <v>0</v>
      </c>
      <c r="AN40" s="111">
        <v>0</v>
      </c>
      <c r="AO40" s="112">
        <v>0</v>
      </c>
      <c r="AP40" s="111">
        <v>1</v>
      </c>
    </row>
    <row r="41" spans="1:42" ht="15">
      <c r="A41" s="65" t="s">
        <v>362</v>
      </c>
      <c r="B41" s="65" t="s">
        <v>363</v>
      </c>
      <c r="C41" s="66" t="s">
        <v>1614</v>
      </c>
      <c r="D41" s="67">
        <v>3</v>
      </c>
      <c r="E41" s="68"/>
      <c r="F41" s="69">
        <v>40</v>
      </c>
      <c r="G41" s="66"/>
      <c r="H41" s="70"/>
      <c r="I41" s="71"/>
      <c r="J41" s="71"/>
      <c r="K41" s="35" t="s">
        <v>65</v>
      </c>
      <c r="L41" s="79">
        <v>41</v>
      </c>
      <c r="M41" s="79"/>
      <c r="N41" s="73"/>
      <c r="O41" s="81" t="s">
        <v>482</v>
      </c>
      <c r="P41" s="81" t="s">
        <v>484</v>
      </c>
      <c r="Q41" s="84" t="s">
        <v>522</v>
      </c>
      <c r="R41" s="81" t="s">
        <v>362</v>
      </c>
      <c r="S41" s="81" t="s">
        <v>702</v>
      </c>
      <c r="T41" s="86" t="str">
        <f>HYPERLINK("http://www.youtube.com/channel/UCDnbk1vF_Xsm-Aez4PiQJmg")</f>
        <v>http://www.youtube.com/channel/UCDnbk1vF_Xsm-Aez4PiQJmg</v>
      </c>
      <c r="U41" s="81" t="s">
        <v>825</v>
      </c>
      <c r="V41" s="81" t="s">
        <v>839</v>
      </c>
      <c r="W41" s="86" t="str">
        <f>HYPERLINK("https://www.youtube.com/watch?v=Ci9JYIJstPY")</f>
        <v>https://www.youtube.com/watch?v=Ci9JYIJstPY</v>
      </c>
      <c r="X41" s="81" t="s">
        <v>840</v>
      </c>
      <c r="Y41" s="81">
        <v>2</v>
      </c>
      <c r="Z41" s="88">
        <v>44322.07011574074</v>
      </c>
      <c r="AA41" s="88">
        <v>44322.07011574074</v>
      </c>
      <c r="AB41" s="81"/>
      <c r="AC41" s="81"/>
      <c r="AD41" s="84" t="s">
        <v>843</v>
      </c>
      <c r="AE41" s="82">
        <v>2</v>
      </c>
      <c r="AF41" s="83" t="str">
        <f>REPLACE(INDEX(GroupVertices[Group],MATCH(Edges[[#This Row],[Vertex 1]],GroupVertices[Vertex],0)),1,1,"")</f>
        <v>16</v>
      </c>
      <c r="AG41" s="83" t="str">
        <f>REPLACE(INDEX(GroupVertices[Group],MATCH(Edges[[#This Row],[Vertex 2]],GroupVertices[Vertex],0)),1,1,"")</f>
        <v>16</v>
      </c>
      <c r="AH41" s="111">
        <v>1</v>
      </c>
      <c r="AI41" s="112">
        <v>6.25</v>
      </c>
      <c r="AJ41" s="111">
        <v>0</v>
      </c>
      <c r="AK41" s="112">
        <v>0</v>
      </c>
      <c r="AL41" s="111">
        <v>0</v>
      </c>
      <c r="AM41" s="112">
        <v>0</v>
      </c>
      <c r="AN41" s="111">
        <v>15</v>
      </c>
      <c r="AO41" s="112">
        <v>93.75</v>
      </c>
      <c r="AP41" s="111">
        <v>16</v>
      </c>
    </row>
    <row r="42" spans="1:42" ht="15">
      <c r="A42" s="65" t="s">
        <v>362</v>
      </c>
      <c r="B42" s="65" t="s">
        <v>363</v>
      </c>
      <c r="C42" s="66" t="s">
        <v>1614</v>
      </c>
      <c r="D42" s="67">
        <v>3</v>
      </c>
      <c r="E42" s="68"/>
      <c r="F42" s="69">
        <v>40</v>
      </c>
      <c r="G42" s="66"/>
      <c r="H42" s="70"/>
      <c r="I42" s="71"/>
      <c r="J42" s="71"/>
      <c r="K42" s="35" t="s">
        <v>65</v>
      </c>
      <c r="L42" s="79">
        <v>42</v>
      </c>
      <c r="M42" s="79"/>
      <c r="N42" s="73"/>
      <c r="O42" s="81" t="s">
        <v>482</v>
      </c>
      <c r="P42" s="81" t="s">
        <v>484</v>
      </c>
      <c r="Q42" s="84" t="s">
        <v>523</v>
      </c>
      <c r="R42" s="81" t="s">
        <v>362</v>
      </c>
      <c r="S42" s="81" t="s">
        <v>702</v>
      </c>
      <c r="T42" s="86" t="str">
        <f>HYPERLINK("http://www.youtube.com/channel/UCDnbk1vF_Xsm-Aez4PiQJmg")</f>
        <v>http://www.youtube.com/channel/UCDnbk1vF_Xsm-Aez4PiQJmg</v>
      </c>
      <c r="U42" s="81" t="s">
        <v>825</v>
      </c>
      <c r="V42" s="81" t="s">
        <v>839</v>
      </c>
      <c r="W42" s="86" t="str">
        <f>HYPERLINK("https://www.youtube.com/watch?v=Ci9JYIJstPY")</f>
        <v>https://www.youtube.com/watch?v=Ci9JYIJstPY</v>
      </c>
      <c r="X42" s="81" t="s">
        <v>840</v>
      </c>
      <c r="Y42" s="81">
        <v>3</v>
      </c>
      <c r="Z42" s="88">
        <v>44322.07067129629</v>
      </c>
      <c r="AA42" s="88">
        <v>44322.07067129629</v>
      </c>
      <c r="AB42" s="81"/>
      <c r="AC42" s="81"/>
      <c r="AD42" s="84" t="s">
        <v>843</v>
      </c>
      <c r="AE42" s="82">
        <v>2</v>
      </c>
      <c r="AF42" s="83" t="str">
        <f>REPLACE(INDEX(GroupVertices[Group],MATCH(Edges[[#This Row],[Vertex 1]],GroupVertices[Vertex],0)),1,1,"")</f>
        <v>16</v>
      </c>
      <c r="AG42" s="83" t="str">
        <f>REPLACE(INDEX(GroupVertices[Group],MATCH(Edges[[#This Row],[Vertex 2]],GroupVertices[Vertex],0)),1,1,"")</f>
        <v>16</v>
      </c>
      <c r="AH42" s="111">
        <v>1</v>
      </c>
      <c r="AI42" s="112">
        <v>100</v>
      </c>
      <c r="AJ42" s="111">
        <v>0</v>
      </c>
      <c r="AK42" s="112">
        <v>0</v>
      </c>
      <c r="AL42" s="111">
        <v>0</v>
      </c>
      <c r="AM42" s="112">
        <v>0</v>
      </c>
      <c r="AN42" s="111">
        <v>0</v>
      </c>
      <c r="AO42" s="112">
        <v>0</v>
      </c>
      <c r="AP42" s="111">
        <v>1</v>
      </c>
    </row>
    <row r="43" spans="1:42" ht="15">
      <c r="A43" s="65" t="s">
        <v>363</v>
      </c>
      <c r="B43" s="65" t="s">
        <v>479</v>
      </c>
      <c r="C43" s="66" t="s">
        <v>1613</v>
      </c>
      <c r="D43" s="67">
        <v>3</v>
      </c>
      <c r="E43" s="68"/>
      <c r="F43" s="69">
        <v>40</v>
      </c>
      <c r="G43" s="66"/>
      <c r="H43" s="70"/>
      <c r="I43" s="71"/>
      <c r="J43" s="71"/>
      <c r="K43" s="35" t="s">
        <v>65</v>
      </c>
      <c r="L43" s="79">
        <v>43</v>
      </c>
      <c r="M43" s="79"/>
      <c r="N43" s="73"/>
      <c r="O43" s="81" t="s">
        <v>481</v>
      </c>
      <c r="P43" s="81" t="s">
        <v>314</v>
      </c>
      <c r="Q43" s="84" t="s">
        <v>524</v>
      </c>
      <c r="R43" s="81" t="s">
        <v>363</v>
      </c>
      <c r="S43" s="81" t="s">
        <v>703</v>
      </c>
      <c r="T43" s="86" t="str">
        <f>HYPERLINK("http://www.youtube.com/channel/UCBi2S797df91VqaRzGfntUA")</f>
        <v>http://www.youtube.com/channel/UCBi2S797df91VqaRzGfntUA</v>
      </c>
      <c r="U43" s="81"/>
      <c r="V43" s="81" t="s">
        <v>839</v>
      </c>
      <c r="W43" s="86" t="str">
        <f>HYPERLINK("https://www.youtube.com/watch?v=Ci9JYIJstPY")</f>
        <v>https://www.youtube.com/watch?v=Ci9JYIJstPY</v>
      </c>
      <c r="X43" s="81" t="s">
        <v>840</v>
      </c>
      <c r="Y43" s="81">
        <v>8</v>
      </c>
      <c r="Z43" s="88">
        <v>44322.042766203704</v>
      </c>
      <c r="AA43" s="88">
        <v>44322.042766203704</v>
      </c>
      <c r="AB43" s="81"/>
      <c r="AC43" s="81"/>
      <c r="AD43" s="84" t="s">
        <v>843</v>
      </c>
      <c r="AE43" s="82">
        <v>1</v>
      </c>
      <c r="AF43" s="83" t="str">
        <f>REPLACE(INDEX(GroupVertices[Group],MATCH(Edges[[#This Row],[Vertex 1]],GroupVertices[Vertex],0)),1,1,"")</f>
        <v>16</v>
      </c>
      <c r="AG43" s="83" t="str">
        <f>REPLACE(INDEX(GroupVertices[Group],MATCH(Edges[[#This Row],[Vertex 2]],GroupVertices[Vertex],0)),1,1,"")</f>
        <v>1</v>
      </c>
      <c r="AH43" s="111">
        <v>6</v>
      </c>
      <c r="AI43" s="112">
        <v>11.11111111111111</v>
      </c>
      <c r="AJ43" s="111">
        <v>6</v>
      </c>
      <c r="AK43" s="112">
        <v>11.11111111111111</v>
      </c>
      <c r="AL43" s="111">
        <v>0</v>
      </c>
      <c r="AM43" s="112">
        <v>0</v>
      </c>
      <c r="AN43" s="111">
        <v>47</v>
      </c>
      <c r="AO43" s="112">
        <v>87.03703703703704</v>
      </c>
      <c r="AP43" s="111">
        <v>54</v>
      </c>
    </row>
    <row r="44" spans="1:42" ht="15">
      <c r="A44" s="65" t="s">
        <v>364</v>
      </c>
      <c r="B44" s="65" t="s">
        <v>479</v>
      </c>
      <c r="C44" s="66" t="s">
        <v>1613</v>
      </c>
      <c r="D44" s="67">
        <v>3</v>
      </c>
      <c r="E44" s="68"/>
      <c r="F44" s="69">
        <v>40</v>
      </c>
      <c r="G44" s="66"/>
      <c r="H44" s="70"/>
      <c r="I44" s="71"/>
      <c r="J44" s="71"/>
      <c r="K44" s="35" t="s">
        <v>65</v>
      </c>
      <c r="L44" s="79">
        <v>44</v>
      </c>
      <c r="M44" s="79"/>
      <c r="N44" s="73"/>
      <c r="O44" s="81" t="s">
        <v>481</v>
      </c>
      <c r="P44" s="81" t="s">
        <v>314</v>
      </c>
      <c r="Q44" s="84" t="s">
        <v>525</v>
      </c>
      <c r="R44" s="81" t="s">
        <v>364</v>
      </c>
      <c r="S44" s="81" t="s">
        <v>704</v>
      </c>
      <c r="T44" s="86" t="str">
        <f>HYPERLINK("http://www.youtube.com/channel/UCFi5-VNJF_wWECWQug1R2rg")</f>
        <v>http://www.youtube.com/channel/UCFi5-VNJF_wWECWQug1R2rg</v>
      </c>
      <c r="U44" s="81"/>
      <c r="V44" s="81" t="s">
        <v>839</v>
      </c>
      <c r="W44" s="86" t="str">
        <f>HYPERLINK("https://www.youtube.com/watch?v=Ci9JYIJstPY")</f>
        <v>https://www.youtube.com/watch?v=Ci9JYIJstPY</v>
      </c>
      <c r="X44" s="81" t="s">
        <v>840</v>
      </c>
      <c r="Y44" s="81">
        <v>0</v>
      </c>
      <c r="Z44" s="88">
        <v>44322.045011574075</v>
      </c>
      <c r="AA44" s="88">
        <v>44322.045011574075</v>
      </c>
      <c r="AB44" s="81"/>
      <c r="AC44" s="81"/>
      <c r="AD44" s="84" t="s">
        <v>843</v>
      </c>
      <c r="AE44" s="82">
        <v>1</v>
      </c>
      <c r="AF44" s="83" t="str">
        <f>REPLACE(INDEX(GroupVertices[Group],MATCH(Edges[[#This Row],[Vertex 1]],GroupVertices[Vertex],0)),1,1,"")</f>
        <v>1</v>
      </c>
      <c r="AG44" s="83" t="str">
        <f>REPLACE(INDEX(GroupVertices[Group],MATCH(Edges[[#This Row],[Vertex 2]],GroupVertices[Vertex],0)),1,1,"")</f>
        <v>1</v>
      </c>
      <c r="AH44" s="111">
        <v>2</v>
      </c>
      <c r="AI44" s="112">
        <v>5.882352941176471</v>
      </c>
      <c r="AJ44" s="111">
        <v>1</v>
      </c>
      <c r="AK44" s="112">
        <v>2.9411764705882355</v>
      </c>
      <c r="AL44" s="111">
        <v>0</v>
      </c>
      <c r="AM44" s="112">
        <v>0</v>
      </c>
      <c r="AN44" s="111">
        <v>31</v>
      </c>
      <c r="AO44" s="112">
        <v>91.17647058823529</v>
      </c>
      <c r="AP44" s="111">
        <v>34</v>
      </c>
    </row>
    <row r="45" spans="1:42" ht="15">
      <c r="A45" s="65" t="s">
        <v>365</v>
      </c>
      <c r="B45" s="65" t="s">
        <v>479</v>
      </c>
      <c r="C45" s="66" t="s">
        <v>1613</v>
      </c>
      <c r="D45" s="67">
        <v>3</v>
      </c>
      <c r="E45" s="68"/>
      <c r="F45" s="69">
        <v>40</v>
      </c>
      <c r="G45" s="66"/>
      <c r="H45" s="70"/>
      <c r="I45" s="71"/>
      <c r="J45" s="71"/>
      <c r="K45" s="35" t="s">
        <v>65</v>
      </c>
      <c r="L45" s="79">
        <v>45</v>
      </c>
      <c r="M45" s="79"/>
      <c r="N45" s="73"/>
      <c r="O45" s="81" t="s">
        <v>481</v>
      </c>
      <c r="P45" s="81" t="s">
        <v>314</v>
      </c>
      <c r="Q45" s="84" t="s">
        <v>526</v>
      </c>
      <c r="R45" s="81" t="s">
        <v>365</v>
      </c>
      <c r="S45" s="81" t="s">
        <v>705</v>
      </c>
      <c r="T45" s="86" t="str">
        <f>HYPERLINK("http://www.youtube.com/channel/UCmyT5zEwZIom3D-P8z41MaA")</f>
        <v>http://www.youtube.com/channel/UCmyT5zEwZIom3D-P8z41MaA</v>
      </c>
      <c r="U45" s="81"/>
      <c r="V45" s="81" t="s">
        <v>839</v>
      </c>
      <c r="W45" s="86" t="str">
        <f>HYPERLINK("https://www.youtube.com/watch?v=Ci9JYIJstPY")</f>
        <v>https://www.youtube.com/watch?v=Ci9JYIJstPY</v>
      </c>
      <c r="X45" s="81" t="s">
        <v>840</v>
      </c>
      <c r="Y45" s="81">
        <v>1</v>
      </c>
      <c r="Z45" s="88">
        <v>44322.04549768518</v>
      </c>
      <c r="AA45" s="88">
        <v>44322.04549768518</v>
      </c>
      <c r="AB45" s="81"/>
      <c r="AC45" s="81"/>
      <c r="AD45" s="84" t="s">
        <v>843</v>
      </c>
      <c r="AE45" s="82">
        <v>1</v>
      </c>
      <c r="AF45" s="83" t="str">
        <f>REPLACE(INDEX(GroupVertices[Group],MATCH(Edges[[#This Row],[Vertex 1]],GroupVertices[Vertex],0)),1,1,"")</f>
        <v>1</v>
      </c>
      <c r="AG45" s="83" t="str">
        <f>REPLACE(INDEX(GroupVertices[Group],MATCH(Edges[[#This Row],[Vertex 2]],GroupVertices[Vertex],0)),1,1,"")</f>
        <v>1</v>
      </c>
      <c r="AH45" s="111">
        <v>1</v>
      </c>
      <c r="AI45" s="112">
        <v>33.333333333333336</v>
      </c>
      <c r="AJ45" s="111">
        <v>0</v>
      </c>
      <c r="AK45" s="112">
        <v>0</v>
      </c>
      <c r="AL45" s="111">
        <v>0</v>
      </c>
      <c r="AM45" s="112">
        <v>0</v>
      </c>
      <c r="AN45" s="111">
        <v>2</v>
      </c>
      <c r="AO45" s="112">
        <v>66.66666666666667</v>
      </c>
      <c r="AP45" s="111">
        <v>3</v>
      </c>
    </row>
    <row r="46" spans="1:42" ht="15">
      <c r="A46" s="65" t="s">
        <v>366</v>
      </c>
      <c r="B46" s="65" t="s">
        <v>479</v>
      </c>
      <c r="C46" s="66" t="s">
        <v>1613</v>
      </c>
      <c r="D46" s="67">
        <v>3</v>
      </c>
      <c r="E46" s="68"/>
      <c r="F46" s="69">
        <v>40</v>
      </c>
      <c r="G46" s="66"/>
      <c r="H46" s="70"/>
      <c r="I46" s="71"/>
      <c r="J46" s="71"/>
      <c r="K46" s="35" t="s">
        <v>65</v>
      </c>
      <c r="L46" s="79">
        <v>46</v>
      </c>
      <c r="M46" s="79"/>
      <c r="N46" s="73"/>
      <c r="O46" s="81" t="s">
        <v>481</v>
      </c>
      <c r="P46" s="81" t="s">
        <v>314</v>
      </c>
      <c r="Q46" s="84" t="s">
        <v>527</v>
      </c>
      <c r="R46" s="81" t="s">
        <v>366</v>
      </c>
      <c r="S46" s="81" t="s">
        <v>706</v>
      </c>
      <c r="T46" s="86" t="str">
        <f>HYPERLINK("http://www.youtube.com/channel/UCC1EVCiajteJsViVrJzvf9g")</f>
        <v>http://www.youtube.com/channel/UCC1EVCiajteJsViVrJzvf9g</v>
      </c>
      <c r="U46" s="81"/>
      <c r="V46" s="81" t="s">
        <v>839</v>
      </c>
      <c r="W46" s="86" t="str">
        <f>HYPERLINK("https://www.youtube.com/watch?v=Ci9JYIJstPY")</f>
        <v>https://www.youtube.com/watch?v=Ci9JYIJstPY</v>
      </c>
      <c r="X46" s="81" t="s">
        <v>840</v>
      </c>
      <c r="Y46" s="81">
        <v>0</v>
      </c>
      <c r="Z46" s="88">
        <v>44322.047476851854</v>
      </c>
      <c r="AA46" s="88">
        <v>44322.047476851854</v>
      </c>
      <c r="AB46" s="81"/>
      <c r="AC46" s="81"/>
      <c r="AD46" s="84" t="s">
        <v>843</v>
      </c>
      <c r="AE46" s="82">
        <v>1</v>
      </c>
      <c r="AF46" s="83" t="str">
        <f>REPLACE(INDEX(GroupVertices[Group],MATCH(Edges[[#This Row],[Vertex 1]],GroupVertices[Vertex],0)),1,1,"")</f>
        <v>1</v>
      </c>
      <c r="AG46" s="83" t="str">
        <f>REPLACE(INDEX(GroupVertices[Group],MATCH(Edges[[#This Row],[Vertex 2]],GroupVertices[Vertex],0)),1,1,"")</f>
        <v>1</v>
      </c>
      <c r="AH46" s="111">
        <v>1</v>
      </c>
      <c r="AI46" s="112">
        <v>6.666666666666667</v>
      </c>
      <c r="AJ46" s="111">
        <v>0</v>
      </c>
      <c r="AK46" s="112">
        <v>0</v>
      </c>
      <c r="AL46" s="111">
        <v>0</v>
      </c>
      <c r="AM46" s="112">
        <v>0</v>
      </c>
      <c r="AN46" s="111">
        <v>14</v>
      </c>
      <c r="AO46" s="112">
        <v>93.33333333333333</v>
      </c>
      <c r="AP46" s="111">
        <v>15</v>
      </c>
    </row>
    <row r="47" spans="1:42" ht="15">
      <c r="A47" s="65" t="s">
        <v>367</v>
      </c>
      <c r="B47" s="65" t="s">
        <v>479</v>
      </c>
      <c r="C47" s="66" t="s">
        <v>1613</v>
      </c>
      <c r="D47" s="67">
        <v>3</v>
      </c>
      <c r="E47" s="68"/>
      <c r="F47" s="69">
        <v>40</v>
      </c>
      <c r="G47" s="66"/>
      <c r="H47" s="70"/>
      <c r="I47" s="71"/>
      <c r="J47" s="71"/>
      <c r="K47" s="35" t="s">
        <v>65</v>
      </c>
      <c r="L47" s="79">
        <v>47</v>
      </c>
      <c r="M47" s="79"/>
      <c r="N47" s="73"/>
      <c r="O47" s="81" t="s">
        <v>481</v>
      </c>
      <c r="P47" s="81" t="s">
        <v>314</v>
      </c>
      <c r="Q47" s="84" t="s">
        <v>528</v>
      </c>
      <c r="R47" s="81" t="s">
        <v>367</v>
      </c>
      <c r="S47" s="81" t="s">
        <v>707</v>
      </c>
      <c r="T47" s="86" t="str">
        <f>HYPERLINK("http://www.youtube.com/channel/UC0dGMGoFHPbm6UmaUd8U4ZA")</f>
        <v>http://www.youtube.com/channel/UC0dGMGoFHPbm6UmaUd8U4ZA</v>
      </c>
      <c r="U47" s="81"/>
      <c r="V47" s="81" t="s">
        <v>839</v>
      </c>
      <c r="W47" s="86" t="str">
        <f>HYPERLINK("https://www.youtube.com/watch?v=Ci9JYIJstPY")</f>
        <v>https://www.youtube.com/watch?v=Ci9JYIJstPY</v>
      </c>
      <c r="X47" s="81" t="s">
        <v>840</v>
      </c>
      <c r="Y47" s="81">
        <v>25</v>
      </c>
      <c r="Z47" s="88">
        <v>44322.04754629629</v>
      </c>
      <c r="AA47" s="88">
        <v>44322.04754629629</v>
      </c>
      <c r="AB47" s="81"/>
      <c r="AC47" s="81"/>
      <c r="AD47" s="84" t="s">
        <v>843</v>
      </c>
      <c r="AE47" s="82">
        <v>1</v>
      </c>
      <c r="AF47" s="83" t="str">
        <f>REPLACE(INDEX(GroupVertices[Group],MATCH(Edges[[#This Row],[Vertex 1]],GroupVertices[Vertex],0)),1,1,"")</f>
        <v>1</v>
      </c>
      <c r="AG47" s="83" t="str">
        <f>REPLACE(INDEX(GroupVertices[Group],MATCH(Edges[[#This Row],[Vertex 2]],GroupVertices[Vertex],0)),1,1,"")</f>
        <v>1</v>
      </c>
      <c r="AH47" s="111">
        <v>0</v>
      </c>
      <c r="AI47" s="112">
        <v>0</v>
      </c>
      <c r="AJ47" s="111">
        <v>4</v>
      </c>
      <c r="AK47" s="112">
        <v>25</v>
      </c>
      <c r="AL47" s="111">
        <v>0</v>
      </c>
      <c r="AM47" s="112">
        <v>0</v>
      </c>
      <c r="AN47" s="111">
        <v>12</v>
      </c>
      <c r="AO47" s="112">
        <v>75</v>
      </c>
      <c r="AP47" s="111">
        <v>16</v>
      </c>
    </row>
    <row r="48" spans="1:42" ht="15">
      <c r="A48" s="65" t="s">
        <v>368</v>
      </c>
      <c r="B48" s="65" t="s">
        <v>370</v>
      </c>
      <c r="C48" s="66" t="s">
        <v>1613</v>
      </c>
      <c r="D48" s="67">
        <v>3</v>
      </c>
      <c r="E48" s="68"/>
      <c r="F48" s="69">
        <v>40</v>
      </c>
      <c r="G48" s="66"/>
      <c r="H48" s="70"/>
      <c r="I48" s="71"/>
      <c r="J48" s="71"/>
      <c r="K48" s="35" t="s">
        <v>65</v>
      </c>
      <c r="L48" s="79">
        <v>48</v>
      </c>
      <c r="M48" s="79"/>
      <c r="N48" s="73"/>
      <c r="O48" s="81" t="s">
        <v>482</v>
      </c>
      <c r="P48" s="81" t="s">
        <v>484</v>
      </c>
      <c r="Q48" s="84" t="s">
        <v>529</v>
      </c>
      <c r="R48" s="81" t="s">
        <v>368</v>
      </c>
      <c r="S48" s="81" t="s">
        <v>708</v>
      </c>
      <c r="T48" s="86" t="str">
        <f>HYPERLINK("http://www.youtube.com/channel/UCU2yAsII27kZBZuIPozMZCQ")</f>
        <v>http://www.youtube.com/channel/UCU2yAsII27kZBZuIPozMZCQ</v>
      </c>
      <c r="U48" s="81" t="s">
        <v>826</v>
      </c>
      <c r="V48" s="81" t="s">
        <v>839</v>
      </c>
      <c r="W48" s="86" t="str">
        <f>HYPERLINK("https://www.youtube.com/watch?v=Ci9JYIJstPY")</f>
        <v>https://www.youtube.com/watch?v=Ci9JYIJstPY</v>
      </c>
      <c r="X48" s="81" t="s">
        <v>840</v>
      </c>
      <c r="Y48" s="81">
        <v>1</v>
      </c>
      <c r="Z48" s="88">
        <v>44322.37453703704</v>
      </c>
      <c r="AA48" s="88">
        <v>44322.37453703704</v>
      </c>
      <c r="AB48" s="81"/>
      <c r="AC48" s="81"/>
      <c r="AD48" s="84" t="s">
        <v>843</v>
      </c>
      <c r="AE48" s="82">
        <v>1</v>
      </c>
      <c r="AF48" s="83" t="str">
        <f>REPLACE(INDEX(GroupVertices[Group],MATCH(Edges[[#This Row],[Vertex 1]],GroupVertices[Vertex],0)),1,1,"")</f>
        <v>4</v>
      </c>
      <c r="AG48" s="83" t="str">
        <f>REPLACE(INDEX(GroupVertices[Group],MATCH(Edges[[#This Row],[Vertex 2]],GroupVertices[Vertex],0)),1,1,"")</f>
        <v>4</v>
      </c>
      <c r="AH48" s="111">
        <v>0</v>
      </c>
      <c r="AI48" s="112">
        <v>0</v>
      </c>
      <c r="AJ48" s="111">
        <v>0</v>
      </c>
      <c r="AK48" s="112">
        <v>0</v>
      </c>
      <c r="AL48" s="111">
        <v>0</v>
      </c>
      <c r="AM48" s="112">
        <v>0</v>
      </c>
      <c r="AN48" s="111">
        <v>4</v>
      </c>
      <c r="AO48" s="112">
        <v>100</v>
      </c>
      <c r="AP48" s="111">
        <v>4</v>
      </c>
    </row>
    <row r="49" spans="1:42" ht="15">
      <c r="A49" s="65" t="s">
        <v>369</v>
      </c>
      <c r="B49" s="65" t="s">
        <v>370</v>
      </c>
      <c r="C49" s="66" t="s">
        <v>1613</v>
      </c>
      <c r="D49" s="67">
        <v>3</v>
      </c>
      <c r="E49" s="68"/>
      <c r="F49" s="69">
        <v>40</v>
      </c>
      <c r="G49" s="66"/>
      <c r="H49" s="70"/>
      <c r="I49" s="71"/>
      <c r="J49" s="71"/>
      <c r="K49" s="35" t="s">
        <v>65</v>
      </c>
      <c r="L49" s="79">
        <v>49</v>
      </c>
      <c r="M49" s="79"/>
      <c r="N49" s="73"/>
      <c r="O49" s="81" t="s">
        <v>482</v>
      </c>
      <c r="P49" s="81" t="s">
        <v>484</v>
      </c>
      <c r="Q49" s="84" t="s">
        <v>530</v>
      </c>
      <c r="R49" s="81" t="s">
        <v>369</v>
      </c>
      <c r="S49" s="81" t="s">
        <v>709</v>
      </c>
      <c r="T49" s="86" t="str">
        <f>HYPERLINK("http://www.youtube.com/channel/UCa-c9vgdSoHvqOCFptOF0pw")</f>
        <v>http://www.youtube.com/channel/UCa-c9vgdSoHvqOCFptOF0pw</v>
      </c>
      <c r="U49" s="81" t="s">
        <v>826</v>
      </c>
      <c r="V49" s="81" t="s">
        <v>839</v>
      </c>
      <c r="W49" s="86" t="str">
        <f>HYPERLINK("https://www.youtube.com/watch?v=Ci9JYIJstPY")</f>
        <v>https://www.youtube.com/watch?v=Ci9JYIJstPY</v>
      </c>
      <c r="X49" s="81" t="s">
        <v>840</v>
      </c>
      <c r="Y49" s="81">
        <v>1</v>
      </c>
      <c r="Z49" s="88">
        <v>44322.48961805556</v>
      </c>
      <c r="AA49" s="88">
        <v>44322.48961805556</v>
      </c>
      <c r="AB49" s="81"/>
      <c r="AC49" s="81"/>
      <c r="AD49" s="84" t="s">
        <v>843</v>
      </c>
      <c r="AE49" s="82">
        <v>1</v>
      </c>
      <c r="AF49" s="83" t="str">
        <f>REPLACE(INDEX(GroupVertices[Group],MATCH(Edges[[#This Row],[Vertex 1]],GroupVertices[Vertex],0)),1,1,"")</f>
        <v>4</v>
      </c>
      <c r="AG49" s="83" t="str">
        <f>REPLACE(INDEX(GroupVertices[Group],MATCH(Edges[[#This Row],[Vertex 2]],GroupVertices[Vertex],0)),1,1,"")</f>
        <v>4</v>
      </c>
      <c r="AH49" s="111">
        <v>3</v>
      </c>
      <c r="AI49" s="112">
        <v>8.823529411764707</v>
      </c>
      <c r="AJ49" s="111">
        <v>5</v>
      </c>
      <c r="AK49" s="112">
        <v>14.705882352941176</v>
      </c>
      <c r="AL49" s="111">
        <v>0</v>
      </c>
      <c r="AM49" s="112">
        <v>0</v>
      </c>
      <c r="AN49" s="111">
        <v>28</v>
      </c>
      <c r="AO49" s="112">
        <v>82.3529411764706</v>
      </c>
      <c r="AP49" s="111">
        <v>34</v>
      </c>
    </row>
    <row r="50" spans="1:42" ht="15">
      <c r="A50" s="65" t="s">
        <v>370</v>
      </c>
      <c r="B50" s="65" t="s">
        <v>479</v>
      </c>
      <c r="C50" s="66" t="s">
        <v>1613</v>
      </c>
      <c r="D50" s="67">
        <v>3</v>
      </c>
      <c r="E50" s="68"/>
      <c r="F50" s="69">
        <v>40</v>
      </c>
      <c r="G50" s="66"/>
      <c r="H50" s="70"/>
      <c r="I50" s="71"/>
      <c r="J50" s="71"/>
      <c r="K50" s="35" t="s">
        <v>65</v>
      </c>
      <c r="L50" s="79">
        <v>50</v>
      </c>
      <c r="M50" s="79"/>
      <c r="N50" s="73"/>
      <c r="O50" s="81" t="s">
        <v>481</v>
      </c>
      <c r="P50" s="81" t="s">
        <v>314</v>
      </c>
      <c r="Q50" s="84" t="s">
        <v>531</v>
      </c>
      <c r="R50" s="81" t="s">
        <v>370</v>
      </c>
      <c r="S50" s="81" t="s">
        <v>710</v>
      </c>
      <c r="T50" s="86" t="str">
        <f>HYPERLINK("http://www.youtube.com/channel/UC-EiEjJHOpqaGvcT8f0pUIQ")</f>
        <v>http://www.youtube.com/channel/UC-EiEjJHOpqaGvcT8f0pUIQ</v>
      </c>
      <c r="U50" s="81"/>
      <c r="V50" s="81" t="s">
        <v>839</v>
      </c>
      <c r="W50" s="86" t="str">
        <f>HYPERLINK("https://www.youtube.com/watch?v=Ci9JYIJstPY")</f>
        <v>https://www.youtube.com/watch?v=Ci9JYIJstPY</v>
      </c>
      <c r="X50" s="81" t="s">
        <v>840</v>
      </c>
      <c r="Y50" s="81">
        <v>13</v>
      </c>
      <c r="Z50" s="88">
        <v>44322.04857638889</v>
      </c>
      <c r="AA50" s="88">
        <v>44322.04857638889</v>
      </c>
      <c r="AB50" s="81"/>
      <c r="AC50" s="81"/>
      <c r="AD50" s="84" t="s">
        <v>843</v>
      </c>
      <c r="AE50" s="82">
        <v>1</v>
      </c>
      <c r="AF50" s="83" t="str">
        <f>REPLACE(INDEX(GroupVertices[Group],MATCH(Edges[[#This Row],[Vertex 1]],GroupVertices[Vertex],0)),1,1,"")</f>
        <v>4</v>
      </c>
      <c r="AG50" s="83" t="str">
        <f>REPLACE(INDEX(GroupVertices[Group],MATCH(Edges[[#This Row],[Vertex 2]],GroupVertices[Vertex],0)),1,1,"")</f>
        <v>1</v>
      </c>
      <c r="AH50" s="111">
        <v>0</v>
      </c>
      <c r="AI50" s="112">
        <v>0</v>
      </c>
      <c r="AJ50" s="111">
        <v>0</v>
      </c>
      <c r="AK50" s="112">
        <v>0</v>
      </c>
      <c r="AL50" s="111">
        <v>0</v>
      </c>
      <c r="AM50" s="112">
        <v>0</v>
      </c>
      <c r="AN50" s="111">
        <v>11</v>
      </c>
      <c r="AO50" s="112">
        <v>100</v>
      </c>
      <c r="AP50" s="111">
        <v>11</v>
      </c>
    </row>
    <row r="51" spans="1:42" ht="15">
      <c r="A51" s="65" t="s">
        <v>342</v>
      </c>
      <c r="B51" s="65" t="s">
        <v>341</v>
      </c>
      <c r="C51" s="66" t="s">
        <v>1613</v>
      </c>
      <c r="D51" s="67">
        <v>3</v>
      </c>
      <c r="E51" s="68"/>
      <c r="F51" s="69">
        <v>40</v>
      </c>
      <c r="G51" s="66"/>
      <c r="H51" s="70"/>
      <c r="I51" s="71"/>
      <c r="J51" s="71"/>
      <c r="K51" s="35" t="s">
        <v>65</v>
      </c>
      <c r="L51" s="79">
        <v>51</v>
      </c>
      <c r="M51" s="79"/>
      <c r="N51" s="73"/>
      <c r="O51" s="81" t="s">
        <v>482</v>
      </c>
      <c r="P51" s="81" t="s">
        <v>484</v>
      </c>
      <c r="Q51" s="84" t="s">
        <v>532</v>
      </c>
      <c r="R51" s="81" t="s">
        <v>342</v>
      </c>
      <c r="S51" s="81" t="s">
        <v>682</v>
      </c>
      <c r="T51" s="86" t="str">
        <f>HYPERLINK("http://www.youtube.com/channel/UClanhoQVUQAXPY1ibUnRU1w")</f>
        <v>http://www.youtube.com/channel/UClanhoQVUQAXPY1ibUnRU1w</v>
      </c>
      <c r="U51" s="81" t="s">
        <v>827</v>
      </c>
      <c r="V51" s="81" t="s">
        <v>839</v>
      </c>
      <c r="W51" s="86" t="str">
        <f>HYPERLINK("https://www.youtube.com/watch?v=Ci9JYIJstPY")</f>
        <v>https://www.youtube.com/watch?v=Ci9JYIJstPY</v>
      </c>
      <c r="X51" s="81" t="s">
        <v>840</v>
      </c>
      <c r="Y51" s="81">
        <v>0</v>
      </c>
      <c r="Z51" s="88">
        <v>44322.06101851852</v>
      </c>
      <c r="AA51" s="88">
        <v>44322.06101851852</v>
      </c>
      <c r="AB51" s="81"/>
      <c r="AC51" s="81"/>
      <c r="AD51" s="84" t="s">
        <v>843</v>
      </c>
      <c r="AE51" s="82">
        <v>1</v>
      </c>
      <c r="AF51" s="83" t="str">
        <f>REPLACE(INDEX(GroupVertices[Group],MATCH(Edges[[#This Row],[Vertex 1]],GroupVertices[Vertex],0)),1,1,"")</f>
        <v>2</v>
      </c>
      <c r="AG51" s="83" t="str">
        <f>REPLACE(INDEX(GroupVertices[Group],MATCH(Edges[[#This Row],[Vertex 2]],GroupVertices[Vertex],0)),1,1,"")</f>
        <v>2</v>
      </c>
      <c r="AH51" s="111">
        <v>1</v>
      </c>
      <c r="AI51" s="112">
        <v>6.25</v>
      </c>
      <c r="AJ51" s="111">
        <v>1</v>
      </c>
      <c r="AK51" s="112">
        <v>6.25</v>
      </c>
      <c r="AL51" s="111">
        <v>0</v>
      </c>
      <c r="AM51" s="112">
        <v>0</v>
      </c>
      <c r="AN51" s="111">
        <v>15</v>
      </c>
      <c r="AO51" s="112">
        <v>93.75</v>
      </c>
      <c r="AP51" s="111">
        <v>16</v>
      </c>
    </row>
    <row r="52" spans="1:42" ht="15">
      <c r="A52" s="65" t="s">
        <v>371</v>
      </c>
      <c r="B52" s="65" t="s">
        <v>341</v>
      </c>
      <c r="C52" s="66" t="s">
        <v>1613</v>
      </c>
      <c r="D52" s="67">
        <v>3</v>
      </c>
      <c r="E52" s="68"/>
      <c r="F52" s="69">
        <v>40</v>
      </c>
      <c r="G52" s="66"/>
      <c r="H52" s="70"/>
      <c r="I52" s="71"/>
      <c r="J52" s="71"/>
      <c r="K52" s="35" t="s">
        <v>65</v>
      </c>
      <c r="L52" s="79">
        <v>52</v>
      </c>
      <c r="M52" s="79"/>
      <c r="N52" s="73"/>
      <c r="O52" s="81" t="s">
        <v>482</v>
      </c>
      <c r="P52" s="81" t="s">
        <v>484</v>
      </c>
      <c r="Q52" s="84" t="s">
        <v>533</v>
      </c>
      <c r="R52" s="81" t="s">
        <v>371</v>
      </c>
      <c r="S52" s="81" t="s">
        <v>711</v>
      </c>
      <c r="T52" s="86" t="str">
        <f>HYPERLINK("http://www.youtube.com/channel/UCgnW8W4825dIsXARVEjRtNQ")</f>
        <v>http://www.youtube.com/channel/UCgnW8W4825dIsXARVEjRtNQ</v>
      </c>
      <c r="U52" s="81" t="s">
        <v>827</v>
      </c>
      <c r="V52" s="81" t="s">
        <v>839</v>
      </c>
      <c r="W52" s="86" t="str">
        <f>HYPERLINK("https://www.youtube.com/watch?v=Ci9JYIJstPY")</f>
        <v>https://www.youtube.com/watch?v=Ci9JYIJstPY</v>
      </c>
      <c r="X52" s="81" t="s">
        <v>840</v>
      </c>
      <c r="Y52" s="81">
        <v>0</v>
      </c>
      <c r="Z52" s="88">
        <v>44322.06574074074</v>
      </c>
      <c r="AA52" s="88">
        <v>44322.06574074074</v>
      </c>
      <c r="AB52" s="81"/>
      <c r="AC52" s="81"/>
      <c r="AD52" s="84" t="s">
        <v>843</v>
      </c>
      <c r="AE52" s="82">
        <v>1</v>
      </c>
      <c r="AF52" s="83" t="str">
        <f>REPLACE(INDEX(GroupVertices[Group],MATCH(Edges[[#This Row],[Vertex 1]],GroupVertices[Vertex],0)),1,1,"")</f>
        <v>2</v>
      </c>
      <c r="AG52" s="83" t="str">
        <f>REPLACE(INDEX(GroupVertices[Group],MATCH(Edges[[#This Row],[Vertex 2]],GroupVertices[Vertex],0)),1,1,"")</f>
        <v>2</v>
      </c>
      <c r="AH52" s="111">
        <v>0</v>
      </c>
      <c r="AI52" s="112">
        <v>0</v>
      </c>
      <c r="AJ52" s="111">
        <v>0</v>
      </c>
      <c r="AK52" s="112">
        <v>0</v>
      </c>
      <c r="AL52" s="111">
        <v>0</v>
      </c>
      <c r="AM52" s="112">
        <v>0</v>
      </c>
      <c r="AN52" s="111">
        <v>5</v>
      </c>
      <c r="AO52" s="112">
        <v>100</v>
      </c>
      <c r="AP52" s="111">
        <v>5</v>
      </c>
    </row>
    <row r="53" spans="1:42" ht="15">
      <c r="A53" s="65" t="s">
        <v>372</v>
      </c>
      <c r="B53" s="65" t="s">
        <v>479</v>
      </c>
      <c r="C53" s="66" t="s">
        <v>1613</v>
      </c>
      <c r="D53" s="67">
        <v>3</v>
      </c>
      <c r="E53" s="68"/>
      <c r="F53" s="69">
        <v>40</v>
      </c>
      <c r="G53" s="66"/>
      <c r="H53" s="70"/>
      <c r="I53" s="71"/>
      <c r="J53" s="71"/>
      <c r="K53" s="35" t="s">
        <v>65</v>
      </c>
      <c r="L53" s="79">
        <v>53</v>
      </c>
      <c r="M53" s="79"/>
      <c r="N53" s="73"/>
      <c r="O53" s="81" t="s">
        <v>481</v>
      </c>
      <c r="P53" s="81" t="s">
        <v>314</v>
      </c>
      <c r="Q53" s="84" t="s">
        <v>534</v>
      </c>
      <c r="R53" s="81" t="s">
        <v>372</v>
      </c>
      <c r="S53" s="81" t="s">
        <v>712</v>
      </c>
      <c r="T53" s="86" t="str">
        <f>HYPERLINK("http://www.youtube.com/channel/UC92ojIkKymGd2b41Oq-aWDA")</f>
        <v>http://www.youtube.com/channel/UC92ojIkKymGd2b41Oq-aWDA</v>
      </c>
      <c r="U53" s="81"/>
      <c r="V53" s="81" t="s">
        <v>839</v>
      </c>
      <c r="W53" s="86" t="str">
        <f>HYPERLINK("https://www.youtube.com/watch?v=Ci9JYIJstPY")</f>
        <v>https://www.youtube.com/watch?v=Ci9JYIJstPY</v>
      </c>
      <c r="X53" s="81" t="s">
        <v>840</v>
      </c>
      <c r="Y53" s="81">
        <v>5</v>
      </c>
      <c r="Z53" s="88">
        <v>44322.04087962963</v>
      </c>
      <c r="AA53" s="88">
        <v>44322.04087962963</v>
      </c>
      <c r="AB53" s="81"/>
      <c r="AC53" s="81"/>
      <c r="AD53" s="84" t="s">
        <v>843</v>
      </c>
      <c r="AE53" s="82">
        <v>1</v>
      </c>
      <c r="AF53" s="83" t="str">
        <f>REPLACE(INDEX(GroupVertices[Group],MATCH(Edges[[#This Row],[Vertex 1]],GroupVertices[Vertex],0)),1,1,"")</f>
        <v>2</v>
      </c>
      <c r="AG53" s="83" t="str">
        <f>REPLACE(INDEX(GroupVertices[Group],MATCH(Edges[[#This Row],[Vertex 2]],GroupVertices[Vertex],0)),1,1,"")</f>
        <v>1</v>
      </c>
      <c r="AH53" s="111">
        <v>0</v>
      </c>
      <c r="AI53" s="112">
        <v>0</v>
      </c>
      <c r="AJ53" s="111">
        <v>1</v>
      </c>
      <c r="AK53" s="112">
        <v>10</v>
      </c>
      <c r="AL53" s="111">
        <v>0</v>
      </c>
      <c r="AM53" s="112">
        <v>0</v>
      </c>
      <c r="AN53" s="111">
        <v>9</v>
      </c>
      <c r="AO53" s="112">
        <v>90</v>
      </c>
      <c r="AP53" s="111">
        <v>10</v>
      </c>
    </row>
    <row r="54" spans="1:42" ht="15">
      <c r="A54" s="65" t="s">
        <v>372</v>
      </c>
      <c r="B54" s="65" t="s">
        <v>341</v>
      </c>
      <c r="C54" s="66" t="s">
        <v>1613</v>
      </c>
      <c r="D54" s="67">
        <v>3</v>
      </c>
      <c r="E54" s="68"/>
      <c r="F54" s="69">
        <v>40</v>
      </c>
      <c r="G54" s="66"/>
      <c r="H54" s="70"/>
      <c r="I54" s="71"/>
      <c r="J54" s="71"/>
      <c r="K54" s="35" t="s">
        <v>65</v>
      </c>
      <c r="L54" s="79">
        <v>54</v>
      </c>
      <c r="M54" s="79"/>
      <c r="N54" s="73"/>
      <c r="O54" s="81" t="s">
        <v>482</v>
      </c>
      <c r="P54" s="81" t="s">
        <v>484</v>
      </c>
      <c r="Q54" s="84" t="s">
        <v>535</v>
      </c>
      <c r="R54" s="81" t="s">
        <v>372</v>
      </c>
      <c r="S54" s="81" t="s">
        <v>712</v>
      </c>
      <c r="T54" s="86" t="str">
        <f>HYPERLINK("http://www.youtube.com/channel/UC92ojIkKymGd2b41Oq-aWDA")</f>
        <v>http://www.youtube.com/channel/UC92ojIkKymGd2b41Oq-aWDA</v>
      </c>
      <c r="U54" s="81" t="s">
        <v>827</v>
      </c>
      <c r="V54" s="81" t="s">
        <v>839</v>
      </c>
      <c r="W54" s="86" t="str">
        <f>HYPERLINK("https://www.youtube.com/watch?v=Ci9JYIJstPY")</f>
        <v>https://www.youtube.com/watch?v=Ci9JYIJstPY</v>
      </c>
      <c r="X54" s="81" t="s">
        <v>840</v>
      </c>
      <c r="Y54" s="81">
        <v>0</v>
      </c>
      <c r="Z54" s="88">
        <v>44322.08482638889</v>
      </c>
      <c r="AA54" s="88">
        <v>44322.08482638889</v>
      </c>
      <c r="AB54" s="81"/>
      <c r="AC54" s="81"/>
      <c r="AD54" s="84" t="s">
        <v>843</v>
      </c>
      <c r="AE54" s="82">
        <v>1</v>
      </c>
      <c r="AF54" s="83" t="str">
        <f>REPLACE(INDEX(GroupVertices[Group],MATCH(Edges[[#This Row],[Vertex 1]],GroupVertices[Vertex],0)),1,1,"")</f>
        <v>2</v>
      </c>
      <c r="AG54" s="83" t="str">
        <f>REPLACE(INDEX(GroupVertices[Group],MATCH(Edges[[#This Row],[Vertex 2]],GroupVertices[Vertex],0)),1,1,"")</f>
        <v>2</v>
      </c>
      <c r="AH54" s="111">
        <v>0</v>
      </c>
      <c r="AI54" s="112">
        <v>0</v>
      </c>
      <c r="AJ54" s="111">
        <v>0</v>
      </c>
      <c r="AK54" s="112">
        <v>0</v>
      </c>
      <c r="AL54" s="111">
        <v>0</v>
      </c>
      <c r="AM54" s="112">
        <v>0</v>
      </c>
      <c r="AN54" s="111">
        <v>21</v>
      </c>
      <c r="AO54" s="112">
        <v>100</v>
      </c>
      <c r="AP54" s="111">
        <v>21</v>
      </c>
    </row>
    <row r="55" spans="1:42" ht="15">
      <c r="A55" s="65" t="s">
        <v>341</v>
      </c>
      <c r="B55" s="65" t="s">
        <v>479</v>
      </c>
      <c r="C55" s="66" t="s">
        <v>1613</v>
      </c>
      <c r="D55" s="67">
        <v>3</v>
      </c>
      <c r="E55" s="68"/>
      <c r="F55" s="69">
        <v>40</v>
      </c>
      <c r="G55" s="66"/>
      <c r="H55" s="70"/>
      <c r="I55" s="71"/>
      <c r="J55" s="71"/>
      <c r="K55" s="35" t="s">
        <v>65</v>
      </c>
      <c r="L55" s="79">
        <v>55</v>
      </c>
      <c r="M55" s="79"/>
      <c r="N55" s="73"/>
      <c r="O55" s="81" t="s">
        <v>481</v>
      </c>
      <c r="P55" s="81" t="s">
        <v>314</v>
      </c>
      <c r="Q55" s="84" t="s">
        <v>536</v>
      </c>
      <c r="R55" s="81" t="s">
        <v>341</v>
      </c>
      <c r="S55" s="81" t="s">
        <v>681</v>
      </c>
      <c r="T55" s="86" t="str">
        <f>HYPERLINK("http://www.youtube.com/channel/UCqaRNBLGkTej2D0R7550KNA")</f>
        <v>http://www.youtube.com/channel/UCqaRNBLGkTej2D0R7550KNA</v>
      </c>
      <c r="U55" s="81"/>
      <c r="V55" s="81" t="s">
        <v>839</v>
      </c>
      <c r="W55" s="86" t="str">
        <f>HYPERLINK("https://www.youtube.com/watch?v=Ci9JYIJstPY")</f>
        <v>https://www.youtube.com/watch?v=Ci9JYIJstPY</v>
      </c>
      <c r="X55" s="81" t="s">
        <v>840</v>
      </c>
      <c r="Y55" s="81">
        <v>2</v>
      </c>
      <c r="Z55" s="88">
        <v>44322.04865740741</v>
      </c>
      <c r="AA55" s="88">
        <v>44322.04865740741</v>
      </c>
      <c r="AB55" s="81"/>
      <c r="AC55" s="81"/>
      <c r="AD55" s="84" t="s">
        <v>843</v>
      </c>
      <c r="AE55" s="82">
        <v>1</v>
      </c>
      <c r="AF55" s="83" t="str">
        <f>REPLACE(INDEX(GroupVertices[Group],MATCH(Edges[[#This Row],[Vertex 1]],GroupVertices[Vertex],0)),1,1,"")</f>
        <v>2</v>
      </c>
      <c r="AG55" s="83" t="str">
        <f>REPLACE(INDEX(GroupVertices[Group],MATCH(Edges[[#This Row],[Vertex 2]],GroupVertices[Vertex],0)),1,1,"")</f>
        <v>1</v>
      </c>
      <c r="AH55" s="111">
        <v>0</v>
      </c>
      <c r="AI55" s="112">
        <v>0</v>
      </c>
      <c r="AJ55" s="111">
        <v>0</v>
      </c>
      <c r="AK55" s="112">
        <v>0</v>
      </c>
      <c r="AL55" s="111">
        <v>0</v>
      </c>
      <c r="AM55" s="112">
        <v>0</v>
      </c>
      <c r="AN55" s="111">
        <v>11</v>
      </c>
      <c r="AO55" s="112">
        <v>100</v>
      </c>
      <c r="AP55" s="111">
        <v>11</v>
      </c>
    </row>
    <row r="56" spans="1:42" ht="15">
      <c r="A56" s="65" t="s">
        <v>373</v>
      </c>
      <c r="B56" s="65" t="s">
        <v>479</v>
      </c>
      <c r="C56" s="66" t="s">
        <v>1613</v>
      </c>
      <c r="D56" s="67">
        <v>3</v>
      </c>
      <c r="E56" s="68"/>
      <c r="F56" s="69">
        <v>40</v>
      </c>
      <c r="G56" s="66"/>
      <c r="H56" s="70"/>
      <c r="I56" s="71"/>
      <c r="J56" s="71"/>
      <c r="K56" s="35" t="s">
        <v>65</v>
      </c>
      <c r="L56" s="79">
        <v>56</v>
      </c>
      <c r="M56" s="79"/>
      <c r="N56" s="73"/>
      <c r="O56" s="81" t="s">
        <v>481</v>
      </c>
      <c r="P56" s="81" t="s">
        <v>314</v>
      </c>
      <c r="Q56" s="84" t="s">
        <v>537</v>
      </c>
      <c r="R56" s="81" t="s">
        <v>373</v>
      </c>
      <c r="S56" s="81" t="s">
        <v>713</v>
      </c>
      <c r="T56" s="86" t="str">
        <f>HYPERLINK("http://www.youtube.com/channel/UC9UCsZNI5I9e8ez07eCzRBg")</f>
        <v>http://www.youtube.com/channel/UC9UCsZNI5I9e8ez07eCzRBg</v>
      </c>
      <c r="U56" s="81"/>
      <c r="V56" s="81" t="s">
        <v>839</v>
      </c>
      <c r="W56" s="86" t="str">
        <f>HYPERLINK("https://www.youtube.com/watch?v=Ci9JYIJstPY")</f>
        <v>https://www.youtube.com/watch?v=Ci9JYIJstPY</v>
      </c>
      <c r="X56" s="81" t="s">
        <v>840</v>
      </c>
      <c r="Y56" s="81">
        <v>1</v>
      </c>
      <c r="Z56" s="88">
        <v>44322.048993055556</v>
      </c>
      <c r="AA56" s="88">
        <v>44322.048993055556</v>
      </c>
      <c r="AB56" s="81"/>
      <c r="AC56" s="81"/>
      <c r="AD56" s="84" t="s">
        <v>843</v>
      </c>
      <c r="AE56" s="82">
        <v>1</v>
      </c>
      <c r="AF56" s="83" t="str">
        <f>REPLACE(INDEX(GroupVertices[Group],MATCH(Edges[[#This Row],[Vertex 1]],GroupVertices[Vertex],0)),1,1,"")</f>
        <v>1</v>
      </c>
      <c r="AG56" s="83" t="str">
        <f>REPLACE(INDEX(GroupVertices[Group],MATCH(Edges[[#This Row],[Vertex 2]],GroupVertices[Vertex],0)),1,1,"")</f>
        <v>1</v>
      </c>
      <c r="AH56" s="111">
        <v>0</v>
      </c>
      <c r="AI56" s="112">
        <v>0</v>
      </c>
      <c r="AJ56" s="111">
        <v>0</v>
      </c>
      <c r="AK56" s="112">
        <v>0</v>
      </c>
      <c r="AL56" s="111">
        <v>0</v>
      </c>
      <c r="AM56" s="112">
        <v>0</v>
      </c>
      <c r="AN56" s="111">
        <v>14</v>
      </c>
      <c r="AO56" s="112">
        <v>100</v>
      </c>
      <c r="AP56" s="111">
        <v>14</v>
      </c>
    </row>
    <row r="57" spans="1:42" ht="15">
      <c r="A57" s="65" t="s">
        <v>374</v>
      </c>
      <c r="B57" s="65" t="s">
        <v>479</v>
      </c>
      <c r="C57" s="66" t="s">
        <v>1613</v>
      </c>
      <c r="D57" s="67">
        <v>3</v>
      </c>
      <c r="E57" s="68"/>
      <c r="F57" s="69">
        <v>40</v>
      </c>
      <c r="G57" s="66"/>
      <c r="H57" s="70"/>
      <c r="I57" s="71"/>
      <c r="J57" s="71"/>
      <c r="K57" s="35" t="s">
        <v>65</v>
      </c>
      <c r="L57" s="79">
        <v>57</v>
      </c>
      <c r="M57" s="79"/>
      <c r="N57" s="73"/>
      <c r="O57" s="81" t="s">
        <v>481</v>
      </c>
      <c r="P57" s="81" t="s">
        <v>314</v>
      </c>
      <c r="Q57" s="84" t="s">
        <v>538</v>
      </c>
      <c r="R57" s="81" t="s">
        <v>374</v>
      </c>
      <c r="S57" s="81" t="s">
        <v>714</v>
      </c>
      <c r="T57" s="86" t="str">
        <f>HYPERLINK("http://www.youtube.com/channel/UC7rN8ep2nPZ65sy5UwanQ8Q")</f>
        <v>http://www.youtube.com/channel/UC7rN8ep2nPZ65sy5UwanQ8Q</v>
      </c>
      <c r="U57" s="81"/>
      <c r="V57" s="81" t="s">
        <v>839</v>
      </c>
      <c r="W57" s="86" t="str">
        <f>HYPERLINK("https://www.youtube.com/watch?v=Ci9JYIJstPY")</f>
        <v>https://www.youtube.com/watch?v=Ci9JYIJstPY</v>
      </c>
      <c r="X57" s="81" t="s">
        <v>840</v>
      </c>
      <c r="Y57" s="81">
        <v>0</v>
      </c>
      <c r="Z57" s="88">
        <v>44322.05045138889</v>
      </c>
      <c r="AA57" s="88">
        <v>44322.05045138889</v>
      </c>
      <c r="AB57" s="81"/>
      <c r="AC57" s="81"/>
      <c r="AD57" s="84" t="s">
        <v>843</v>
      </c>
      <c r="AE57" s="82">
        <v>1</v>
      </c>
      <c r="AF57" s="83" t="str">
        <f>REPLACE(INDEX(GroupVertices[Group],MATCH(Edges[[#This Row],[Vertex 1]],GroupVertices[Vertex],0)),1,1,"")</f>
        <v>1</v>
      </c>
      <c r="AG57" s="83" t="str">
        <f>REPLACE(INDEX(GroupVertices[Group],MATCH(Edges[[#This Row],[Vertex 2]],GroupVertices[Vertex],0)),1,1,"")</f>
        <v>1</v>
      </c>
      <c r="AH57" s="111">
        <v>0</v>
      </c>
      <c r="AI57" s="112">
        <v>0</v>
      </c>
      <c r="AJ57" s="111">
        <v>0</v>
      </c>
      <c r="AK57" s="112">
        <v>0</v>
      </c>
      <c r="AL57" s="111">
        <v>0</v>
      </c>
      <c r="AM57" s="112">
        <v>0</v>
      </c>
      <c r="AN57" s="111">
        <v>5</v>
      </c>
      <c r="AO57" s="112">
        <v>100</v>
      </c>
      <c r="AP57" s="111">
        <v>5</v>
      </c>
    </row>
    <row r="58" spans="1:42" ht="15">
      <c r="A58" s="65" t="s">
        <v>375</v>
      </c>
      <c r="B58" s="65" t="s">
        <v>479</v>
      </c>
      <c r="C58" s="66" t="s">
        <v>1613</v>
      </c>
      <c r="D58" s="67">
        <v>3</v>
      </c>
      <c r="E58" s="68"/>
      <c r="F58" s="69">
        <v>40</v>
      </c>
      <c r="G58" s="66"/>
      <c r="H58" s="70"/>
      <c r="I58" s="71"/>
      <c r="J58" s="71"/>
      <c r="K58" s="35" t="s">
        <v>65</v>
      </c>
      <c r="L58" s="79">
        <v>58</v>
      </c>
      <c r="M58" s="79"/>
      <c r="N58" s="73"/>
      <c r="O58" s="81" t="s">
        <v>481</v>
      </c>
      <c r="P58" s="81" t="s">
        <v>314</v>
      </c>
      <c r="Q58" s="84" t="s">
        <v>539</v>
      </c>
      <c r="R58" s="81" t="s">
        <v>375</v>
      </c>
      <c r="S58" s="81" t="s">
        <v>715</v>
      </c>
      <c r="T58" s="86" t="str">
        <f>HYPERLINK("http://www.youtube.com/channel/UC2clEWhfiTxokUFuneYQPQg")</f>
        <v>http://www.youtube.com/channel/UC2clEWhfiTxokUFuneYQPQg</v>
      </c>
      <c r="U58" s="81"/>
      <c r="V58" s="81" t="s">
        <v>839</v>
      </c>
      <c r="W58" s="86" t="str">
        <f>HYPERLINK("https://www.youtube.com/watch?v=Ci9JYIJstPY")</f>
        <v>https://www.youtube.com/watch?v=Ci9JYIJstPY</v>
      </c>
      <c r="X58" s="81" t="s">
        <v>840</v>
      </c>
      <c r="Y58" s="81">
        <v>1</v>
      </c>
      <c r="Z58" s="88">
        <v>44322.05175925926</v>
      </c>
      <c r="AA58" s="88">
        <v>44322.05175925926</v>
      </c>
      <c r="AB58" s="81"/>
      <c r="AC58" s="81"/>
      <c r="AD58" s="84" t="s">
        <v>843</v>
      </c>
      <c r="AE58" s="82">
        <v>1</v>
      </c>
      <c r="AF58" s="83" t="str">
        <f>REPLACE(INDEX(GroupVertices[Group],MATCH(Edges[[#This Row],[Vertex 1]],GroupVertices[Vertex],0)),1,1,"")</f>
        <v>1</v>
      </c>
      <c r="AG58" s="83" t="str">
        <f>REPLACE(INDEX(GroupVertices[Group],MATCH(Edges[[#This Row],[Vertex 2]],GroupVertices[Vertex],0)),1,1,"")</f>
        <v>1</v>
      </c>
      <c r="AH58" s="111">
        <v>4</v>
      </c>
      <c r="AI58" s="112">
        <v>10.526315789473685</v>
      </c>
      <c r="AJ58" s="111">
        <v>5</v>
      </c>
      <c r="AK58" s="112">
        <v>13.157894736842104</v>
      </c>
      <c r="AL58" s="111">
        <v>0</v>
      </c>
      <c r="AM58" s="112">
        <v>0</v>
      </c>
      <c r="AN58" s="111">
        <v>32</v>
      </c>
      <c r="AO58" s="112">
        <v>84.21052631578948</v>
      </c>
      <c r="AP58" s="111">
        <v>38</v>
      </c>
    </row>
    <row r="59" spans="1:42" ht="15">
      <c r="A59" s="65" t="s">
        <v>376</v>
      </c>
      <c r="B59" s="65" t="s">
        <v>479</v>
      </c>
      <c r="C59" s="66" t="s">
        <v>1614</v>
      </c>
      <c r="D59" s="67">
        <v>3</v>
      </c>
      <c r="E59" s="68"/>
      <c r="F59" s="69">
        <v>40</v>
      </c>
      <c r="G59" s="66"/>
      <c r="H59" s="70"/>
      <c r="I59" s="71"/>
      <c r="J59" s="71"/>
      <c r="K59" s="35" t="s">
        <v>65</v>
      </c>
      <c r="L59" s="79">
        <v>59</v>
      </c>
      <c r="M59" s="79"/>
      <c r="N59" s="73"/>
      <c r="O59" s="81" t="s">
        <v>481</v>
      </c>
      <c r="P59" s="81" t="s">
        <v>314</v>
      </c>
      <c r="Q59" s="84" t="s">
        <v>540</v>
      </c>
      <c r="R59" s="81" t="s">
        <v>376</v>
      </c>
      <c r="S59" s="81" t="s">
        <v>716</v>
      </c>
      <c r="T59" s="86" t="str">
        <f>HYPERLINK("http://www.youtube.com/channel/UCBMWmvja3c_GS4jk8TazobA")</f>
        <v>http://www.youtube.com/channel/UCBMWmvja3c_GS4jk8TazobA</v>
      </c>
      <c r="U59" s="81"/>
      <c r="V59" s="81" t="s">
        <v>839</v>
      </c>
      <c r="W59" s="86" t="str">
        <f>HYPERLINK("https://www.youtube.com/watch?v=Ci9JYIJstPY")</f>
        <v>https://www.youtube.com/watch?v=Ci9JYIJstPY</v>
      </c>
      <c r="X59" s="81" t="s">
        <v>840</v>
      </c>
      <c r="Y59" s="81">
        <v>2</v>
      </c>
      <c r="Z59" s="88">
        <v>44322.04342592593</v>
      </c>
      <c r="AA59" s="88">
        <v>44322.04342592593</v>
      </c>
      <c r="AB59" s="81"/>
      <c r="AC59" s="81"/>
      <c r="AD59" s="84" t="s">
        <v>843</v>
      </c>
      <c r="AE59" s="82">
        <v>2</v>
      </c>
      <c r="AF59" s="83" t="str">
        <f>REPLACE(INDEX(GroupVertices[Group],MATCH(Edges[[#This Row],[Vertex 1]],GroupVertices[Vertex],0)),1,1,"")</f>
        <v>1</v>
      </c>
      <c r="AG59" s="83" t="str">
        <f>REPLACE(INDEX(GroupVertices[Group],MATCH(Edges[[#This Row],[Vertex 2]],GroupVertices[Vertex],0)),1,1,"")</f>
        <v>1</v>
      </c>
      <c r="AH59" s="111">
        <v>4</v>
      </c>
      <c r="AI59" s="112">
        <v>8.51063829787234</v>
      </c>
      <c r="AJ59" s="111">
        <v>3</v>
      </c>
      <c r="AK59" s="112">
        <v>6.382978723404255</v>
      </c>
      <c r="AL59" s="111">
        <v>0</v>
      </c>
      <c r="AM59" s="112">
        <v>0</v>
      </c>
      <c r="AN59" s="111">
        <v>43</v>
      </c>
      <c r="AO59" s="112">
        <v>91.48936170212765</v>
      </c>
      <c r="AP59" s="111">
        <v>47</v>
      </c>
    </row>
    <row r="60" spans="1:42" ht="15">
      <c r="A60" s="65" t="s">
        <v>376</v>
      </c>
      <c r="B60" s="65" t="s">
        <v>479</v>
      </c>
      <c r="C60" s="66" t="s">
        <v>1614</v>
      </c>
      <c r="D60" s="67">
        <v>3</v>
      </c>
      <c r="E60" s="68"/>
      <c r="F60" s="69">
        <v>40</v>
      </c>
      <c r="G60" s="66"/>
      <c r="H60" s="70"/>
      <c r="I60" s="71"/>
      <c r="J60" s="71"/>
      <c r="K60" s="35" t="s">
        <v>65</v>
      </c>
      <c r="L60" s="79">
        <v>60</v>
      </c>
      <c r="M60" s="79"/>
      <c r="N60" s="73"/>
      <c r="O60" s="81" t="s">
        <v>481</v>
      </c>
      <c r="P60" s="81" t="s">
        <v>314</v>
      </c>
      <c r="Q60" s="84" t="s">
        <v>541</v>
      </c>
      <c r="R60" s="81" t="s">
        <v>376</v>
      </c>
      <c r="S60" s="81" t="s">
        <v>716</v>
      </c>
      <c r="T60" s="86" t="str">
        <f>HYPERLINK("http://www.youtube.com/channel/UCBMWmvja3c_GS4jk8TazobA")</f>
        <v>http://www.youtube.com/channel/UCBMWmvja3c_GS4jk8TazobA</v>
      </c>
      <c r="U60" s="81"/>
      <c r="V60" s="81" t="s">
        <v>839</v>
      </c>
      <c r="W60" s="86" t="str">
        <f>HYPERLINK("https://www.youtube.com/watch?v=Ci9JYIJstPY")</f>
        <v>https://www.youtube.com/watch?v=Ci9JYIJstPY</v>
      </c>
      <c r="X60" s="81" t="s">
        <v>840</v>
      </c>
      <c r="Y60" s="81">
        <v>8</v>
      </c>
      <c r="Z60" s="88">
        <v>44322.052719907406</v>
      </c>
      <c r="AA60" s="88">
        <v>44322.052719907406</v>
      </c>
      <c r="AB60" s="81"/>
      <c r="AC60" s="81"/>
      <c r="AD60" s="84" t="s">
        <v>843</v>
      </c>
      <c r="AE60" s="82">
        <v>2</v>
      </c>
      <c r="AF60" s="83" t="str">
        <f>REPLACE(INDEX(GroupVertices[Group],MATCH(Edges[[#This Row],[Vertex 1]],GroupVertices[Vertex],0)),1,1,"")</f>
        <v>1</v>
      </c>
      <c r="AG60" s="83" t="str">
        <f>REPLACE(INDEX(GroupVertices[Group],MATCH(Edges[[#This Row],[Vertex 2]],GroupVertices[Vertex],0)),1,1,"")</f>
        <v>1</v>
      </c>
      <c r="AH60" s="111">
        <v>4</v>
      </c>
      <c r="AI60" s="112">
        <v>10</v>
      </c>
      <c r="AJ60" s="111">
        <v>3</v>
      </c>
      <c r="AK60" s="112">
        <v>7.5</v>
      </c>
      <c r="AL60" s="111">
        <v>0</v>
      </c>
      <c r="AM60" s="112">
        <v>0</v>
      </c>
      <c r="AN60" s="111">
        <v>36</v>
      </c>
      <c r="AO60" s="112">
        <v>90</v>
      </c>
      <c r="AP60" s="111">
        <v>40</v>
      </c>
    </row>
    <row r="61" spans="1:42" ht="15">
      <c r="A61" s="65" t="s">
        <v>377</v>
      </c>
      <c r="B61" s="65" t="s">
        <v>479</v>
      </c>
      <c r="C61" s="66" t="s">
        <v>1613</v>
      </c>
      <c r="D61" s="67">
        <v>3</v>
      </c>
      <c r="E61" s="68"/>
      <c r="F61" s="69">
        <v>40</v>
      </c>
      <c r="G61" s="66"/>
      <c r="H61" s="70"/>
      <c r="I61" s="71"/>
      <c r="J61" s="71"/>
      <c r="K61" s="35" t="s">
        <v>65</v>
      </c>
      <c r="L61" s="79">
        <v>61</v>
      </c>
      <c r="M61" s="79"/>
      <c r="N61" s="73"/>
      <c r="O61" s="81" t="s">
        <v>481</v>
      </c>
      <c r="P61" s="81" t="s">
        <v>314</v>
      </c>
      <c r="Q61" s="84" t="s">
        <v>542</v>
      </c>
      <c r="R61" s="81" t="s">
        <v>377</v>
      </c>
      <c r="S61" s="81" t="s">
        <v>717</v>
      </c>
      <c r="T61" s="86" t="str">
        <f>HYPERLINK("http://www.youtube.com/channel/UCcMtkpfkQVuIi6F5bxuX-0w")</f>
        <v>http://www.youtube.com/channel/UCcMtkpfkQVuIi6F5bxuX-0w</v>
      </c>
      <c r="U61" s="81"/>
      <c r="V61" s="81" t="s">
        <v>839</v>
      </c>
      <c r="W61" s="86" t="str">
        <f>HYPERLINK("https://www.youtube.com/watch?v=Ci9JYIJstPY")</f>
        <v>https://www.youtube.com/watch?v=Ci9JYIJstPY</v>
      </c>
      <c r="X61" s="81" t="s">
        <v>840</v>
      </c>
      <c r="Y61" s="81">
        <v>1</v>
      </c>
      <c r="Z61" s="88">
        <v>44322.053252314814</v>
      </c>
      <c r="AA61" s="88">
        <v>44322.053252314814</v>
      </c>
      <c r="AB61" s="81"/>
      <c r="AC61" s="81"/>
      <c r="AD61" s="84" t="s">
        <v>843</v>
      </c>
      <c r="AE61" s="82">
        <v>1</v>
      </c>
      <c r="AF61" s="83" t="str">
        <f>REPLACE(INDEX(GroupVertices[Group],MATCH(Edges[[#This Row],[Vertex 1]],GroupVertices[Vertex],0)),1,1,"")</f>
        <v>1</v>
      </c>
      <c r="AG61" s="83" t="str">
        <f>REPLACE(INDEX(GroupVertices[Group],MATCH(Edges[[#This Row],[Vertex 2]],GroupVertices[Vertex],0)),1,1,"")</f>
        <v>1</v>
      </c>
      <c r="AH61" s="111">
        <v>1</v>
      </c>
      <c r="AI61" s="112">
        <v>25</v>
      </c>
      <c r="AJ61" s="111">
        <v>0</v>
      </c>
      <c r="AK61" s="112">
        <v>0</v>
      </c>
      <c r="AL61" s="111">
        <v>0</v>
      </c>
      <c r="AM61" s="112">
        <v>0</v>
      </c>
      <c r="AN61" s="111">
        <v>3</v>
      </c>
      <c r="AO61" s="112">
        <v>75</v>
      </c>
      <c r="AP61" s="111">
        <v>4</v>
      </c>
    </row>
    <row r="62" spans="1:42" ht="15">
      <c r="A62" s="65" t="s">
        <v>378</v>
      </c>
      <c r="B62" s="65" t="s">
        <v>479</v>
      </c>
      <c r="C62" s="66" t="s">
        <v>1613</v>
      </c>
      <c r="D62" s="67">
        <v>3</v>
      </c>
      <c r="E62" s="68"/>
      <c r="F62" s="69">
        <v>40</v>
      </c>
      <c r="G62" s="66"/>
      <c r="H62" s="70"/>
      <c r="I62" s="71"/>
      <c r="J62" s="71"/>
      <c r="K62" s="35" t="s">
        <v>65</v>
      </c>
      <c r="L62" s="79">
        <v>62</v>
      </c>
      <c r="M62" s="79"/>
      <c r="N62" s="73"/>
      <c r="O62" s="81" t="s">
        <v>481</v>
      </c>
      <c r="P62" s="81" t="s">
        <v>314</v>
      </c>
      <c r="Q62" s="84" t="s">
        <v>543</v>
      </c>
      <c r="R62" s="81" t="s">
        <v>378</v>
      </c>
      <c r="S62" s="81" t="s">
        <v>718</v>
      </c>
      <c r="T62" s="86" t="str">
        <f>HYPERLINK("http://www.youtube.com/channel/UCWfOzUjfeErYNcOaL4VcKvA")</f>
        <v>http://www.youtube.com/channel/UCWfOzUjfeErYNcOaL4VcKvA</v>
      </c>
      <c r="U62" s="81"/>
      <c r="V62" s="81" t="s">
        <v>839</v>
      </c>
      <c r="W62" s="86" t="str">
        <f>HYPERLINK("https://www.youtube.com/watch?v=Ci9JYIJstPY")</f>
        <v>https://www.youtube.com/watch?v=Ci9JYIJstPY</v>
      </c>
      <c r="X62" s="81" t="s">
        <v>840</v>
      </c>
      <c r="Y62" s="81">
        <v>0</v>
      </c>
      <c r="Z62" s="88">
        <v>44322.05366898148</v>
      </c>
      <c r="AA62" s="88">
        <v>44322.05366898148</v>
      </c>
      <c r="AB62" s="81"/>
      <c r="AC62" s="81"/>
      <c r="AD62" s="84" t="s">
        <v>843</v>
      </c>
      <c r="AE62" s="82">
        <v>1</v>
      </c>
      <c r="AF62" s="83" t="str">
        <f>REPLACE(INDEX(GroupVertices[Group],MATCH(Edges[[#This Row],[Vertex 1]],GroupVertices[Vertex],0)),1,1,"")</f>
        <v>1</v>
      </c>
      <c r="AG62" s="83" t="str">
        <f>REPLACE(INDEX(GroupVertices[Group],MATCH(Edges[[#This Row],[Vertex 2]],GroupVertices[Vertex],0)),1,1,"")</f>
        <v>1</v>
      </c>
      <c r="AH62" s="111">
        <v>0</v>
      </c>
      <c r="AI62" s="112">
        <v>0</v>
      </c>
      <c r="AJ62" s="111">
        <v>0</v>
      </c>
      <c r="AK62" s="112">
        <v>0</v>
      </c>
      <c r="AL62" s="111">
        <v>0</v>
      </c>
      <c r="AM62" s="112">
        <v>0</v>
      </c>
      <c r="AN62" s="111">
        <v>0</v>
      </c>
      <c r="AO62" s="112">
        <v>0</v>
      </c>
      <c r="AP62" s="111">
        <v>0</v>
      </c>
    </row>
    <row r="63" spans="1:42" ht="15">
      <c r="A63" s="65" t="s">
        <v>379</v>
      </c>
      <c r="B63" s="65" t="s">
        <v>479</v>
      </c>
      <c r="C63" s="66" t="s">
        <v>1613</v>
      </c>
      <c r="D63" s="67">
        <v>3</v>
      </c>
      <c r="E63" s="68"/>
      <c r="F63" s="69">
        <v>40</v>
      </c>
      <c r="G63" s="66"/>
      <c r="H63" s="70"/>
      <c r="I63" s="71"/>
      <c r="J63" s="71"/>
      <c r="K63" s="35" t="s">
        <v>65</v>
      </c>
      <c r="L63" s="79">
        <v>63</v>
      </c>
      <c r="M63" s="79"/>
      <c r="N63" s="73"/>
      <c r="O63" s="81" t="s">
        <v>481</v>
      </c>
      <c r="P63" s="81" t="s">
        <v>314</v>
      </c>
      <c r="Q63" s="84" t="s">
        <v>544</v>
      </c>
      <c r="R63" s="81" t="s">
        <v>379</v>
      </c>
      <c r="S63" s="81" t="s">
        <v>719</v>
      </c>
      <c r="T63" s="86" t="str">
        <f>HYPERLINK("http://www.youtube.com/channel/UCeeL1I50sPpXQ0-0IaswtEg")</f>
        <v>http://www.youtube.com/channel/UCeeL1I50sPpXQ0-0IaswtEg</v>
      </c>
      <c r="U63" s="81"/>
      <c r="V63" s="81" t="s">
        <v>839</v>
      </c>
      <c r="W63" s="86" t="str">
        <f>HYPERLINK("https://www.youtube.com/watch?v=Ci9JYIJstPY")</f>
        <v>https://www.youtube.com/watch?v=Ci9JYIJstPY</v>
      </c>
      <c r="X63" s="81" t="s">
        <v>840</v>
      </c>
      <c r="Y63" s="81">
        <v>0</v>
      </c>
      <c r="Z63" s="88">
        <v>44322.05496527778</v>
      </c>
      <c r="AA63" s="88">
        <v>44322.05496527778</v>
      </c>
      <c r="AB63" s="81"/>
      <c r="AC63" s="81"/>
      <c r="AD63" s="84" t="s">
        <v>843</v>
      </c>
      <c r="AE63" s="82">
        <v>1</v>
      </c>
      <c r="AF63" s="83" t="str">
        <f>REPLACE(INDEX(GroupVertices[Group],MATCH(Edges[[#This Row],[Vertex 1]],GroupVertices[Vertex],0)),1,1,"")</f>
        <v>1</v>
      </c>
      <c r="AG63" s="83" t="str">
        <f>REPLACE(INDEX(GroupVertices[Group],MATCH(Edges[[#This Row],[Vertex 2]],GroupVertices[Vertex],0)),1,1,"")</f>
        <v>1</v>
      </c>
      <c r="AH63" s="111">
        <v>0</v>
      </c>
      <c r="AI63" s="112">
        <v>0</v>
      </c>
      <c r="AJ63" s="111">
        <v>1</v>
      </c>
      <c r="AK63" s="112">
        <v>33.333333333333336</v>
      </c>
      <c r="AL63" s="111">
        <v>0</v>
      </c>
      <c r="AM63" s="112">
        <v>0</v>
      </c>
      <c r="AN63" s="111">
        <v>2</v>
      </c>
      <c r="AO63" s="112">
        <v>66.66666666666667</v>
      </c>
      <c r="AP63" s="111">
        <v>3</v>
      </c>
    </row>
    <row r="64" spans="1:42" ht="15">
      <c r="A64" s="65" t="s">
        <v>380</v>
      </c>
      <c r="B64" s="65" t="s">
        <v>479</v>
      </c>
      <c r="C64" s="66" t="s">
        <v>1613</v>
      </c>
      <c r="D64" s="67">
        <v>3</v>
      </c>
      <c r="E64" s="68"/>
      <c r="F64" s="69">
        <v>40</v>
      </c>
      <c r="G64" s="66"/>
      <c r="H64" s="70"/>
      <c r="I64" s="71"/>
      <c r="J64" s="71"/>
      <c r="K64" s="35" t="s">
        <v>65</v>
      </c>
      <c r="L64" s="79">
        <v>64</v>
      </c>
      <c r="M64" s="79"/>
      <c r="N64" s="73"/>
      <c r="O64" s="81" t="s">
        <v>481</v>
      </c>
      <c r="P64" s="81" t="s">
        <v>314</v>
      </c>
      <c r="Q64" s="84" t="s">
        <v>545</v>
      </c>
      <c r="R64" s="81" t="s">
        <v>380</v>
      </c>
      <c r="S64" s="81" t="s">
        <v>720</v>
      </c>
      <c r="T64" s="86" t="str">
        <f>HYPERLINK("http://www.youtube.com/channel/UC2YGSUJ7Q7r_bWzcHvqGvaA")</f>
        <v>http://www.youtube.com/channel/UC2YGSUJ7Q7r_bWzcHvqGvaA</v>
      </c>
      <c r="U64" s="81"/>
      <c r="V64" s="81" t="s">
        <v>839</v>
      </c>
      <c r="W64" s="86" t="str">
        <f>HYPERLINK("https://www.youtube.com/watch?v=Ci9JYIJstPY")</f>
        <v>https://www.youtube.com/watch?v=Ci9JYIJstPY</v>
      </c>
      <c r="X64" s="81" t="s">
        <v>840</v>
      </c>
      <c r="Y64" s="81">
        <v>30</v>
      </c>
      <c r="Z64" s="88">
        <v>44322.055555555555</v>
      </c>
      <c r="AA64" s="88">
        <v>44322.055555555555</v>
      </c>
      <c r="AB64" s="81"/>
      <c r="AC64" s="81"/>
      <c r="AD64" s="84" t="s">
        <v>843</v>
      </c>
      <c r="AE64" s="82">
        <v>1</v>
      </c>
      <c r="AF64" s="83" t="str">
        <f>REPLACE(INDEX(GroupVertices[Group],MATCH(Edges[[#This Row],[Vertex 1]],GroupVertices[Vertex],0)),1,1,"")</f>
        <v>1</v>
      </c>
      <c r="AG64" s="83" t="str">
        <f>REPLACE(INDEX(GroupVertices[Group],MATCH(Edges[[#This Row],[Vertex 2]],GroupVertices[Vertex],0)),1,1,"")</f>
        <v>1</v>
      </c>
      <c r="AH64" s="111">
        <v>0</v>
      </c>
      <c r="AI64" s="112">
        <v>0</v>
      </c>
      <c r="AJ64" s="111">
        <v>1</v>
      </c>
      <c r="AK64" s="112">
        <v>14.285714285714286</v>
      </c>
      <c r="AL64" s="111">
        <v>0</v>
      </c>
      <c r="AM64" s="112">
        <v>0</v>
      </c>
      <c r="AN64" s="111">
        <v>6</v>
      </c>
      <c r="AO64" s="112">
        <v>85.71428571428571</v>
      </c>
      <c r="AP64" s="111">
        <v>7</v>
      </c>
    </row>
    <row r="65" spans="1:42" ht="15">
      <c r="A65" s="65" t="s">
        <v>381</v>
      </c>
      <c r="B65" s="65" t="s">
        <v>479</v>
      </c>
      <c r="C65" s="66" t="s">
        <v>1613</v>
      </c>
      <c r="D65" s="67">
        <v>3</v>
      </c>
      <c r="E65" s="68"/>
      <c r="F65" s="69">
        <v>40</v>
      </c>
      <c r="G65" s="66"/>
      <c r="H65" s="70"/>
      <c r="I65" s="71"/>
      <c r="J65" s="71"/>
      <c r="K65" s="35" t="s">
        <v>65</v>
      </c>
      <c r="L65" s="79">
        <v>65</v>
      </c>
      <c r="M65" s="79"/>
      <c r="N65" s="73"/>
      <c r="O65" s="81" t="s">
        <v>481</v>
      </c>
      <c r="P65" s="81" t="s">
        <v>314</v>
      </c>
      <c r="Q65" s="84" t="s">
        <v>546</v>
      </c>
      <c r="R65" s="81" t="s">
        <v>381</v>
      </c>
      <c r="S65" s="81" t="s">
        <v>721</v>
      </c>
      <c r="T65" s="86" t="str">
        <f>HYPERLINK("http://www.youtube.com/channel/UCRItJ0PKDY9MWYne5EKovMQ")</f>
        <v>http://www.youtube.com/channel/UCRItJ0PKDY9MWYne5EKovMQ</v>
      </c>
      <c r="U65" s="81"/>
      <c r="V65" s="81" t="s">
        <v>839</v>
      </c>
      <c r="W65" s="86" t="str">
        <f>HYPERLINK("https://www.youtube.com/watch?v=Ci9JYIJstPY")</f>
        <v>https://www.youtube.com/watch?v=Ci9JYIJstPY</v>
      </c>
      <c r="X65" s="81" t="s">
        <v>840</v>
      </c>
      <c r="Y65" s="81">
        <v>2</v>
      </c>
      <c r="Z65" s="88">
        <v>44322.056296296294</v>
      </c>
      <c r="AA65" s="88">
        <v>44322.056296296294</v>
      </c>
      <c r="AB65" s="81"/>
      <c r="AC65" s="81"/>
      <c r="AD65" s="84" t="s">
        <v>843</v>
      </c>
      <c r="AE65" s="82">
        <v>1</v>
      </c>
      <c r="AF65" s="83" t="str">
        <f>REPLACE(INDEX(GroupVertices[Group],MATCH(Edges[[#This Row],[Vertex 1]],GroupVertices[Vertex],0)),1,1,"")</f>
        <v>1</v>
      </c>
      <c r="AG65" s="83" t="str">
        <f>REPLACE(INDEX(GroupVertices[Group],MATCH(Edges[[#This Row],[Vertex 2]],GroupVertices[Vertex],0)),1,1,"")</f>
        <v>1</v>
      </c>
      <c r="AH65" s="111">
        <v>0</v>
      </c>
      <c r="AI65" s="112">
        <v>0</v>
      </c>
      <c r="AJ65" s="111">
        <v>0</v>
      </c>
      <c r="AK65" s="112">
        <v>0</v>
      </c>
      <c r="AL65" s="111">
        <v>0</v>
      </c>
      <c r="AM65" s="112">
        <v>0</v>
      </c>
      <c r="AN65" s="111">
        <v>4</v>
      </c>
      <c r="AO65" s="112">
        <v>100</v>
      </c>
      <c r="AP65" s="111">
        <v>4</v>
      </c>
    </row>
    <row r="66" spans="1:42" ht="15">
      <c r="A66" s="65" t="s">
        <v>382</v>
      </c>
      <c r="B66" s="65" t="s">
        <v>479</v>
      </c>
      <c r="C66" s="66" t="s">
        <v>1613</v>
      </c>
      <c r="D66" s="67">
        <v>3</v>
      </c>
      <c r="E66" s="68"/>
      <c r="F66" s="69">
        <v>40</v>
      </c>
      <c r="G66" s="66"/>
      <c r="H66" s="70"/>
      <c r="I66" s="71"/>
      <c r="J66" s="71"/>
      <c r="K66" s="35" t="s">
        <v>65</v>
      </c>
      <c r="L66" s="79">
        <v>66</v>
      </c>
      <c r="M66" s="79"/>
      <c r="N66" s="73"/>
      <c r="O66" s="81" t="s">
        <v>481</v>
      </c>
      <c r="P66" s="81" t="s">
        <v>314</v>
      </c>
      <c r="Q66" s="84" t="s">
        <v>547</v>
      </c>
      <c r="R66" s="81" t="s">
        <v>382</v>
      </c>
      <c r="S66" s="81" t="s">
        <v>722</v>
      </c>
      <c r="T66" s="86" t="str">
        <f>HYPERLINK("http://www.youtube.com/channel/UCeV58bfiRGauOf8N_45041A")</f>
        <v>http://www.youtube.com/channel/UCeV58bfiRGauOf8N_45041A</v>
      </c>
      <c r="U66" s="81"/>
      <c r="V66" s="81" t="s">
        <v>839</v>
      </c>
      <c r="W66" s="86" t="str">
        <f>HYPERLINK("https://www.youtube.com/watch?v=Ci9JYIJstPY")</f>
        <v>https://www.youtube.com/watch?v=Ci9JYIJstPY</v>
      </c>
      <c r="X66" s="81" t="s">
        <v>840</v>
      </c>
      <c r="Y66" s="81">
        <v>0</v>
      </c>
      <c r="Z66" s="88">
        <v>44322.06130787037</v>
      </c>
      <c r="AA66" s="88">
        <v>44322.06130787037</v>
      </c>
      <c r="AB66" s="81"/>
      <c r="AC66" s="81"/>
      <c r="AD66" s="84" t="s">
        <v>843</v>
      </c>
      <c r="AE66" s="82">
        <v>1</v>
      </c>
      <c r="AF66" s="83" t="str">
        <f>REPLACE(INDEX(GroupVertices[Group],MATCH(Edges[[#This Row],[Vertex 1]],GroupVertices[Vertex],0)),1,1,"")</f>
        <v>1</v>
      </c>
      <c r="AG66" s="83" t="str">
        <f>REPLACE(INDEX(GroupVertices[Group],MATCH(Edges[[#This Row],[Vertex 2]],GroupVertices[Vertex],0)),1,1,"")</f>
        <v>1</v>
      </c>
      <c r="AH66" s="111">
        <v>1</v>
      </c>
      <c r="AI66" s="112">
        <v>2.6315789473684212</v>
      </c>
      <c r="AJ66" s="111">
        <v>2</v>
      </c>
      <c r="AK66" s="112">
        <v>5.2631578947368425</v>
      </c>
      <c r="AL66" s="111">
        <v>0</v>
      </c>
      <c r="AM66" s="112">
        <v>0</v>
      </c>
      <c r="AN66" s="111">
        <v>35</v>
      </c>
      <c r="AO66" s="112">
        <v>92.10526315789474</v>
      </c>
      <c r="AP66" s="111">
        <v>38</v>
      </c>
    </row>
    <row r="67" spans="1:42" ht="15">
      <c r="A67" s="65" t="s">
        <v>383</v>
      </c>
      <c r="B67" s="65" t="s">
        <v>479</v>
      </c>
      <c r="C67" s="66" t="s">
        <v>1613</v>
      </c>
      <c r="D67" s="67">
        <v>3</v>
      </c>
      <c r="E67" s="68"/>
      <c r="F67" s="69">
        <v>40</v>
      </c>
      <c r="G67" s="66"/>
      <c r="H67" s="70"/>
      <c r="I67" s="71"/>
      <c r="J67" s="71"/>
      <c r="K67" s="35" t="s">
        <v>65</v>
      </c>
      <c r="L67" s="79">
        <v>67</v>
      </c>
      <c r="M67" s="79"/>
      <c r="N67" s="73"/>
      <c r="O67" s="81" t="s">
        <v>481</v>
      </c>
      <c r="P67" s="81" t="s">
        <v>314</v>
      </c>
      <c r="Q67" s="84" t="s">
        <v>548</v>
      </c>
      <c r="R67" s="81" t="s">
        <v>383</v>
      </c>
      <c r="S67" s="81" t="s">
        <v>723</v>
      </c>
      <c r="T67" s="86" t="str">
        <f>HYPERLINK("http://www.youtube.com/channel/UCSCzVOLLdSoDPwOZG9LE78w")</f>
        <v>http://www.youtube.com/channel/UCSCzVOLLdSoDPwOZG9LE78w</v>
      </c>
      <c r="U67" s="81"/>
      <c r="V67" s="81" t="s">
        <v>839</v>
      </c>
      <c r="W67" s="86" t="str">
        <f>HYPERLINK("https://www.youtube.com/watch?v=Ci9JYIJstPY")</f>
        <v>https://www.youtube.com/watch?v=Ci9JYIJstPY</v>
      </c>
      <c r="X67" s="81" t="s">
        <v>840</v>
      </c>
      <c r="Y67" s="81">
        <v>16</v>
      </c>
      <c r="Z67" s="88">
        <v>44322.064479166664</v>
      </c>
      <c r="AA67" s="88">
        <v>44322.064479166664</v>
      </c>
      <c r="AB67" s="81"/>
      <c r="AC67" s="81"/>
      <c r="AD67" s="84" t="s">
        <v>843</v>
      </c>
      <c r="AE67" s="82">
        <v>1</v>
      </c>
      <c r="AF67" s="83" t="str">
        <f>REPLACE(INDEX(GroupVertices[Group],MATCH(Edges[[#This Row],[Vertex 1]],GroupVertices[Vertex],0)),1,1,"")</f>
        <v>1</v>
      </c>
      <c r="AG67" s="83" t="str">
        <f>REPLACE(INDEX(GroupVertices[Group],MATCH(Edges[[#This Row],[Vertex 2]],GroupVertices[Vertex],0)),1,1,"")</f>
        <v>1</v>
      </c>
      <c r="AH67" s="111">
        <v>0</v>
      </c>
      <c r="AI67" s="112">
        <v>0</v>
      </c>
      <c r="AJ67" s="111">
        <v>0</v>
      </c>
      <c r="AK67" s="112">
        <v>0</v>
      </c>
      <c r="AL67" s="111">
        <v>0</v>
      </c>
      <c r="AM67" s="112">
        <v>0</v>
      </c>
      <c r="AN67" s="111">
        <v>19</v>
      </c>
      <c r="AO67" s="112">
        <v>100</v>
      </c>
      <c r="AP67" s="111">
        <v>19</v>
      </c>
    </row>
    <row r="68" spans="1:42" ht="15">
      <c r="A68" s="65" t="s">
        <v>384</v>
      </c>
      <c r="B68" s="65" t="s">
        <v>479</v>
      </c>
      <c r="C68" s="66" t="s">
        <v>1613</v>
      </c>
      <c r="D68" s="67">
        <v>3</v>
      </c>
      <c r="E68" s="68"/>
      <c r="F68" s="69">
        <v>40</v>
      </c>
      <c r="G68" s="66"/>
      <c r="H68" s="70"/>
      <c r="I68" s="71"/>
      <c r="J68" s="71"/>
      <c r="K68" s="35" t="s">
        <v>65</v>
      </c>
      <c r="L68" s="79">
        <v>68</v>
      </c>
      <c r="M68" s="79"/>
      <c r="N68" s="73"/>
      <c r="O68" s="81" t="s">
        <v>481</v>
      </c>
      <c r="P68" s="81" t="s">
        <v>314</v>
      </c>
      <c r="Q68" s="84" t="s">
        <v>549</v>
      </c>
      <c r="R68" s="81" t="s">
        <v>384</v>
      </c>
      <c r="S68" s="81" t="s">
        <v>724</v>
      </c>
      <c r="T68" s="86" t="str">
        <f>HYPERLINK("http://www.youtube.com/channel/UCl6TpekMDFS5YA7Llp8CMFA")</f>
        <v>http://www.youtube.com/channel/UCl6TpekMDFS5YA7Llp8CMFA</v>
      </c>
      <c r="U68" s="81"/>
      <c r="V68" s="81" t="s">
        <v>839</v>
      </c>
      <c r="W68" s="86" t="str">
        <f>HYPERLINK("https://www.youtube.com/watch?v=Ci9JYIJstPY")</f>
        <v>https://www.youtube.com/watch?v=Ci9JYIJstPY</v>
      </c>
      <c r="X68" s="81" t="s">
        <v>840</v>
      </c>
      <c r="Y68" s="81">
        <v>0</v>
      </c>
      <c r="Z68" s="88">
        <v>44322.067453703705</v>
      </c>
      <c r="AA68" s="88">
        <v>44322.067453703705</v>
      </c>
      <c r="AB68" s="81"/>
      <c r="AC68" s="81"/>
      <c r="AD68" s="84" t="s">
        <v>843</v>
      </c>
      <c r="AE68" s="82">
        <v>1</v>
      </c>
      <c r="AF68" s="83" t="str">
        <f>REPLACE(INDEX(GroupVertices[Group],MATCH(Edges[[#This Row],[Vertex 1]],GroupVertices[Vertex],0)),1,1,"")</f>
        <v>1</v>
      </c>
      <c r="AG68" s="83" t="str">
        <f>REPLACE(INDEX(GroupVertices[Group],MATCH(Edges[[#This Row],[Vertex 2]],GroupVertices[Vertex],0)),1,1,"")</f>
        <v>1</v>
      </c>
      <c r="AH68" s="111">
        <v>0</v>
      </c>
      <c r="AI68" s="112">
        <v>0</v>
      </c>
      <c r="AJ68" s="111">
        <v>0</v>
      </c>
      <c r="AK68" s="112">
        <v>0</v>
      </c>
      <c r="AL68" s="111">
        <v>0</v>
      </c>
      <c r="AM68" s="112">
        <v>0</v>
      </c>
      <c r="AN68" s="111">
        <v>2</v>
      </c>
      <c r="AO68" s="112">
        <v>100</v>
      </c>
      <c r="AP68" s="111">
        <v>2</v>
      </c>
    </row>
    <row r="69" spans="1:42" ht="15">
      <c r="A69" s="65" t="s">
        <v>385</v>
      </c>
      <c r="B69" s="65" t="s">
        <v>479</v>
      </c>
      <c r="C69" s="66" t="s">
        <v>1613</v>
      </c>
      <c r="D69" s="67">
        <v>3</v>
      </c>
      <c r="E69" s="68"/>
      <c r="F69" s="69">
        <v>40</v>
      </c>
      <c r="G69" s="66"/>
      <c r="H69" s="70"/>
      <c r="I69" s="71"/>
      <c r="J69" s="71"/>
      <c r="K69" s="35" t="s">
        <v>65</v>
      </c>
      <c r="L69" s="79">
        <v>69</v>
      </c>
      <c r="M69" s="79"/>
      <c r="N69" s="73"/>
      <c r="O69" s="81" t="s">
        <v>481</v>
      </c>
      <c r="P69" s="81" t="s">
        <v>314</v>
      </c>
      <c r="Q69" s="84" t="s">
        <v>550</v>
      </c>
      <c r="R69" s="81" t="s">
        <v>385</v>
      </c>
      <c r="S69" s="81" t="s">
        <v>725</v>
      </c>
      <c r="T69" s="86" t="str">
        <f>HYPERLINK("http://www.youtube.com/channel/UCIHuJRBYVtuBMSdxgXbheiA")</f>
        <v>http://www.youtube.com/channel/UCIHuJRBYVtuBMSdxgXbheiA</v>
      </c>
      <c r="U69" s="81"/>
      <c r="V69" s="81" t="s">
        <v>839</v>
      </c>
      <c r="W69" s="86" t="str">
        <f>HYPERLINK("https://www.youtube.com/watch?v=Ci9JYIJstPY")</f>
        <v>https://www.youtube.com/watch?v=Ci9JYIJstPY</v>
      </c>
      <c r="X69" s="81" t="s">
        <v>840</v>
      </c>
      <c r="Y69" s="81">
        <v>0</v>
      </c>
      <c r="Z69" s="88">
        <v>44322.07067129629</v>
      </c>
      <c r="AA69" s="88">
        <v>44322.07067129629</v>
      </c>
      <c r="AB69" s="81"/>
      <c r="AC69" s="81"/>
      <c r="AD69" s="84" t="s">
        <v>843</v>
      </c>
      <c r="AE69" s="82">
        <v>1</v>
      </c>
      <c r="AF69" s="83" t="str">
        <f>REPLACE(INDEX(GroupVertices[Group],MATCH(Edges[[#This Row],[Vertex 1]],GroupVertices[Vertex],0)),1,1,"")</f>
        <v>1</v>
      </c>
      <c r="AG69" s="83" t="str">
        <f>REPLACE(INDEX(GroupVertices[Group],MATCH(Edges[[#This Row],[Vertex 2]],GroupVertices[Vertex],0)),1,1,"")</f>
        <v>1</v>
      </c>
      <c r="AH69" s="111">
        <v>0</v>
      </c>
      <c r="AI69" s="112">
        <v>0</v>
      </c>
      <c r="AJ69" s="111">
        <v>0</v>
      </c>
      <c r="AK69" s="112">
        <v>0</v>
      </c>
      <c r="AL69" s="111">
        <v>0</v>
      </c>
      <c r="AM69" s="112">
        <v>0</v>
      </c>
      <c r="AN69" s="111">
        <v>0</v>
      </c>
      <c r="AO69" s="112">
        <v>0</v>
      </c>
      <c r="AP69" s="111">
        <v>0</v>
      </c>
    </row>
    <row r="70" spans="1:42" ht="15">
      <c r="A70" s="65" t="s">
        <v>386</v>
      </c>
      <c r="B70" s="65" t="s">
        <v>479</v>
      </c>
      <c r="C70" s="66" t="s">
        <v>1613</v>
      </c>
      <c r="D70" s="67">
        <v>3</v>
      </c>
      <c r="E70" s="68"/>
      <c r="F70" s="69">
        <v>40</v>
      </c>
      <c r="G70" s="66"/>
      <c r="H70" s="70"/>
      <c r="I70" s="71"/>
      <c r="J70" s="71"/>
      <c r="K70" s="35" t="s">
        <v>65</v>
      </c>
      <c r="L70" s="79">
        <v>70</v>
      </c>
      <c r="M70" s="79"/>
      <c r="N70" s="73"/>
      <c r="O70" s="81" t="s">
        <v>481</v>
      </c>
      <c r="P70" s="81" t="s">
        <v>314</v>
      </c>
      <c r="Q70" s="84" t="s">
        <v>551</v>
      </c>
      <c r="R70" s="81" t="s">
        <v>386</v>
      </c>
      <c r="S70" s="81" t="s">
        <v>726</v>
      </c>
      <c r="T70" s="86" t="str">
        <f>HYPERLINK("http://www.youtube.com/channel/UC3mmq2lODpoaRt80Sb2Rz6g")</f>
        <v>http://www.youtube.com/channel/UC3mmq2lODpoaRt80Sb2Rz6g</v>
      </c>
      <c r="U70" s="81"/>
      <c r="V70" s="81" t="s">
        <v>839</v>
      </c>
      <c r="W70" s="86" t="str">
        <f>HYPERLINK("https://www.youtube.com/watch?v=Ci9JYIJstPY")</f>
        <v>https://www.youtube.com/watch?v=Ci9JYIJstPY</v>
      </c>
      <c r="X70" s="81" t="s">
        <v>840</v>
      </c>
      <c r="Y70" s="81">
        <v>11</v>
      </c>
      <c r="Z70" s="88">
        <v>44322.072546296295</v>
      </c>
      <c r="AA70" s="88">
        <v>44322.072546296295</v>
      </c>
      <c r="AB70" s="81"/>
      <c r="AC70" s="81"/>
      <c r="AD70" s="84" t="s">
        <v>843</v>
      </c>
      <c r="AE70" s="82">
        <v>1</v>
      </c>
      <c r="AF70" s="83" t="str">
        <f>REPLACE(INDEX(GroupVertices[Group],MATCH(Edges[[#This Row],[Vertex 1]],GroupVertices[Vertex],0)),1,1,"")</f>
        <v>1</v>
      </c>
      <c r="AG70" s="83" t="str">
        <f>REPLACE(INDEX(GroupVertices[Group],MATCH(Edges[[#This Row],[Vertex 2]],GroupVertices[Vertex],0)),1,1,"")</f>
        <v>1</v>
      </c>
      <c r="AH70" s="111">
        <v>3</v>
      </c>
      <c r="AI70" s="112">
        <v>25</v>
      </c>
      <c r="AJ70" s="111">
        <v>2</v>
      </c>
      <c r="AK70" s="112">
        <v>16.666666666666668</v>
      </c>
      <c r="AL70" s="111">
        <v>0</v>
      </c>
      <c r="AM70" s="112">
        <v>0</v>
      </c>
      <c r="AN70" s="111">
        <v>9</v>
      </c>
      <c r="AO70" s="112">
        <v>75</v>
      </c>
      <c r="AP70" s="111">
        <v>12</v>
      </c>
    </row>
    <row r="71" spans="1:42" ht="15">
      <c r="A71" s="65" t="s">
        <v>387</v>
      </c>
      <c r="B71" s="65" t="s">
        <v>389</v>
      </c>
      <c r="C71" s="66" t="s">
        <v>1613</v>
      </c>
      <c r="D71" s="67">
        <v>3</v>
      </c>
      <c r="E71" s="68"/>
      <c r="F71" s="69">
        <v>40</v>
      </c>
      <c r="G71" s="66"/>
      <c r="H71" s="70"/>
      <c r="I71" s="71"/>
      <c r="J71" s="71"/>
      <c r="K71" s="35" t="s">
        <v>65</v>
      </c>
      <c r="L71" s="79">
        <v>71</v>
      </c>
      <c r="M71" s="79"/>
      <c r="N71" s="73"/>
      <c r="O71" s="81" t="s">
        <v>482</v>
      </c>
      <c r="P71" s="81" t="s">
        <v>484</v>
      </c>
      <c r="Q71" s="84" t="s">
        <v>552</v>
      </c>
      <c r="R71" s="81" t="s">
        <v>387</v>
      </c>
      <c r="S71" s="81" t="s">
        <v>727</v>
      </c>
      <c r="T71" s="86" t="str">
        <f>HYPERLINK("http://www.youtube.com/channel/UCeDtLNEDoMVNjXOzXfJlvfA")</f>
        <v>http://www.youtube.com/channel/UCeDtLNEDoMVNjXOzXfJlvfA</v>
      </c>
      <c r="U71" s="81" t="s">
        <v>828</v>
      </c>
      <c r="V71" s="81" t="s">
        <v>839</v>
      </c>
      <c r="W71" s="86" t="str">
        <f>HYPERLINK("https://www.youtube.com/watch?v=Ci9JYIJstPY")</f>
        <v>https://www.youtube.com/watch?v=Ci9JYIJstPY</v>
      </c>
      <c r="X71" s="81" t="s">
        <v>840</v>
      </c>
      <c r="Y71" s="81">
        <v>0</v>
      </c>
      <c r="Z71" s="88">
        <v>44322.17638888889</v>
      </c>
      <c r="AA71" s="88">
        <v>44322.17638888889</v>
      </c>
      <c r="AB71" s="81"/>
      <c r="AC71" s="81"/>
      <c r="AD71" s="84" t="s">
        <v>843</v>
      </c>
      <c r="AE71" s="82">
        <v>1</v>
      </c>
      <c r="AF71" s="83" t="str">
        <f>REPLACE(INDEX(GroupVertices[Group],MATCH(Edges[[#This Row],[Vertex 1]],GroupVertices[Vertex],0)),1,1,"")</f>
        <v>3</v>
      </c>
      <c r="AG71" s="83" t="str">
        <f>REPLACE(INDEX(GroupVertices[Group],MATCH(Edges[[#This Row],[Vertex 2]],GroupVertices[Vertex],0)),1,1,"")</f>
        <v>3</v>
      </c>
      <c r="AH71" s="111">
        <v>0</v>
      </c>
      <c r="AI71" s="112">
        <v>0</v>
      </c>
      <c r="AJ71" s="111">
        <v>0</v>
      </c>
      <c r="AK71" s="112">
        <v>0</v>
      </c>
      <c r="AL71" s="111">
        <v>0</v>
      </c>
      <c r="AM71" s="112">
        <v>0</v>
      </c>
      <c r="AN71" s="111">
        <v>15</v>
      </c>
      <c r="AO71" s="112">
        <v>100</v>
      </c>
      <c r="AP71" s="111">
        <v>15</v>
      </c>
    </row>
    <row r="72" spans="1:42" ht="15">
      <c r="A72" s="65" t="s">
        <v>388</v>
      </c>
      <c r="B72" s="65" t="s">
        <v>389</v>
      </c>
      <c r="C72" s="66" t="s">
        <v>1613</v>
      </c>
      <c r="D72" s="67">
        <v>3</v>
      </c>
      <c r="E72" s="68"/>
      <c r="F72" s="69">
        <v>40</v>
      </c>
      <c r="G72" s="66"/>
      <c r="H72" s="70"/>
      <c r="I72" s="71"/>
      <c r="J72" s="71"/>
      <c r="K72" s="35" t="s">
        <v>65</v>
      </c>
      <c r="L72" s="79">
        <v>72</v>
      </c>
      <c r="M72" s="79"/>
      <c r="N72" s="73"/>
      <c r="O72" s="81" t="s">
        <v>482</v>
      </c>
      <c r="P72" s="81" t="s">
        <v>484</v>
      </c>
      <c r="Q72" s="84" t="s">
        <v>553</v>
      </c>
      <c r="R72" s="81" t="s">
        <v>388</v>
      </c>
      <c r="S72" s="81" t="s">
        <v>728</v>
      </c>
      <c r="T72" s="86" t="str">
        <f>HYPERLINK("http://www.youtube.com/channel/UCUNOTEzOFt3gZ53n2hAjWtw")</f>
        <v>http://www.youtube.com/channel/UCUNOTEzOFt3gZ53n2hAjWtw</v>
      </c>
      <c r="U72" s="81" t="s">
        <v>828</v>
      </c>
      <c r="V72" s="81" t="s">
        <v>839</v>
      </c>
      <c r="W72" s="86" t="str">
        <f>HYPERLINK("https://www.youtube.com/watch?v=Ci9JYIJstPY")</f>
        <v>https://www.youtube.com/watch?v=Ci9JYIJstPY</v>
      </c>
      <c r="X72" s="81" t="s">
        <v>840</v>
      </c>
      <c r="Y72" s="81">
        <v>1</v>
      </c>
      <c r="Z72" s="88">
        <v>44322.41619212963</v>
      </c>
      <c r="AA72" s="88">
        <v>44322.41619212963</v>
      </c>
      <c r="AB72" s="81"/>
      <c r="AC72" s="81"/>
      <c r="AD72" s="84" t="s">
        <v>843</v>
      </c>
      <c r="AE72" s="82">
        <v>1</v>
      </c>
      <c r="AF72" s="83" t="str">
        <f>REPLACE(INDEX(GroupVertices[Group],MATCH(Edges[[#This Row],[Vertex 1]],GroupVertices[Vertex],0)),1,1,"")</f>
        <v>3</v>
      </c>
      <c r="AG72" s="83" t="str">
        <f>REPLACE(INDEX(GroupVertices[Group],MATCH(Edges[[#This Row],[Vertex 2]],GroupVertices[Vertex],0)),1,1,"")</f>
        <v>3</v>
      </c>
      <c r="AH72" s="111">
        <v>2</v>
      </c>
      <c r="AI72" s="112">
        <v>2.857142857142857</v>
      </c>
      <c r="AJ72" s="111">
        <v>3</v>
      </c>
      <c r="AK72" s="112">
        <v>4.285714285714286</v>
      </c>
      <c r="AL72" s="111">
        <v>0</v>
      </c>
      <c r="AM72" s="112">
        <v>0</v>
      </c>
      <c r="AN72" s="111">
        <v>66</v>
      </c>
      <c r="AO72" s="112">
        <v>94.28571428571429</v>
      </c>
      <c r="AP72" s="111">
        <v>70</v>
      </c>
    </row>
    <row r="73" spans="1:42" ht="15">
      <c r="A73" s="65" t="s">
        <v>389</v>
      </c>
      <c r="B73" s="65" t="s">
        <v>479</v>
      </c>
      <c r="C73" s="66" t="s">
        <v>1613</v>
      </c>
      <c r="D73" s="67">
        <v>3</v>
      </c>
      <c r="E73" s="68"/>
      <c r="F73" s="69">
        <v>40</v>
      </c>
      <c r="G73" s="66"/>
      <c r="H73" s="70"/>
      <c r="I73" s="71"/>
      <c r="J73" s="71"/>
      <c r="K73" s="35" t="s">
        <v>65</v>
      </c>
      <c r="L73" s="79">
        <v>73</v>
      </c>
      <c r="M73" s="79"/>
      <c r="N73" s="73"/>
      <c r="O73" s="81" t="s">
        <v>481</v>
      </c>
      <c r="P73" s="81" t="s">
        <v>314</v>
      </c>
      <c r="Q73" s="84" t="s">
        <v>554</v>
      </c>
      <c r="R73" s="81" t="s">
        <v>389</v>
      </c>
      <c r="S73" s="81" t="s">
        <v>729</v>
      </c>
      <c r="T73" s="86" t="str">
        <f>HYPERLINK("http://www.youtube.com/channel/UCHMxpmznEsdtL_ui-7H_IqA")</f>
        <v>http://www.youtube.com/channel/UCHMxpmznEsdtL_ui-7H_IqA</v>
      </c>
      <c r="U73" s="81"/>
      <c r="V73" s="81" t="s">
        <v>839</v>
      </c>
      <c r="W73" s="86" t="str">
        <f>HYPERLINK("https://www.youtube.com/watch?v=Ci9JYIJstPY")</f>
        <v>https://www.youtube.com/watch?v=Ci9JYIJstPY</v>
      </c>
      <c r="X73" s="81" t="s">
        <v>840</v>
      </c>
      <c r="Y73" s="81">
        <v>8</v>
      </c>
      <c r="Z73" s="88">
        <v>44322.07759259259</v>
      </c>
      <c r="AA73" s="88">
        <v>44322.07759259259</v>
      </c>
      <c r="AB73" s="81"/>
      <c r="AC73" s="81"/>
      <c r="AD73" s="84" t="s">
        <v>843</v>
      </c>
      <c r="AE73" s="82">
        <v>1</v>
      </c>
      <c r="AF73" s="83" t="str">
        <f>REPLACE(INDEX(GroupVertices[Group],MATCH(Edges[[#This Row],[Vertex 1]],GroupVertices[Vertex],0)),1,1,"")</f>
        <v>3</v>
      </c>
      <c r="AG73" s="83" t="str">
        <f>REPLACE(INDEX(GroupVertices[Group],MATCH(Edges[[#This Row],[Vertex 2]],GroupVertices[Vertex],0)),1,1,"")</f>
        <v>1</v>
      </c>
      <c r="AH73" s="111">
        <v>6</v>
      </c>
      <c r="AI73" s="112">
        <v>12.76595744680851</v>
      </c>
      <c r="AJ73" s="111">
        <v>4</v>
      </c>
      <c r="AK73" s="112">
        <v>8.51063829787234</v>
      </c>
      <c r="AL73" s="111">
        <v>0</v>
      </c>
      <c r="AM73" s="112">
        <v>0</v>
      </c>
      <c r="AN73" s="111">
        <v>41</v>
      </c>
      <c r="AO73" s="112">
        <v>87.23404255319149</v>
      </c>
      <c r="AP73" s="111">
        <v>47</v>
      </c>
    </row>
    <row r="74" spans="1:42" ht="15">
      <c r="A74" s="65" t="s">
        <v>390</v>
      </c>
      <c r="B74" s="65" t="s">
        <v>479</v>
      </c>
      <c r="C74" s="66" t="s">
        <v>1614</v>
      </c>
      <c r="D74" s="67">
        <v>3</v>
      </c>
      <c r="E74" s="68"/>
      <c r="F74" s="69">
        <v>40</v>
      </c>
      <c r="G74" s="66"/>
      <c r="H74" s="70"/>
      <c r="I74" s="71"/>
      <c r="J74" s="71"/>
      <c r="K74" s="35" t="s">
        <v>65</v>
      </c>
      <c r="L74" s="79">
        <v>74</v>
      </c>
      <c r="M74" s="79"/>
      <c r="N74" s="73"/>
      <c r="O74" s="81" t="s">
        <v>481</v>
      </c>
      <c r="P74" s="81" t="s">
        <v>314</v>
      </c>
      <c r="Q74" s="84" t="s">
        <v>555</v>
      </c>
      <c r="R74" s="81" t="s">
        <v>390</v>
      </c>
      <c r="S74" s="81" t="s">
        <v>730</v>
      </c>
      <c r="T74" s="86" t="str">
        <f>HYPERLINK("http://www.youtube.com/channel/UC5u6IjH6W_pWntKlbny1GPQ")</f>
        <v>http://www.youtube.com/channel/UC5u6IjH6W_pWntKlbny1GPQ</v>
      </c>
      <c r="U74" s="81"/>
      <c r="V74" s="81" t="s">
        <v>839</v>
      </c>
      <c r="W74" s="86" t="str">
        <f>HYPERLINK("https://www.youtube.com/watch?v=Ci9JYIJstPY")</f>
        <v>https://www.youtube.com/watch?v=Ci9JYIJstPY</v>
      </c>
      <c r="X74" s="81" t="s">
        <v>840</v>
      </c>
      <c r="Y74" s="81">
        <v>0</v>
      </c>
      <c r="Z74" s="88">
        <v>44322.07778935185</v>
      </c>
      <c r="AA74" s="88">
        <v>44322.07778935185</v>
      </c>
      <c r="AB74" s="81"/>
      <c r="AC74" s="81"/>
      <c r="AD74" s="84" t="s">
        <v>843</v>
      </c>
      <c r="AE74" s="82">
        <v>2</v>
      </c>
      <c r="AF74" s="83" t="str">
        <f>REPLACE(INDEX(GroupVertices[Group],MATCH(Edges[[#This Row],[Vertex 1]],GroupVertices[Vertex],0)),1,1,"")</f>
        <v>1</v>
      </c>
      <c r="AG74" s="83" t="str">
        <f>REPLACE(INDEX(GroupVertices[Group],MATCH(Edges[[#This Row],[Vertex 2]],GroupVertices[Vertex],0)),1,1,"")</f>
        <v>1</v>
      </c>
      <c r="AH74" s="111">
        <v>0</v>
      </c>
      <c r="AI74" s="112">
        <v>0</v>
      </c>
      <c r="AJ74" s="111">
        <v>0</v>
      </c>
      <c r="AK74" s="112">
        <v>0</v>
      </c>
      <c r="AL74" s="111">
        <v>0</v>
      </c>
      <c r="AM74" s="112">
        <v>0</v>
      </c>
      <c r="AN74" s="111">
        <v>9</v>
      </c>
      <c r="AO74" s="112">
        <v>100</v>
      </c>
      <c r="AP74" s="111">
        <v>9</v>
      </c>
    </row>
    <row r="75" spans="1:42" ht="15">
      <c r="A75" s="65" t="s">
        <v>390</v>
      </c>
      <c r="B75" s="65" t="s">
        <v>479</v>
      </c>
      <c r="C75" s="66" t="s">
        <v>1614</v>
      </c>
      <c r="D75" s="67">
        <v>3</v>
      </c>
      <c r="E75" s="68"/>
      <c r="F75" s="69">
        <v>40</v>
      </c>
      <c r="G75" s="66"/>
      <c r="H75" s="70"/>
      <c r="I75" s="71"/>
      <c r="J75" s="71"/>
      <c r="K75" s="35" t="s">
        <v>65</v>
      </c>
      <c r="L75" s="79">
        <v>75</v>
      </c>
      <c r="M75" s="79"/>
      <c r="N75" s="73"/>
      <c r="O75" s="81" t="s">
        <v>481</v>
      </c>
      <c r="P75" s="81" t="s">
        <v>314</v>
      </c>
      <c r="Q75" s="84" t="s">
        <v>556</v>
      </c>
      <c r="R75" s="81" t="s">
        <v>390</v>
      </c>
      <c r="S75" s="81" t="s">
        <v>730</v>
      </c>
      <c r="T75" s="86" t="str">
        <f>HYPERLINK("http://www.youtube.com/channel/UC5u6IjH6W_pWntKlbny1GPQ")</f>
        <v>http://www.youtube.com/channel/UC5u6IjH6W_pWntKlbny1GPQ</v>
      </c>
      <c r="U75" s="81"/>
      <c r="V75" s="81" t="s">
        <v>839</v>
      </c>
      <c r="W75" s="86" t="str">
        <f>HYPERLINK("https://www.youtube.com/watch?v=Ci9JYIJstPY")</f>
        <v>https://www.youtube.com/watch?v=Ci9JYIJstPY</v>
      </c>
      <c r="X75" s="81" t="s">
        <v>840</v>
      </c>
      <c r="Y75" s="81">
        <v>0</v>
      </c>
      <c r="Z75" s="88">
        <v>44322.0781712963</v>
      </c>
      <c r="AA75" s="88">
        <v>44322.0781712963</v>
      </c>
      <c r="AB75" s="81"/>
      <c r="AC75" s="81"/>
      <c r="AD75" s="84" t="s">
        <v>843</v>
      </c>
      <c r="AE75" s="82">
        <v>2</v>
      </c>
      <c r="AF75" s="83" t="str">
        <f>REPLACE(INDEX(GroupVertices[Group],MATCH(Edges[[#This Row],[Vertex 1]],GroupVertices[Vertex],0)),1,1,"")</f>
        <v>1</v>
      </c>
      <c r="AG75" s="83" t="str">
        <f>REPLACE(INDEX(GroupVertices[Group],MATCH(Edges[[#This Row],[Vertex 2]],GroupVertices[Vertex],0)),1,1,"")</f>
        <v>1</v>
      </c>
      <c r="AH75" s="111">
        <v>0</v>
      </c>
      <c r="AI75" s="112">
        <v>0</v>
      </c>
      <c r="AJ75" s="111">
        <v>0</v>
      </c>
      <c r="AK75" s="112">
        <v>0</v>
      </c>
      <c r="AL75" s="111">
        <v>0</v>
      </c>
      <c r="AM75" s="112">
        <v>0</v>
      </c>
      <c r="AN75" s="111">
        <v>6</v>
      </c>
      <c r="AO75" s="112">
        <v>100</v>
      </c>
      <c r="AP75" s="111">
        <v>6</v>
      </c>
    </row>
    <row r="76" spans="1:42" ht="15">
      <c r="A76" s="65" t="s">
        <v>391</v>
      </c>
      <c r="B76" s="65" t="s">
        <v>479</v>
      </c>
      <c r="C76" s="66" t="s">
        <v>1613</v>
      </c>
      <c r="D76" s="67">
        <v>3</v>
      </c>
      <c r="E76" s="68"/>
      <c r="F76" s="69">
        <v>40</v>
      </c>
      <c r="G76" s="66"/>
      <c r="H76" s="70"/>
      <c r="I76" s="71"/>
      <c r="J76" s="71"/>
      <c r="K76" s="35" t="s">
        <v>65</v>
      </c>
      <c r="L76" s="79">
        <v>76</v>
      </c>
      <c r="M76" s="79"/>
      <c r="N76" s="73"/>
      <c r="O76" s="81" t="s">
        <v>481</v>
      </c>
      <c r="P76" s="81" t="s">
        <v>314</v>
      </c>
      <c r="Q76" s="84" t="s">
        <v>557</v>
      </c>
      <c r="R76" s="81" t="s">
        <v>391</v>
      </c>
      <c r="S76" s="81" t="s">
        <v>731</v>
      </c>
      <c r="T76" s="86" t="str">
        <f>HYPERLINK("http://www.youtube.com/channel/UCgAVcUfZsrNQ_ZDzwfGN42g")</f>
        <v>http://www.youtube.com/channel/UCgAVcUfZsrNQ_ZDzwfGN42g</v>
      </c>
      <c r="U76" s="81"/>
      <c r="V76" s="81" t="s">
        <v>839</v>
      </c>
      <c r="W76" s="86" t="str">
        <f>HYPERLINK("https://www.youtube.com/watch?v=Ci9JYIJstPY")</f>
        <v>https://www.youtube.com/watch?v=Ci9JYIJstPY</v>
      </c>
      <c r="X76" s="81" t="s">
        <v>840</v>
      </c>
      <c r="Y76" s="81">
        <v>1</v>
      </c>
      <c r="Z76" s="88">
        <v>44322.08100694444</v>
      </c>
      <c r="AA76" s="88">
        <v>44322.08100694444</v>
      </c>
      <c r="AB76" s="81"/>
      <c r="AC76" s="81"/>
      <c r="AD76" s="84" t="s">
        <v>843</v>
      </c>
      <c r="AE76" s="82">
        <v>1</v>
      </c>
      <c r="AF76" s="83" t="str">
        <f>REPLACE(INDEX(GroupVertices[Group],MATCH(Edges[[#This Row],[Vertex 1]],GroupVertices[Vertex],0)),1,1,"")</f>
        <v>1</v>
      </c>
      <c r="AG76" s="83" t="str">
        <f>REPLACE(INDEX(GroupVertices[Group],MATCH(Edges[[#This Row],[Vertex 2]],GroupVertices[Vertex],0)),1,1,"")</f>
        <v>1</v>
      </c>
      <c r="AH76" s="111">
        <v>0</v>
      </c>
      <c r="AI76" s="112">
        <v>0</v>
      </c>
      <c r="AJ76" s="111">
        <v>0</v>
      </c>
      <c r="AK76" s="112">
        <v>0</v>
      </c>
      <c r="AL76" s="111">
        <v>0</v>
      </c>
      <c r="AM76" s="112">
        <v>0</v>
      </c>
      <c r="AN76" s="111">
        <v>0</v>
      </c>
      <c r="AO76" s="112">
        <v>0</v>
      </c>
      <c r="AP76" s="111">
        <v>0</v>
      </c>
    </row>
    <row r="77" spans="1:42" ht="15">
      <c r="A77" s="65" t="s">
        <v>392</v>
      </c>
      <c r="B77" s="65" t="s">
        <v>479</v>
      </c>
      <c r="C77" s="66" t="s">
        <v>1613</v>
      </c>
      <c r="D77" s="67">
        <v>3</v>
      </c>
      <c r="E77" s="68"/>
      <c r="F77" s="69">
        <v>40</v>
      </c>
      <c r="G77" s="66"/>
      <c r="H77" s="70"/>
      <c r="I77" s="71"/>
      <c r="J77" s="71"/>
      <c r="K77" s="35" t="s">
        <v>65</v>
      </c>
      <c r="L77" s="79">
        <v>77</v>
      </c>
      <c r="M77" s="79"/>
      <c r="N77" s="73"/>
      <c r="O77" s="81" t="s">
        <v>481</v>
      </c>
      <c r="P77" s="81" t="s">
        <v>314</v>
      </c>
      <c r="Q77" s="84" t="s">
        <v>558</v>
      </c>
      <c r="R77" s="81" t="s">
        <v>392</v>
      </c>
      <c r="S77" s="81" t="s">
        <v>732</v>
      </c>
      <c r="T77" s="86" t="str">
        <f>HYPERLINK("http://www.youtube.com/channel/UCZAfEqY4QDm1fidD1RMabgA")</f>
        <v>http://www.youtube.com/channel/UCZAfEqY4QDm1fidD1RMabgA</v>
      </c>
      <c r="U77" s="81"/>
      <c r="V77" s="81" t="s">
        <v>839</v>
      </c>
      <c r="W77" s="86" t="str">
        <f>HYPERLINK("https://www.youtube.com/watch?v=Ci9JYIJstPY")</f>
        <v>https://www.youtube.com/watch?v=Ci9JYIJstPY</v>
      </c>
      <c r="X77" s="81" t="s">
        <v>840</v>
      </c>
      <c r="Y77" s="81">
        <v>8</v>
      </c>
      <c r="Z77" s="88">
        <v>44322.081041666665</v>
      </c>
      <c r="AA77" s="88">
        <v>44322.081041666665</v>
      </c>
      <c r="AB77" s="81"/>
      <c r="AC77" s="81"/>
      <c r="AD77" s="84" t="s">
        <v>843</v>
      </c>
      <c r="AE77" s="82">
        <v>1</v>
      </c>
      <c r="AF77" s="83" t="str">
        <f>REPLACE(INDEX(GroupVertices[Group],MATCH(Edges[[#This Row],[Vertex 1]],GroupVertices[Vertex],0)),1,1,"")</f>
        <v>1</v>
      </c>
      <c r="AG77" s="83" t="str">
        <f>REPLACE(INDEX(GroupVertices[Group],MATCH(Edges[[#This Row],[Vertex 2]],GroupVertices[Vertex],0)),1,1,"")</f>
        <v>1</v>
      </c>
      <c r="AH77" s="111">
        <v>1</v>
      </c>
      <c r="AI77" s="112">
        <v>2.4390243902439024</v>
      </c>
      <c r="AJ77" s="111">
        <v>0</v>
      </c>
      <c r="AK77" s="112">
        <v>0</v>
      </c>
      <c r="AL77" s="111">
        <v>0</v>
      </c>
      <c r="AM77" s="112">
        <v>0</v>
      </c>
      <c r="AN77" s="111">
        <v>40</v>
      </c>
      <c r="AO77" s="112">
        <v>97.5609756097561</v>
      </c>
      <c r="AP77" s="111">
        <v>41</v>
      </c>
    </row>
    <row r="78" spans="1:42" ht="15">
      <c r="A78" s="65" t="s">
        <v>393</v>
      </c>
      <c r="B78" s="65" t="s">
        <v>479</v>
      </c>
      <c r="C78" s="66" t="s">
        <v>1613</v>
      </c>
      <c r="D78" s="67">
        <v>3</v>
      </c>
      <c r="E78" s="68"/>
      <c r="F78" s="69">
        <v>40</v>
      </c>
      <c r="G78" s="66"/>
      <c r="H78" s="70"/>
      <c r="I78" s="71"/>
      <c r="J78" s="71"/>
      <c r="K78" s="35" t="s">
        <v>65</v>
      </c>
      <c r="L78" s="79">
        <v>78</v>
      </c>
      <c r="M78" s="79"/>
      <c r="N78" s="73"/>
      <c r="O78" s="81" t="s">
        <v>481</v>
      </c>
      <c r="P78" s="81" t="s">
        <v>314</v>
      </c>
      <c r="Q78" s="84" t="s">
        <v>559</v>
      </c>
      <c r="R78" s="81" t="s">
        <v>393</v>
      </c>
      <c r="S78" s="81" t="s">
        <v>733</v>
      </c>
      <c r="T78" s="86" t="str">
        <f>HYPERLINK("http://www.youtube.com/channel/UCH8aFgm5WSUVuXaKuSbYsrA")</f>
        <v>http://www.youtube.com/channel/UCH8aFgm5WSUVuXaKuSbYsrA</v>
      </c>
      <c r="U78" s="81"/>
      <c r="V78" s="81" t="s">
        <v>839</v>
      </c>
      <c r="W78" s="86" t="str">
        <f>HYPERLINK("https://www.youtube.com/watch?v=Ci9JYIJstPY")</f>
        <v>https://www.youtube.com/watch?v=Ci9JYIJstPY</v>
      </c>
      <c r="X78" s="81" t="s">
        <v>840</v>
      </c>
      <c r="Y78" s="81">
        <v>2</v>
      </c>
      <c r="Z78" s="88">
        <v>44322.08144675926</v>
      </c>
      <c r="AA78" s="88">
        <v>44322.08144675926</v>
      </c>
      <c r="AB78" s="81"/>
      <c r="AC78" s="81"/>
      <c r="AD78" s="84" t="s">
        <v>843</v>
      </c>
      <c r="AE78" s="82">
        <v>1</v>
      </c>
      <c r="AF78" s="83" t="str">
        <f>REPLACE(INDEX(GroupVertices[Group],MATCH(Edges[[#This Row],[Vertex 1]],GroupVertices[Vertex],0)),1,1,"")</f>
        <v>1</v>
      </c>
      <c r="AG78" s="83" t="str">
        <f>REPLACE(INDEX(GroupVertices[Group],MATCH(Edges[[#This Row],[Vertex 2]],GroupVertices[Vertex],0)),1,1,"")</f>
        <v>1</v>
      </c>
      <c r="AH78" s="111">
        <v>1</v>
      </c>
      <c r="AI78" s="112">
        <v>11.11111111111111</v>
      </c>
      <c r="AJ78" s="111">
        <v>0</v>
      </c>
      <c r="AK78" s="112">
        <v>0</v>
      </c>
      <c r="AL78" s="111">
        <v>0</v>
      </c>
      <c r="AM78" s="112">
        <v>0</v>
      </c>
      <c r="AN78" s="111">
        <v>8</v>
      </c>
      <c r="AO78" s="112">
        <v>88.88888888888889</v>
      </c>
      <c r="AP78" s="111">
        <v>9</v>
      </c>
    </row>
    <row r="79" spans="1:42" ht="15">
      <c r="A79" s="65" t="s">
        <v>394</v>
      </c>
      <c r="B79" s="65" t="s">
        <v>396</v>
      </c>
      <c r="C79" s="66" t="s">
        <v>1615</v>
      </c>
      <c r="D79" s="67">
        <v>3</v>
      </c>
      <c r="E79" s="68"/>
      <c r="F79" s="69">
        <v>40</v>
      </c>
      <c r="G79" s="66"/>
      <c r="H79" s="70"/>
      <c r="I79" s="71"/>
      <c r="J79" s="71"/>
      <c r="K79" s="35" t="s">
        <v>65</v>
      </c>
      <c r="L79" s="79">
        <v>79</v>
      </c>
      <c r="M79" s="79"/>
      <c r="N79" s="73"/>
      <c r="O79" s="81" t="s">
        <v>482</v>
      </c>
      <c r="P79" s="81" t="s">
        <v>484</v>
      </c>
      <c r="Q79" s="84" t="s">
        <v>560</v>
      </c>
      <c r="R79" s="81" t="s">
        <v>394</v>
      </c>
      <c r="S79" s="81" t="s">
        <v>734</v>
      </c>
      <c r="T79" s="86" t="str">
        <f>HYPERLINK("http://www.youtube.com/channel/UCkug2O-HoXXpevCF-j3NSBQ")</f>
        <v>http://www.youtube.com/channel/UCkug2O-HoXXpevCF-j3NSBQ</v>
      </c>
      <c r="U79" s="81" t="s">
        <v>829</v>
      </c>
      <c r="V79" s="81" t="s">
        <v>839</v>
      </c>
      <c r="W79" s="86" t="str">
        <f>HYPERLINK("https://www.youtube.com/watch?v=")</f>
        <v>https://www.youtube.com/watch?v=</v>
      </c>
      <c r="X79" s="81" t="s">
        <v>840</v>
      </c>
      <c r="Y79" s="81">
        <v>4</v>
      </c>
      <c r="Z79" s="88">
        <v>44322.097546296296</v>
      </c>
      <c r="AA79" s="88">
        <v>44322.097546296296</v>
      </c>
      <c r="AB79" s="81"/>
      <c r="AC79" s="81"/>
      <c r="AD79" s="84" t="s">
        <v>843</v>
      </c>
      <c r="AE79" s="82">
        <v>3</v>
      </c>
      <c r="AF79" s="83" t="str">
        <f>REPLACE(INDEX(GroupVertices[Group],MATCH(Edges[[#This Row],[Vertex 1]],GroupVertices[Vertex],0)),1,1,"")</f>
        <v>7</v>
      </c>
      <c r="AG79" s="83" t="str">
        <f>REPLACE(INDEX(GroupVertices[Group],MATCH(Edges[[#This Row],[Vertex 2]],GroupVertices[Vertex],0)),1,1,"")</f>
        <v>7</v>
      </c>
      <c r="AH79" s="111">
        <v>0</v>
      </c>
      <c r="AI79" s="112">
        <v>0</v>
      </c>
      <c r="AJ79" s="111">
        <v>0</v>
      </c>
      <c r="AK79" s="112">
        <v>0</v>
      </c>
      <c r="AL79" s="111">
        <v>0</v>
      </c>
      <c r="AM79" s="112">
        <v>0</v>
      </c>
      <c r="AN79" s="111">
        <v>18</v>
      </c>
      <c r="AO79" s="112">
        <v>100</v>
      </c>
      <c r="AP79" s="111">
        <v>18</v>
      </c>
    </row>
    <row r="80" spans="1:42" ht="15">
      <c r="A80" s="65" t="s">
        <v>394</v>
      </c>
      <c r="B80" s="65" t="s">
        <v>396</v>
      </c>
      <c r="C80" s="66" t="s">
        <v>1615</v>
      </c>
      <c r="D80" s="67">
        <v>3</v>
      </c>
      <c r="E80" s="68"/>
      <c r="F80" s="69">
        <v>40</v>
      </c>
      <c r="G80" s="66"/>
      <c r="H80" s="70"/>
      <c r="I80" s="71"/>
      <c r="J80" s="71"/>
      <c r="K80" s="35" t="s">
        <v>65</v>
      </c>
      <c r="L80" s="79">
        <v>80</v>
      </c>
      <c r="M80" s="79"/>
      <c r="N80" s="73"/>
      <c r="O80" s="81" t="s">
        <v>482</v>
      </c>
      <c r="P80" s="81" t="s">
        <v>484</v>
      </c>
      <c r="Q80" s="84" t="s">
        <v>561</v>
      </c>
      <c r="R80" s="81" t="s">
        <v>394</v>
      </c>
      <c r="S80" s="81" t="s">
        <v>734</v>
      </c>
      <c r="T80" s="86" t="str">
        <f>HYPERLINK("http://www.youtube.com/channel/UCkug2O-HoXXpevCF-j3NSBQ")</f>
        <v>http://www.youtube.com/channel/UCkug2O-HoXXpevCF-j3NSBQ</v>
      </c>
      <c r="U80" s="81" t="s">
        <v>829</v>
      </c>
      <c r="V80" s="81" t="s">
        <v>839</v>
      </c>
      <c r="W80" s="86" t="str">
        <f>HYPERLINK("https://www.youtube.com/watch?v=")</f>
        <v>https://www.youtube.com/watch?v=</v>
      </c>
      <c r="X80" s="81" t="s">
        <v>840</v>
      </c>
      <c r="Y80" s="81">
        <v>1</v>
      </c>
      <c r="Z80" s="88">
        <v>44322.52989583334</v>
      </c>
      <c r="AA80" s="88">
        <v>44322.52989583334</v>
      </c>
      <c r="AB80" s="81"/>
      <c r="AC80" s="81"/>
      <c r="AD80" s="84" t="s">
        <v>843</v>
      </c>
      <c r="AE80" s="82">
        <v>3</v>
      </c>
      <c r="AF80" s="83" t="str">
        <f>REPLACE(INDEX(GroupVertices[Group],MATCH(Edges[[#This Row],[Vertex 1]],GroupVertices[Vertex],0)),1,1,"")</f>
        <v>7</v>
      </c>
      <c r="AG80" s="83" t="str">
        <f>REPLACE(INDEX(GroupVertices[Group],MATCH(Edges[[#This Row],[Vertex 2]],GroupVertices[Vertex],0)),1,1,"")</f>
        <v>7</v>
      </c>
      <c r="AH80" s="111">
        <v>0</v>
      </c>
      <c r="AI80" s="112">
        <v>0</v>
      </c>
      <c r="AJ80" s="111">
        <v>0</v>
      </c>
      <c r="AK80" s="112">
        <v>0</v>
      </c>
      <c r="AL80" s="111">
        <v>0</v>
      </c>
      <c r="AM80" s="112">
        <v>0</v>
      </c>
      <c r="AN80" s="111">
        <v>2</v>
      </c>
      <c r="AO80" s="112">
        <v>100</v>
      </c>
      <c r="AP80" s="111">
        <v>2</v>
      </c>
    </row>
    <row r="81" spans="1:42" ht="15">
      <c r="A81" s="65" t="s">
        <v>394</v>
      </c>
      <c r="B81" s="65" t="s">
        <v>396</v>
      </c>
      <c r="C81" s="66" t="s">
        <v>1615</v>
      </c>
      <c r="D81" s="67">
        <v>3</v>
      </c>
      <c r="E81" s="68"/>
      <c r="F81" s="69">
        <v>40</v>
      </c>
      <c r="G81" s="66"/>
      <c r="H81" s="70"/>
      <c r="I81" s="71"/>
      <c r="J81" s="71"/>
      <c r="K81" s="35" t="s">
        <v>65</v>
      </c>
      <c r="L81" s="79">
        <v>81</v>
      </c>
      <c r="M81" s="79"/>
      <c r="N81" s="73"/>
      <c r="O81" s="81" t="s">
        <v>482</v>
      </c>
      <c r="P81" s="81" t="s">
        <v>484</v>
      </c>
      <c r="Q81" s="84" t="s">
        <v>562</v>
      </c>
      <c r="R81" s="81" t="s">
        <v>394</v>
      </c>
      <c r="S81" s="81" t="s">
        <v>734</v>
      </c>
      <c r="T81" s="86" t="str">
        <f>HYPERLINK("http://www.youtube.com/channel/UCkug2O-HoXXpevCF-j3NSBQ")</f>
        <v>http://www.youtube.com/channel/UCkug2O-HoXXpevCF-j3NSBQ</v>
      </c>
      <c r="U81" s="81" t="s">
        <v>829</v>
      </c>
      <c r="V81" s="81" t="s">
        <v>839</v>
      </c>
      <c r="W81" s="86" t="str">
        <f>HYPERLINK("https://www.youtube.com/watch?v=")</f>
        <v>https://www.youtube.com/watch?v=</v>
      </c>
      <c r="X81" s="81" t="s">
        <v>840</v>
      </c>
      <c r="Y81" s="81">
        <v>1</v>
      </c>
      <c r="Z81" s="88">
        <v>44322.999131944445</v>
      </c>
      <c r="AA81" s="88">
        <v>44322.999131944445</v>
      </c>
      <c r="AB81" s="81"/>
      <c r="AC81" s="81"/>
      <c r="AD81" s="84" t="s">
        <v>843</v>
      </c>
      <c r="AE81" s="82">
        <v>3</v>
      </c>
      <c r="AF81" s="83" t="str">
        <f>REPLACE(INDEX(GroupVertices[Group],MATCH(Edges[[#This Row],[Vertex 1]],GroupVertices[Vertex],0)),1,1,"")</f>
        <v>7</v>
      </c>
      <c r="AG81" s="83" t="str">
        <f>REPLACE(INDEX(GroupVertices[Group],MATCH(Edges[[#This Row],[Vertex 2]],GroupVertices[Vertex],0)),1,1,"")</f>
        <v>7</v>
      </c>
      <c r="AH81" s="111">
        <v>0</v>
      </c>
      <c r="AI81" s="112">
        <v>0</v>
      </c>
      <c r="AJ81" s="111">
        <v>0</v>
      </c>
      <c r="AK81" s="112">
        <v>0</v>
      </c>
      <c r="AL81" s="111">
        <v>0</v>
      </c>
      <c r="AM81" s="112">
        <v>0</v>
      </c>
      <c r="AN81" s="111">
        <v>2</v>
      </c>
      <c r="AO81" s="112">
        <v>100</v>
      </c>
      <c r="AP81" s="111">
        <v>2</v>
      </c>
    </row>
    <row r="82" spans="1:42" ht="15">
      <c r="A82" s="65" t="s">
        <v>395</v>
      </c>
      <c r="B82" s="65" t="s">
        <v>396</v>
      </c>
      <c r="C82" s="66" t="s">
        <v>1615</v>
      </c>
      <c r="D82" s="67">
        <v>3</v>
      </c>
      <c r="E82" s="68"/>
      <c r="F82" s="69">
        <v>40</v>
      </c>
      <c r="G82" s="66"/>
      <c r="H82" s="70"/>
      <c r="I82" s="71"/>
      <c r="J82" s="71"/>
      <c r="K82" s="35" t="s">
        <v>65</v>
      </c>
      <c r="L82" s="79">
        <v>82</v>
      </c>
      <c r="M82" s="79"/>
      <c r="N82" s="73"/>
      <c r="O82" s="81" t="s">
        <v>482</v>
      </c>
      <c r="P82" s="81" t="s">
        <v>484</v>
      </c>
      <c r="Q82" s="84" t="s">
        <v>563</v>
      </c>
      <c r="R82" s="81" t="s">
        <v>395</v>
      </c>
      <c r="S82" s="81" t="s">
        <v>735</v>
      </c>
      <c r="T82" s="86" t="str">
        <f>HYPERLINK("http://www.youtube.com/channel/UCnpm9ZORHGQJexR7ybzUTVw")</f>
        <v>http://www.youtube.com/channel/UCnpm9ZORHGQJexR7ybzUTVw</v>
      </c>
      <c r="U82" s="81" t="s">
        <v>829</v>
      </c>
      <c r="V82" s="81" t="s">
        <v>839</v>
      </c>
      <c r="W82" s="86" t="str">
        <f>HYPERLINK("https://www.youtube.com/watch?v=")</f>
        <v>https://www.youtube.com/watch?v=</v>
      </c>
      <c r="X82" s="81" t="s">
        <v>840</v>
      </c>
      <c r="Y82" s="81">
        <v>4</v>
      </c>
      <c r="Z82" s="88">
        <v>44322.09903935185</v>
      </c>
      <c r="AA82" s="88">
        <v>44322.09903935185</v>
      </c>
      <c r="AB82" s="81"/>
      <c r="AC82" s="81"/>
      <c r="AD82" s="84" t="s">
        <v>843</v>
      </c>
      <c r="AE82" s="82">
        <v>3</v>
      </c>
      <c r="AF82" s="83" t="str">
        <f>REPLACE(INDEX(GroupVertices[Group],MATCH(Edges[[#This Row],[Vertex 1]],GroupVertices[Vertex],0)),1,1,"")</f>
        <v>7</v>
      </c>
      <c r="AG82" s="83" t="str">
        <f>REPLACE(INDEX(GroupVertices[Group],MATCH(Edges[[#This Row],[Vertex 2]],GroupVertices[Vertex],0)),1,1,"")</f>
        <v>7</v>
      </c>
      <c r="AH82" s="111">
        <v>1</v>
      </c>
      <c r="AI82" s="112">
        <v>5.882352941176471</v>
      </c>
      <c r="AJ82" s="111">
        <v>0</v>
      </c>
      <c r="AK82" s="112">
        <v>0</v>
      </c>
      <c r="AL82" s="111">
        <v>0</v>
      </c>
      <c r="AM82" s="112">
        <v>0</v>
      </c>
      <c r="AN82" s="111">
        <v>16</v>
      </c>
      <c r="AO82" s="112">
        <v>94.11764705882354</v>
      </c>
      <c r="AP82" s="111">
        <v>17</v>
      </c>
    </row>
    <row r="83" spans="1:42" ht="15">
      <c r="A83" s="65" t="s">
        <v>395</v>
      </c>
      <c r="B83" s="65" t="s">
        <v>396</v>
      </c>
      <c r="C83" s="66" t="s">
        <v>1615</v>
      </c>
      <c r="D83" s="67">
        <v>3</v>
      </c>
      <c r="E83" s="68"/>
      <c r="F83" s="69">
        <v>40</v>
      </c>
      <c r="G83" s="66"/>
      <c r="H83" s="70"/>
      <c r="I83" s="71"/>
      <c r="J83" s="71"/>
      <c r="K83" s="35" t="s">
        <v>65</v>
      </c>
      <c r="L83" s="79">
        <v>83</v>
      </c>
      <c r="M83" s="79"/>
      <c r="N83" s="73"/>
      <c r="O83" s="81" t="s">
        <v>482</v>
      </c>
      <c r="P83" s="81" t="s">
        <v>484</v>
      </c>
      <c r="Q83" s="84" t="s">
        <v>564</v>
      </c>
      <c r="R83" s="81" t="s">
        <v>395</v>
      </c>
      <c r="S83" s="81" t="s">
        <v>735</v>
      </c>
      <c r="T83" s="86" t="str">
        <f>HYPERLINK("http://www.youtube.com/channel/UCnpm9ZORHGQJexR7ybzUTVw")</f>
        <v>http://www.youtube.com/channel/UCnpm9ZORHGQJexR7ybzUTVw</v>
      </c>
      <c r="U83" s="81" t="s">
        <v>829</v>
      </c>
      <c r="V83" s="81" t="s">
        <v>839</v>
      </c>
      <c r="W83" s="86" t="str">
        <f>HYPERLINK("https://www.youtube.com/watch?v=")</f>
        <v>https://www.youtube.com/watch?v=</v>
      </c>
      <c r="X83" s="81" t="s">
        <v>840</v>
      </c>
      <c r="Y83" s="81">
        <v>0</v>
      </c>
      <c r="Z83" s="88">
        <v>44323.3921875</v>
      </c>
      <c r="AA83" s="88">
        <v>44323.3921875</v>
      </c>
      <c r="AB83" s="81"/>
      <c r="AC83" s="81"/>
      <c r="AD83" s="84" t="s">
        <v>843</v>
      </c>
      <c r="AE83" s="82">
        <v>3</v>
      </c>
      <c r="AF83" s="83" t="str">
        <f>REPLACE(INDEX(GroupVertices[Group],MATCH(Edges[[#This Row],[Vertex 1]],GroupVertices[Vertex],0)),1,1,"")</f>
        <v>7</v>
      </c>
      <c r="AG83" s="83" t="str">
        <f>REPLACE(INDEX(GroupVertices[Group],MATCH(Edges[[#This Row],[Vertex 2]],GroupVertices[Vertex],0)),1,1,"")</f>
        <v>7</v>
      </c>
      <c r="AH83" s="111">
        <v>0</v>
      </c>
      <c r="AI83" s="112">
        <v>0</v>
      </c>
      <c r="AJ83" s="111">
        <v>0</v>
      </c>
      <c r="AK83" s="112">
        <v>0</v>
      </c>
      <c r="AL83" s="111">
        <v>0</v>
      </c>
      <c r="AM83" s="112">
        <v>0</v>
      </c>
      <c r="AN83" s="111">
        <v>2</v>
      </c>
      <c r="AO83" s="112">
        <v>100</v>
      </c>
      <c r="AP83" s="111">
        <v>2</v>
      </c>
    </row>
    <row r="84" spans="1:42" ht="15">
      <c r="A84" s="65" t="s">
        <v>395</v>
      </c>
      <c r="B84" s="65" t="s">
        <v>396</v>
      </c>
      <c r="C84" s="66" t="s">
        <v>1615</v>
      </c>
      <c r="D84" s="67">
        <v>3</v>
      </c>
      <c r="E84" s="68"/>
      <c r="F84" s="69">
        <v>40</v>
      </c>
      <c r="G84" s="66"/>
      <c r="H84" s="70"/>
      <c r="I84" s="71"/>
      <c r="J84" s="71"/>
      <c r="K84" s="35" t="s">
        <v>65</v>
      </c>
      <c r="L84" s="79">
        <v>84</v>
      </c>
      <c r="M84" s="79"/>
      <c r="N84" s="73"/>
      <c r="O84" s="81" t="s">
        <v>482</v>
      </c>
      <c r="P84" s="81" t="s">
        <v>484</v>
      </c>
      <c r="Q84" s="84" t="s">
        <v>565</v>
      </c>
      <c r="R84" s="81" t="s">
        <v>395</v>
      </c>
      <c r="S84" s="81" t="s">
        <v>735</v>
      </c>
      <c r="T84" s="86" t="str">
        <f>HYPERLINK("http://www.youtube.com/channel/UCnpm9ZORHGQJexR7ybzUTVw")</f>
        <v>http://www.youtube.com/channel/UCnpm9ZORHGQJexR7ybzUTVw</v>
      </c>
      <c r="U84" s="81" t="s">
        <v>829</v>
      </c>
      <c r="V84" s="81" t="s">
        <v>839</v>
      </c>
      <c r="W84" s="86" t="str">
        <f>HYPERLINK("https://www.youtube.com/watch?v=")</f>
        <v>https://www.youtube.com/watch?v=</v>
      </c>
      <c r="X84" s="81" t="s">
        <v>840</v>
      </c>
      <c r="Y84" s="81">
        <v>1</v>
      </c>
      <c r="Z84" s="88">
        <v>44323.39234953704</v>
      </c>
      <c r="AA84" s="88">
        <v>44323.39234953704</v>
      </c>
      <c r="AB84" s="81"/>
      <c r="AC84" s="81"/>
      <c r="AD84" s="84" t="s">
        <v>843</v>
      </c>
      <c r="AE84" s="82">
        <v>3</v>
      </c>
      <c r="AF84" s="83" t="str">
        <f>REPLACE(INDEX(GroupVertices[Group],MATCH(Edges[[#This Row],[Vertex 1]],GroupVertices[Vertex],0)),1,1,"")</f>
        <v>7</v>
      </c>
      <c r="AG84" s="83" t="str">
        <f>REPLACE(INDEX(GroupVertices[Group],MATCH(Edges[[#This Row],[Vertex 2]],GroupVertices[Vertex],0)),1,1,"")</f>
        <v>7</v>
      </c>
      <c r="AH84" s="111">
        <v>0</v>
      </c>
      <c r="AI84" s="112">
        <v>0</v>
      </c>
      <c r="AJ84" s="111">
        <v>0</v>
      </c>
      <c r="AK84" s="112">
        <v>0</v>
      </c>
      <c r="AL84" s="111">
        <v>0</v>
      </c>
      <c r="AM84" s="112">
        <v>0</v>
      </c>
      <c r="AN84" s="111">
        <v>2</v>
      </c>
      <c r="AO84" s="112">
        <v>100</v>
      </c>
      <c r="AP84" s="111">
        <v>2</v>
      </c>
    </row>
    <row r="85" spans="1:42" ht="15">
      <c r="A85" s="65" t="s">
        <v>396</v>
      </c>
      <c r="B85" s="65" t="s">
        <v>396</v>
      </c>
      <c r="C85" s="66" t="s">
        <v>1613</v>
      </c>
      <c r="D85" s="67">
        <v>3</v>
      </c>
      <c r="E85" s="68"/>
      <c r="F85" s="69">
        <v>40</v>
      </c>
      <c r="G85" s="66"/>
      <c r="H85" s="70"/>
      <c r="I85" s="71"/>
      <c r="J85" s="71"/>
      <c r="K85" s="35" t="s">
        <v>65</v>
      </c>
      <c r="L85" s="79">
        <v>85</v>
      </c>
      <c r="M85" s="79"/>
      <c r="N85" s="73"/>
      <c r="O85" s="81" t="s">
        <v>482</v>
      </c>
      <c r="P85" s="81" t="s">
        <v>484</v>
      </c>
      <c r="Q85" s="84" t="s">
        <v>566</v>
      </c>
      <c r="R85" s="81" t="s">
        <v>396</v>
      </c>
      <c r="S85" s="81" t="s">
        <v>736</v>
      </c>
      <c r="T85" s="86" t="str">
        <f>HYPERLINK("http://www.youtube.com/channel/UCA5b1GCxw9YUnNhJV9RnGqg")</f>
        <v>http://www.youtube.com/channel/UCA5b1GCxw9YUnNhJV9RnGqg</v>
      </c>
      <c r="U85" s="81" t="s">
        <v>829</v>
      </c>
      <c r="V85" s="81" t="s">
        <v>839</v>
      </c>
      <c r="W85" s="86" t="str">
        <f>HYPERLINK("https://www.youtube.com/watch?v=")</f>
        <v>https://www.youtube.com/watch?v=</v>
      </c>
      <c r="X85" s="81" t="s">
        <v>840</v>
      </c>
      <c r="Y85" s="81">
        <v>1</v>
      </c>
      <c r="Z85" s="88">
        <v>44322.93540509259</v>
      </c>
      <c r="AA85" s="88">
        <v>44322.93540509259</v>
      </c>
      <c r="AB85" s="81"/>
      <c r="AC85" s="81"/>
      <c r="AD85" s="84" t="s">
        <v>843</v>
      </c>
      <c r="AE85" s="82">
        <v>1</v>
      </c>
      <c r="AF85" s="83" t="str">
        <f>REPLACE(INDEX(GroupVertices[Group],MATCH(Edges[[#This Row],[Vertex 1]],GroupVertices[Vertex],0)),1,1,"")</f>
        <v>7</v>
      </c>
      <c r="AG85" s="83" t="str">
        <f>REPLACE(INDEX(GroupVertices[Group],MATCH(Edges[[#This Row],[Vertex 2]],GroupVertices[Vertex],0)),1,1,"")</f>
        <v>7</v>
      </c>
      <c r="AH85" s="111">
        <v>1</v>
      </c>
      <c r="AI85" s="112">
        <v>7.142857142857143</v>
      </c>
      <c r="AJ85" s="111">
        <v>0</v>
      </c>
      <c r="AK85" s="112">
        <v>0</v>
      </c>
      <c r="AL85" s="111">
        <v>0</v>
      </c>
      <c r="AM85" s="112">
        <v>0</v>
      </c>
      <c r="AN85" s="111">
        <v>13</v>
      </c>
      <c r="AO85" s="112">
        <v>92.85714285714286</v>
      </c>
      <c r="AP85" s="111">
        <v>14</v>
      </c>
    </row>
    <row r="86" spans="1:42" ht="15">
      <c r="A86" s="65" t="s">
        <v>396</v>
      </c>
      <c r="B86" s="65" t="s">
        <v>479</v>
      </c>
      <c r="C86" s="66" t="s">
        <v>1613</v>
      </c>
      <c r="D86" s="67">
        <v>3</v>
      </c>
      <c r="E86" s="68"/>
      <c r="F86" s="69">
        <v>40</v>
      </c>
      <c r="G86" s="66"/>
      <c r="H86" s="70"/>
      <c r="I86" s="71"/>
      <c r="J86" s="71"/>
      <c r="K86" s="35" t="s">
        <v>65</v>
      </c>
      <c r="L86" s="79">
        <v>86</v>
      </c>
      <c r="M86" s="79"/>
      <c r="N86" s="73"/>
      <c r="O86" s="81" t="s">
        <v>481</v>
      </c>
      <c r="P86" s="81" t="s">
        <v>314</v>
      </c>
      <c r="Q86" s="84" t="s">
        <v>567</v>
      </c>
      <c r="R86" s="81" t="s">
        <v>396</v>
      </c>
      <c r="S86" s="81" t="s">
        <v>736</v>
      </c>
      <c r="T86" s="86" t="str">
        <f>HYPERLINK("http://www.youtube.com/channel/UCA5b1GCxw9YUnNhJV9RnGqg")</f>
        <v>http://www.youtube.com/channel/UCA5b1GCxw9YUnNhJV9RnGqg</v>
      </c>
      <c r="U86" s="81"/>
      <c r="V86" s="81" t="s">
        <v>839</v>
      </c>
      <c r="W86" s="86" t="str">
        <f>HYPERLINK("https://www.youtube.com/watch?v=Ci9JYIJstPY")</f>
        <v>https://www.youtube.com/watch?v=Ci9JYIJstPY</v>
      </c>
      <c r="X86" s="81" t="s">
        <v>840</v>
      </c>
      <c r="Y86" s="81">
        <v>5</v>
      </c>
      <c r="Z86" s="88">
        <v>44322.08375</v>
      </c>
      <c r="AA86" s="88">
        <v>44322.08375</v>
      </c>
      <c r="AB86" s="81"/>
      <c r="AC86" s="81"/>
      <c r="AD86" s="84" t="s">
        <v>843</v>
      </c>
      <c r="AE86" s="82">
        <v>1</v>
      </c>
      <c r="AF86" s="83" t="str">
        <f>REPLACE(INDEX(GroupVertices[Group],MATCH(Edges[[#This Row],[Vertex 1]],GroupVertices[Vertex],0)),1,1,"")</f>
        <v>7</v>
      </c>
      <c r="AG86" s="83" t="str">
        <f>REPLACE(INDEX(GroupVertices[Group],MATCH(Edges[[#This Row],[Vertex 2]],GroupVertices[Vertex],0)),1,1,"")</f>
        <v>1</v>
      </c>
      <c r="AH86" s="111">
        <v>0</v>
      </c>
      <c r="AI86" s="112">
        <v>0</v>
      </c>
      <c r="AJ86" s="111">
        <v>3</v>
      </c>
      <c r="AK86" s="112">
        <v>13.043478260869565</v>
      </c>
      <c r="AL86" s="111">
        <v>0</v>
      </c>
      <c r="AM86" s="112">
        <v>0</v>
      </c>
      <c r="AN86" s="111">
        <v>20</v>
      </c>
      <c r="AO86" s="112">
        <v>86.95652173913044</v>
      </c>
      <c r="AP86" s="111">
        <v>23</v>
      </c>
    </row>
    <row r="87" spans="1:42" ht="15">
      <c r="A87" s="65" t="s">
        <v>397</v>
      </c>
      <c r="B87" s="65" t="s">
        <v>479</v>
      </c>
      <c r="C87" s="66" t="s">
        <v>1613</v>
      </c>
      <c r="D87" s="67">
        <v>3</v>
      </c>
      <c r="E87" s="68"/>
      <c r="F87" s="69">
        <v>40</v>
      </c>
      <c r="G87" s="66"/>
      <c r="H87" s="70"/>
      <c r="I87" s="71"/>
      <c r="J87" s="71"/>
      <c r="K87" s="35" t="s">
        <v>65</v>
      </c>
      <c r="L87" s="79">
        <v>87</v>
      </c>
      <c r="M87" s="79"/>
      <c r="N87" s="73"/>
      <c r="O87" s="81" t="s">
        <v>481</v>
      </c>
      <c r="P87" s="81" t="s">
        <v>314</v>
      </c>
      <c r="Q87" s="84" t="s">
        <v>568</v>
      </c>
      <c r="R87" s="81" t="s">
        <v>397</v>
      </c>
      <c r="S87" s="81" t="s">
        <v>737</v>
      </c>
      <c r="T87" s="86" t="str">
        <f>HYPERLINK("http://www.youtube.com/channel/UCf7faCV85PBme45MFibeKyA")</f>
        <v>http://www.youtube.com/channel/UCf7faCV85PBme45MFibeKyA</v>
      </c>
      <c r="U87" s="81"/>
      <c r="V87" s="81" t="s">
        <v>839</v>
      </c>
      <c r="W87" s="86" t="str">
        <f>HYPERLINK("https://www.youtube.com/watch?v=Ci9JYIJstPY")</f>
        <v>https://www.youtube.com/watch?v=Ci9JYIJstPY</v>
      </c>
      <c r="X87" s="81" t="s">
        <v>840</v>
      </c>
      <c r="Y87" s="81">
        <v>0</v>
      </c>
      <c r="Z87" s="88">
        <v>44322.0853587963</v>
      </c>
      <c r="AA87" s="88">
        <v>44322.0853587963</v>
      </c>
      <c r="AB87" s="81"/>
      <c r="AC87" s="81"/>
      <c r="AD87" s="84" t="s">
        <v>843</v>
      </c>
      <c r="AE87" s="82">
        <v>1</v>
      </c>
      <c r="AF87" s="83" t="str">
        <f>REPLACE(INDEX(GroupVertices[Group],MATCH(Edges[[#This Row],[Vertex 1]],GroupVertices[Vertex],0)),1,1,"")</f>
        <v>1</v>
      </c>
      <c r="AG87" s="83" t="str">
        <f>REPLACE(INDEX(GroupVertices[Group],MATCH(Edges[[#This Row],[Vertex 2]],GroupVertices[Vertex],0)),1,1,"")</f>
        <v>1</v>
      </c>
      <c r="AH87" s="111">
        <v>1</v>
      </c>
      <c r="AI87" s="112">
        <v>7.142857142857143</v>
      </c>
      <c r="AJ87" s="111">
        <v>1</v>
      </c>
      <c r="AK87" s="112">
        <v>7.142857142857143</v>
      </c>
      <c r="AL87" s="111">
        <v>0</v>
      </c>
      <c r="AM87" s="112">
        <v>0</v>
      </c>
      <c r="AN87" s="111">
        <v>13</v>
      </c>
      <c r="AO87" s="112">
        <v>92.85714285714286</v>
      </c>
      <c r="AP87" s="111">
        <v>14</v>
      </c>
    </row>
    <row r="88" spans="1:42" ht="15">
      <c r="A88" s="65" t="s">
        <v>398</v>
      </c>
      <c r="B88" s="65" t="s">
        <v>479</v>
      </c>
      <c r="C88" s="66" t="s">
        <v>1613</v>
      </c>
      <c r="D88" s="67">
        <v>3</v>
      </c>
      <c r="E88" s="68"/>
      <c r="F88" s="69">
        <v>40</v>
      </c>
      <c r="G88" s="66"/>
      <c r="H88" s="70"/>
      <c r="I88" s="71"/>
      <c r="J88" s="71"/>
      <c r="K88" s="35" t="s">
        <v>65</v>
      </c>
      <c r="L88" s="79">
        <v>88</v>
      </c>
      <c r="M88" s="79"/>
      <c r="N88" s="73"/>
      <c r="O88" s="81" t="s">
        <v>481</v>
      </c>
      <c r="P88" s="81" t="s">
        <v>314</v>
      </c>
      <c r="Q88" s="84" t="s">
        <v>569</v>
      </c>
      <c r="R88" s="81" t="s">
        <v>398</v>
      </c>
      <c r="S88" s="81" t="s">
        <v>738</v>
      </c>
      <c r="T88" s="86" t="str">
        <f>HYPERLINK("http://www.youtube.com/channel/UCqMbJkZbqSxoX2omlLn1ypw")</f>
        <v>http://www.youtube.com/channel/UCqMbJkZbqSxoX2omlLn1ypw</v>
      </c>
      <c r="U88" s="81"/>
      <c r="V88" s="81" t="s">
        <v>839</v>
      </c>
      <c r="W88" s="86" t="str">
        <f>HYPERLINK("https://www.youtube.com/watch?v=Ci9JYIJstPY")</f>
        <v>https://www.youtube.com/watch?v=Ci9JYIJstPY</v>
      </c>
      <c r="X88" s="81" t="s">
        <v>840</v>
      </c>
      <c r="Y88" s="81">
        <v>0</v>
      </c>
      <c r="Z88" s="88">
        <v>44322.090949074074</v>
      </c>
      <c r="AA88" s="88">
        <v>44322.090949074074</v>
      </c>
      <c r="AB88" s="81"/>
      <c r="AC88" s="81"/>
      <c r="AD88" s="84" t="s">
        <v>843</v>
      </c>
      <c r="AE88" s="82">
        <v>1</v>
      </c>
      <c r="AF88" s="83" t="str">
        <f>REPLACE(INDEX(GroupVertices[Group],MATCH(Edges[[#This Row],[Vertex 1]],GroupVertices[Vertex],0)),1,1,"")</f>
        <v>1</v>
      </c>
      <c r="AG88" s="83" t="str">
        <f>REPLACE(INDEX(GroupVertices[Group],MATCH(Edges[[#This Row],[Vertex 2]],GroupVertices[Vertex],0)),1,1,"")</f>
        <v>1</v>
      </c>
      <c r="AH88" s="111">
        <v>0</v>
      </c>
      <c r="AI88" s="112">
        <v>0</v>
      </c>
      <c r="AJ88" s="111">
        <v>0</v>
      </c>
      <c r="AK88" s="112">
        <v>0</v>
      </c>
      <c r="AL88" s="111">
        <v>0</v>
      </c>
      <c r="AM88" s="112">
        <v>0</v>
      </c>
      <c r="AN88" s="111">
        <v>2</v>
      </c>
      <c r="AO88" s="112">
        <v>100</v>
      </c>
      <c r="AP88" s="111">
        <v>2</v>
      </c>
    </row>
    <row r="89" spans="1:42" ht="15">
      <c r="A89" s="65" t="s">
        <v>399</v>
      </c>
      <c r="B89" s="65" t="s">
        <v>479</v>
      </c>
      <c r="C89" s="66" t="s">
        <v>1613</v>
      </c>
      <c r="D89" s="67">
        <v>3</v>
      </c>
      <c r="E89" s="68"/>
      <c r="F89" s="69">
        <v>40</v>
      </c>
      <c r="G89" s="66"/>
      <c r="H89" s="70"/>
      <c r="I89" s="71"/>
      <c r="J89" s="71"/>
      <c r="K89" s="35" t="s">
        <v>65</v>
      </c>
      <c r="L89" s="79">
        <v>89</v>
      </c>
      <c r="M89" s="79"/>
      <c r="N89" s="73"/>
      <c r="O89" s="81" t="s">
        <v>481</v>
      </c>
      <c r="P89" s="81" t="s">
        <v>314</v>
      </c>
      <c r="Q89" s="84" t="s">
        <v>570</v>
      </c>
      <c r="R89" s="81" t="s">
        <v>399</v>
      </c>
      <c r="S89" s="81" t="s">
        <v>739</v>
      </c>
      <c r="T89" s="86" t="str">
        <f>HYPERLINK("http://www.youtube.com/channel/UCYLBKC6MTJeOXg01kqC6MDA")</f>
        <v>http://www.youtube.com/channel/UCYLBKC6MTJeOXg01kqC6MDA</v>
      </c>
      <c r="U89" s="81"/>
      <c r="V89" s="81" t="s">
        <v>839</v>
      </c>
      <c r="W89" s="86" t="str">
        <f>HYPERLINK("https://www.youtube.com/watch?v=Ci9JYIJstPY")</f>
        <v>https://www.youtube.com/watch?v=Ci9JYIJstPY</v>
      </c>
      <c r="X89" s="81" t="s">
        <v>840</v>
      </c>
      <c r="Y89" s="81">
        <v>6</v>
      </c>
      <c r="Z89" s="88">
        <v>44322.09442129629</v>
      </c>
      <c r="AA89" s="88">
        <v>44322.09442129629</v>
      </c>
      <c r="AB89" s="81"/>
      <c r="AC89" s="81"/>
      <c r="AD89" s="84" t="s">
        <v>843</v>
      </c>
      <c r="AE89" s="82">
        <v>1</v>
      </c>
      <c r="AF89" s="83" t="str">
        <f>REPLACE(INDEX(GroupVertices[Group],MATCH(Edges[[#This Row],[Vertex 1]],GroupVertices[Vertex],0)),1,1,"")</f>
        <v>1</v>
      </c>
      <c r="AG89" s="83" t="str">
        <f>REPLACE(INDEX(GroupVertices[Group],MATCH(Edges[[#This Row],[Vertex 2]],GroupVertices[Vertex],0)),1,1,"")</f>
        <v>1</v>
      </c>
      <c r="AH89" s="111">
        <v>1</v>
      </c>
      <c r="AI89" s="112">
        <v>4.761904761904762</v>
      </c>
      <c r="AJ89" s="111">
        <v>0</v>
      </c>
      <c r="AK89" s="112">
        <v>0</v>
      </c>
      <c r="AL89" s="111">
        <v>0</v>
      </c>
      <c r="AM89" s="112">
        <v>0</v>
      </c>
      <c r="AN89" s="111">
        <v>20</v>
      </c>
      <c r="AO89" s="112">
        <v>95.23809523809524</v>
      </c>
      <c r="AP89" s="111">
        <v>21</v>
      </c>
    </row>
    <row r="90" spans="1:42" ht="15">
      <c r="A90" s="65" t="s">
        <v>400</v>
      </c>
      <c r="B90" s="65" t="s">
        <v>479</v>
      </c>
      <c r="C90" s="66" t="s">
        <v>1613</v>
      </c>
      <c r="D90" s="67">
        <v>3</v>
      </c>
      <c r="E90" s="68"/>
      <c r="F90" s="69">
        <v>40</v>
      </c>
      <c r="G90" s="66"/>
      <c r="H90" s="70"/>
      <c r="I90" s="71"/>
      <c r="J90" s="71"/>
      <c r="K90" s="35" t="s">
        <v>65</v>
      </c>
      <c r="L90" s="79">
        <v>90</v>
      </c>
      <c r="M90" s="79"/>
      <c r="N90" s="73"/>
      <c r="O90" s="81" t="s">
        <v>481</v>
      </c>
      <c r="P90" s="81" t="s">
        <v>314</v>
      </c>
      <c r="Q90" s="84" t="s">
        <v>571</v>
      </c>
      <c r="R90" s="81" t="s">
        <v>400</v>
      </c>
      <c r="S90" s="81" t="s">
        <v>740</v>
      </c>
      <c r="T90" s="86" t="str">
        <f>HYPERLINK("http://www.youtube.com/channel/UCvVUYpk8YYQ9-_bJt38X4ZQ")</f>
        <v>http://www.youtube.com/channel/UCvVUYpk8YYQ9-_bJt38X4ZQ</v>
      </c>
      <c r="U90" s="81"/>
      <c r="V90" s="81" t="s">
        <v>839</v>
      </c>
      <c r="W90" s="86" t="str">
        <f>HYPERLINK("https://www.youtube.com/watch?v=Ci9JYIJstPY")</f>
        <v>https://www.youtube.com/watch?v=Ci9JYIJstPY</v>
      </c>
      <c r="X90" s="81" t="s">
        <v>840</v>
      </c>
      <c r="Y90" s="81">
        <v>1</v>
      </c>
      <c r="Z90" s="88">
        <v>44322.09559027778</v>
      </c>
      <c r="AA90" s="88">
        <v>44322.09559027778</v>
      </c>
      <c r="AB90" s="81"/>
      <c r="AC90" s="81"/>
      <c r="AD90" s="84" t="s">
        <v>843</v>
      </c>
      <c r="AE90" s="82">
        <v>1</v>
      </c>
      <c r="AF90" s="83" t="str">
        <f>REPLACE(INDEX(GroupVertices[Group],MATCH(Edges[[#This Row],[Vertex 1]],GroupVertices[Vertex],0)),1,1,"")</f>
        <v>1</v>
      </c>
      <c r="AG90" s="83" t="str">
        <f>REPLACE(INDEX(GroupVertices[Group],MATCH(Edges[[#This Row],[Vertex 2]],GroupVertices[Vertex],0)),1,1,"")</f>
        <v>1</v>
      </c>
      <c r="AH90" s="111">
        <v>0</v>
      </c>
      <c r="AI90" s="112">
        <v>0</v>
      </c>
      <c r="AJ90" s="111">
        <v>0</v>
      </c>
      <c r="AK90" s="112">
        <v>0</v>
      </c>
      <c r="AL90" s="111">
        <v>0</v>
      </c>
      <c r="AM90" s="112">
        <v>0</v>
      </c>
      <c r="AN90" s="111">
        <v>13</v>
      </c>
      <c r="AO90" s="112">
        <v>100</v>
      </c>
      <c r="AP90" s="111">
        <v>13</v>
      </c>
    </row>
    <row r="91" spans="1:42" ht="15">
      <c r="A91" s="65" t="s">
        <v>401</v>
      </c>
      <c r="B91" s="65" t="s">
        <v>479</v>
      </c>
      <c r="C91" s="66" t="s">
        <v>1613</v>
      </c>
      <c r="D91" s="67">
        <v>3</v>
      </c>
      <c r="E91" s="68"/>
      <c r="F91" s="69">
        <v>40</v>
      </c>
      <c r="G91" s="66"/>
      <c r="H91" s="70"/>
      <c r="I91" s="71"/>
      <c r="J91" s="71"/>
      <c r="K91" s="35" t="s">
        <v>65</v>
      </c>
      <c r="L91" s="79">
        <v>91</v>
      </c>
      <c r="M91" s="79"/>
      <c r="N91" s="73"/>
      <c r="O91" s="81" t="s">
        <v>481</v>
      </c>
      <c r="P91" s="81" t="s">
        <v>314</v>
      </c>
      <c r="Q91" s="84" t="s">
        <v>572</v>
      </c>
      <c r="R91" s="81" t="s">
        <v>401</v>
      </c>
      <c r="S91" s="81" t="s">
        <v>741</v>
      </c>
      <c r="T91" s="86" t="str">
        <f>HYPERLINK("http://www.youtube.com/channel/UCaitnE6wjlW20Chd-97eDcg")</f>
        <v>http://www.youtube.com/channel/UCaitnE6wjlW20Chd-97eDcg</v>
      </c>
      <c r="U91" s="81"/>
      <c r="V91" s="81" t="s">
        <v>839</v>
      </c>
      <c r="W91" s="86" t="str">
        <f>HYPERLINK("https://www.youtube.com/watch?v=Ci9JYIJstPY")</f>
        <v>https://www.youtube.com/watch?v=Ci9JYIJstPY</v>
      </c>
      <c r="X91" s="81" t="s">
        <v>840</v>
      </c>
      <c r="Y91" s="81">
        <v>0</v>
      </c>
      <c r="Z91" s="88">
        <v>44322.0984375</v>
      </c>
      <c r="AA91" s="88">
        <v>44322.0984375</v>
      </c>
      <c r="AB91" s="81"/>
      <c r="AC91" s="81"/>
      <c r="AD91" s="84" t="s">
        <v>843</v>
      </c>
      <c r="AE91" s="82">
        <v>1</v>
      </c>
      <c r="AF91" s="83" t="str">
        <f>REPLACE(INDEX(GroupVertices[Group],MATCH(Edges[[#This Row],[Vertex 1]],GroupVertices[Vertex],0)),1,1,"")</f>
        <v>1</v>
      </c>
      <c r="AG91" s="83" t="str">
        <f>REPLACE(INDEX(GroupVertices[Group],MATCH(Edges[[#This Row],[Vertex 2]],GroupVertices[Vertex],0)),1,1,"")</f>
        <v>1</v>
      </c>
      <c r="AH91" s="111">
        <v>1</v>
      </c>
      <c r="AI91" s="112">
        <v>10</v>
      </c>
      <c r="AJ91" s="111">
        <v>0</v>
      </c>
      <c r="AK91" s="112">
        <v>0</v>
      </c>
      <c r="AL91" s="111">
        <v>0</v>
      </c>
      <c r="AM91" s="112">
        <v>0</v>
      </c>
      <c r="AN91" s="111">
        <v>9</v>
      </c>
      <c r="AO91" s="112">
        <v>90</v>
      </c>
      <c r="AP91" s="111">
        <v>10</v>
      </c>
    </row>
    <row r="92" spans="1:42" ht="15">
      <c r="A92" s="65" t="s">
        <v>402</v>
      </c>
      <c r="B92" s="65" t="s">
        <v>479</v>
      </c>
      <c r="C92" s="66" t="s">
        <v>1613</v>
      </c>
      <c r="D92" s="67">
        <v>3</v>
      </c>
      <c r="E92" s="68"/>
      <c r="F92" s="69">
        <v>40</v>
      </c>
      <c r="G92" s="66"/>
      <c r="H92" s="70"/>
      <c r="I92" s="71"/>
      <c r="J92" s="71"/>
      <c r="K92" s="35" t="s">
        <v>65</v>
      </c>
      <c r="L92" s="79">
        <v>92</v>
      </c>
      <c r="M92" s="79"/>
      <c r="N92" s="73"/>
      <c r="O92" s="81" t="s">
        <v>481</v>
      </c>
      <c r="P92" s="81" t="s">
        <v>314</v>
      </c>
      <c r="Q92" s="84" t="s">
        <v>573</v>
      </c>
      <c r="R92" s="81" t="s">
        <v>402</v>
      </c>
      <c r="S92" s="81" t="s">
        <v>742</v>
      </c>
      <c r="T92" s="86" t="str">
        <f>HYPERLINK("http://www.youtube.com/channel/UCoQSabVWR66qts3iy3jSOpg")</f>
        <v>http://www.youtube.com/channel/UCoQSabVWR66qts3iy3jSOpg</v>
      </c>
      <c r="U92" s="81"/>
      <c r="V92" s="81" t="s">
        <v>839</v>
      </c>
      <c r="W92" s="86" t="str">
        <f>HYPERLINK("https://www.youtube.com/watch?v=Ci9JYIJstPY")</f>
        <v>https://www.youtube.com/watch?v=Ci9JYIJstPY</v>
      </c>
      <c r="X92" s="81" t="s">
        <v>840</v>
      </c>
      <c r="Y92" s="81">
        <v>11</v>
      </c>
      <c r="Z92" s="88">
        <v>44322.11246527778</v>
      </c>
      <c r="AA92" s="88">
        <v>44322.11246527778</v>
      </c>
      <c r="AB92" s="81"/>
      <c r="AC92" s="81"/>
      <c r="AD92" s="84" t="s">
        <v>843</v>
      </c>
      <c r="AE92" s="82">
        <v>1</v>
      </c>
      <c r="AF92" s="83" t="str">
        <f>REPLACE(INDEX(GroupVertices[Group],MATCH(Edges[[#This Row],[Vertex 1]],GroupVertices[Vertex],0)),1,1,"")</f>
        <v>1</v>
      </c>
      <c r="AG92" s="83" t="str">
        <f>REPLACE(INDEX(GroupVertices[Group],MATCH(Edges[[#This Row],[Vertex 2]],GroupVertices[Vertex],0)),1,1,"")</f>
        <v>1</v>
      </c>
      <c r="AH92" s="111">
        <v>2</v>
      </c>
      <c r="AI92" s="112">
        <v>16.666666666666668</v>
      </c>
      <c r="AJ92" s="111">
        <v>1</v>
      </c>
      <c r="AK92" s="112">
        <v>8.333333333333334</v>
      </c>
      <c r="AL92" s="111">
        <v>0</v>
      </c>
      <c r="AM92" s="112">
        <v>0</v>
      </c>
      <c r="AN92" s="111">
        <v>10</v>
      </c>
      <c r="AO92" s="112">
        <v>83.33333333333333</v>
      </c>
      <c r="AP92" s="111">
        <v>12</v>
      </c>
    </row>
    <row r="93" spans="1:42" ht="15">
      <c r="A93" s="65" t="s">
        <v>403</v>
      </c>
      <c r="B93" s="65" t="s">
        <v>404</v>
      </c>
      <c r="C93" s="66" t="s">
        <v>1613</v>
      </c>
      <c r="D93" s="67">
        <v>3</v>
      </c>
      <c r="E93" s="68"/>
      <c r="F93" s="69">
        <v>40</v>
      </c>
      <c r="G93" s="66"/>
      <c r="H93" s="70"/>
      <c r="I93" s="71"/>
      <c r="J93" s="71"/>
      <c r="K93" s="35" t="s">
        <v>65</v>
      </c>
      <c r="L93" s="79">
        <v>93</v>
      </c>
      <c r="M93" s="79"/>
      <c r="N93" s="73"/>
      <c r="O93" s="81" t="s">
        <v>482</v>
      </c>
      <c r="P93" s="81" t="s">
        <v>484</v>
      </c>
      <c r="Q93" s="84" t="s">
        <v>574</v>
      </c>
      <c r="R93" s="81" t="s">
        <v>403</v>
      </c>
      <c r="S93" s="81" t="s">
        <v>743</v>
      </c>
      <c r="T93" s="86" t="str">
        <f>HYPERLINK("http://www.youtube.com/channel/UCishp5q9_MBqughD8R6_7dQ")</f>
        <v>http://www.youtube.com/channel/UCishp5q9_MBqughD8R6_7dQ</v>
      </c>
      <c r="U93" s="81" t="s">
        <v>830</v>
      </c>
      <c r="V93" s="81" t="s">
        <v>839</v>
      </c>
      <c r="W93" s="86" t="str">
        <f>HYPERLINK("https://www.youtube.com/watch?v=Ci9JYIJstPY")</f>
        <v>https://www.youtube.com/watch?v=Ci9JYIJstPY</v>
      </c>
      <c r="X93" s="81" t="s">
        <v>840</v>
      </c>
      <c r="Y93" s="81">
        <v>0</v>
      </c>
      <c r="Z93" s="88">
        <v>44323.04740740741</v>
      </c>
      <c r="AA93" s="88">
        <v>44323.04740740741</v>
      </c>
      <c r="AB93" s="81"/>
      <c r="AC93" s="81"/>
      <c r="AD93" s="84" t="s">
        <v>843</v>
      </c>
      <c r="AE93" s="82">
        <v>1</v>
      </c>
      <c r="AF93" s="83" t="str">
        <f>REPLACE(INDEX(GroupVertices[Group],MATCH(Edges[[#This Row],[Vertex 1]],GroupVertices[Vertex],0)),1,1,"")</f>
        <v>15</v>
      </c>
      <c r="AG93" s="83" t="str">
        <f>REPLACE(INDEX(GroupVertices[Group],MATCH(Edges[[#This Row],[Vertex 2]],GroupVertices[Vertex],0)),1,1,"")</f>
        <v>15</v>
      </c>
      <c r="AH93" s="111">
        <v>1</v>
      </c>
      <c r="AI93" s="112">
        <v>6.25</v>
      </c>
      <c r="AJ93" s="111">
        <v>2</v>
      </c>
      <c r="AK93" s="112">
        <v>12.5</v>
      </c>
      <c r="AL93" s="111">
        <v>0</v>
      </c>
      <c r="AM93" s="112">
        <v>0</v>
      </c>
      <c r="AN93" s="111">
        <v>14</v>
      </c>
      <c r="AO93" s="112">
        <v>87.5</v>
      </c>
      <c r="AP93" s="111">
        <v>16</v>
      </c>
    </row>
    <row r="94" spans="1:42" ht="15">
      <c r="A94" s="65" t="s">
        <v>404</v>
      </c>
      <c r="B94" s="65" t="s">
        <v>479</v>
      </c>
      <c r="C94" s="66" t="s">
        <v>1613</v>
      </c>
      <c r="D94" s="67">
        <v>3</v>
      </c>
      <c r="E94" s="68"/>
      <c r="F94" s="69">
        <v>40</v>
      </c>
      <c r="G94" s="66"/>
      <c r="H94" s="70"/>
      <c r="I94" s="71"/>
      <c r="J94" s="71"/>
      <c r="K94" s="35" t="s">
        <v>65</v>
      </c>
      <c r="L94" s="79">
        <v>94</v>
      </c>
      <c r="M94" s="79"/>
      <c r="N94" s="73"/>
      <c r="O94" s="81" t="s">
        <v>481</v>
      </c>
      <c r="P94" s="81" t="s">
        <v>314</v>
      </c>
      <c r="Q94" s="84" t="s">
        <v>575</v>
      </c>
      <c r="R94" s="81" t="s">
        <v>404</v>
      </c>
      <c r="S94" s="81" t="s">
        <v>744</v>
      </c>
      <c r="T94" s="86" t="str">
        <f>HYPERLINK("http://www.youtube.com/channel/UCo-1mM9alLT2usoVWBUFvmw")</f>
        <v>http://www.youtube.com/channel/UCo-1mM9alLT2usoVWBUFvmw</v>
      </c>
      <c r="U94" s="81"/>
      <c r="V94" s="81" t="s">
        <v>839</v>
      </c>
      <c r="W94" s="86" t="str">
        <f>HYPERLINK("https://www.youtube.com/watch?v=Ci9JYIJstPY")</f>
        <v>https://www.youtube.com/watch?v=Ci9JYIJstPY</v>
      </c>
      <c r="X94" s="81" t="s">
        <v>840</v>
      </c>
      <c r="Y94" s="81">
        <v>12</v>
      </c>
      <c r="Z94" s="88">
        <v>44322.1140625</v>
      </c>
      <c r="AA94" s="88">
        <v>44322.1140625</v>
      </c>
      <c r="AB94" s="81"/>
      <c r="AC94" s="81"/>
      <c r="AD94" s="84" t="s">
        <v>843</v>
      </c>
      <c r="AE94" s="82">
        <v>1</v>
      </c>
      <c r="AF94" s="83" t="str">
        <f>REPLACE(INDEX(GroupVertices[Group],MATCH(Edges[[#This Row],[Vertex 1]],GroupVertices[Vertex],0)),1,1,"")</f>
        <v>15</v>
      </c>
      <c r="AG94" s="83" t="str">
        <f>REPLACE(INDEX(GroupVertices[Group],MATCH(Edges[[#This Row],[Vertex 2]],GroupVertices[Vertex],0)),1,1,"")</f>
        <v>1</v>
      </c>
      <c r="AH94" s="111">
        <v>2</v>
      </c>
      <c r="AI94" s="112">
        <v>7.142857142857143</v>
      </c>
      <c r="AJ94" s="111">
        <v>2</v>
      </c>
      <c r="AK94" s="112">
        <v>7.142857142857143</v>
      </c>
      <c r="AL94" s="111">
        <v>0</v>
      </c>
      <c r="AM94" s="112">
        <v>0</v>
      </c>
      <c r="AN94" s="111">
        <v>26</v>
      </c>
      <c r="AO94" s="112">
        <v>92.85714285714286</v>
      </c>
      <c r="AP94" s="111">
        <v>28</v>
      </c>
    </row>
    <row r="95" spans="1:42" ht="15">
      <c r="A95" s="65" t="s">
        <v>405</v>
      </c>
      <c r="B95" s="65" t="s">
        <v>407</v>
      </c>
      <c r="C95" s="66" t="s">
        <v>1613</v>
      </c>
      <c r="D95" s="67">
        <v>3</v>
      </c>
      <c r="E95" s="68"/>
      <c r="F95" s="69">
        <v>40</v>
      </c>
      <c r="G95" s="66"/>
      <c r="H95" s="70"/>
      <c r="I95" s="71"/>
      <c r="J95" s="71"/>
      <c r="K95" s="35" t="s">
        <v>65</v>
      </c>
      <c r="L95" s="79">
        <v>95</v>
      </c>
      <c r="M95" s="79"/>
      <c r="N95" s="73"/>
      <c r="O95" s="81" t="s">
        <v>482</v>
      </c>
      <c r="P95" s="81" t="s">
        <v>484</v>
      </c>
      <c r="Q95" s="84" t="s">
        <v>576</v>
      </c>
      <c r="R95" s="81" t="s">
        <v>405</v>
      </c>
      <c r="S95" s="81" t="s">
        <v>745</v>
      </c>
      <c r="T95" s="86" t="str">
        <f>HYPERLINK("http://www.youtube.com/channel/UCdFyXE6ByRRVO4-N4013PIw")</f>
        <v>http://www.youtube.com/channel/UCdFyXE6ByRRVO4-N4013PIw</v>
      </c>
      <c r="U95" s="81" t="s">
        <v>831</v>
      </c>
      <c r="V95" s="81" t="s">
        <v>839</v>
      </c>
      <c r="W95" s="86" t="str">
        <f>HYPERLINK("https://www.youtube.com/watch?v=Ci9JYIJstPY")</f>
        <v>https://www.youtube.com/watch?v=Ci9JYIJstPY</v>
      </c>
      <c r="X95" s="81" t="s">
        <v>840</v>
      </c>
      <c r="Y95" s="81">
        <v>1</v>
      </c>
      <c r="Z95" s="88">
        <v>44322.33607638889</v>
      </c>
      <c r="AA95" s="88">
        <v>44322.33607638889</v>
      </c>
      <c r="AB95" s="81"/>
      <c r="AC95" s="81"/>
      <c r="AD95" s="84" t="s">
        <v>843</v>
      </c>
      <c r="AE95" s="82">
        <v>1</v>
      </c>
      <c r="AF95" s="83" t="str">
        <f>REPLACE(INDEX(GroupVertices[Group],MATCH(Edges[[#This Row],[Vertex 1]],GroupVertices[Vertex],0)),1,1,"")</f>
        <v>3</v>
      </c>
      <c r="AG95" s="83" t="str">
        <f>REPLACE(INDEX(GroupVertices[Group],MATCH(Edges[[#This Row],[Vertex 2]],GroupVertices[Vertex],0)),1,1,"")</f>
        <v>3</v>
      </c>
      <c r="AH95" s="111">
        <v>2</v>
      </c>
      <c r="AI95" s="112">
        <v>10</v>
      </c>
      <c r="AJ95" s="111">
        <v>2</v>
      </c>
      <c r="AK95" s="112">
        <v>10</v>
      </c>
      <c r="AL95" s="111">
        <v>0</v>
      </c>
      <c r="AM95" s="112">
        <v>0</v>
      </c>
      <c r="AN95" s="111">
        <v>17</v>
      </c>
      <c r="AO95" s="112">
        <v>85</v>
      </c>
      <c r="AP95" s="111">
        <v>20</v>
      </c>
    </row>
    <row r="96" spans="1:42" ht="15">
      <c r="A96" s="65" t="s">
        <v>388</v>
      </c>
      <c r="B96" s="65" t="s">
        <v>407</v>
      </c>
      <c r="C96" s="66" t="s">
        <v>1613</v>
      </c>
      <c r="D96" s="67">
        <v>3</v>
      </c>
      <c r="E96" s="68"/>
      <c r="F96" s="69">
        <v>40</v>
      </c>
      <c r="G96" s="66"/>
      <c r="H96" s="70"/>
      <c r="I96" s="71"/>
      <c r="J96" s="71"/>
      <c r="K96" s="35" t="s">
        <v>65</v>
      </c>
      <c r="L96" s="79">
        <v>96</v>
      </c>
      <c r="M96" s="79"/>
      <c r="N96" s="73"/>
      <c r="O96" s="81" t="s">
        <v>482</v>
      </c>
      <c r="P96" s="81" t="s">
        <v>484</v>
      </c>
      <c r="Q96" s="84" t="s">
        <v>577</v>
      </c>
      <c r="R96" s="81" t="s">
        <v>388</v>
      </c>
      <c r="S96" s="81" t="s">
        <v>728</v>
      </c>
      <c r="T96" s="86" t="str">
        <f>HYPERLINK("http://www.youtube.com/channel/UCUNOTEzOFt3gZ53n2hAjWtw")</f>
        <v>http://www.youtube.com/channel/UCUNOTEzOFt3gZ53n2hAjWtw</v>
      </c>
      <c r="U96" s="81" t="s">
        <v>831</v>
      </c>
      <c r="V96" s="81" t="s">
        <v>839</v>
      </c>
      <c r="W96" s="86" t="str">
        <f>HYPERLINK("https://www.youtube.com/watch?v=Ci9JYIJstPY")</f>
        <v>https://www.youtube.com/watch?v=Ci9JYIJstPY</v>
      </c>
      <c r="X96" s="81" t="s">
        <v>840</v>
      </c>
      <c r="Y96" s="81">
        <v>3</v>
      </c>
      <c r="Z96" s="88">
        <v>44322.41905092593</v>
      </c>
      <c r="AA96" s="88">
        <v>44322.41905092593</v>
      </c>
      <c r="AB96" s="81"/>
      <c r="AC96" s="81"/>
      <c r="AD96" s="84" t="s">
        <v>843</v>
      </c>
      <c r="AE96" s="82">
        <v>1</v>
      </c>
      <c r="AF96" s="83" t="str">
        <f>REPLACE(INDEX(GroupVertices[Group],MATCH(Edges[[#This Row],[Vertex 1]],GroupVertices[Vertex],0)),1,1,"")</f>
        <v>3</v>
      </c>
      <c r="AG96" s="83" t="str">
        <f>REPLACE(INDEX(GroupVertices[Group],MATCH(Edges[[#This Row],[Vertex 2]],GroupVertices[Vertex],0)),1,1,"")</f>
        <v>3</v>
      </c>
      <c r="AH96" s="111">
        <v>1</v>
      </c>
      <c r="AI96" s="112">
        <v>5</v>
      </c>
      <c r="AJ96" s="111">
        <v>1</v>
      </c>
      <c r="AK96" s="112">
        <v>5</v>
      </c>
      <c r="AL96" s="111">
        <v>0</v>
      </c>
      <c r="AM96" s="112">
        <v>0</v>
      </c>
      <c r="AN96" s="111">
        <v>19</v>
      </c>
      <c r="AO96" s="112">
        <v>95</v>
      </c>
      <c r="AP96" s="111">
        <v>20</v>
      </c>
    </row>
    <row r="97" spans="1:42" ht="15">
      <c r="A97" s="65" t="s">
        <v>406</v>
      </c>
      <c r="B97" s="65" t="s">
        <v>407</v>
      </c>
      <c r="C97" s="66" t="s">
        <v>1613</v>
      </c>
      <c r="D97" s="67">
        <v>3</v>
      </c>
      <c r="E97" s="68"/>
      <c r="F97" s="69">
        <v>40</v>
      </c>
      <c r="G97" s="66"/>
      <c r="H97" s="70"/>
      <c r="I97" s="71"/>
      <c r="J97" s="71"/>
      <c r="K97" s="35" t="s">
        <v>65</v>
      </c>
      <c r="L97" s="79">
        <v>97</v>
      </c>
      <c r="M97" s="79"/>
      <c r="N97" s="73"/>
      <c r="O97" s="81" t="s">
        <v>482</v>
      </c>
      <c r="P97" s="81" t="s">
        <v>484</v>
      </c>
      <c r="Q97" s="84" t="s">
        <v>578</v>
      </c>
      <c r="R97" s="81" t="s">
        <v>406</v>
      </c>
      <c r="S97" s="81" t="s">
        <v>746</v>
      </c>
      <c r="T97" s="86" t="str">
        <f>HYPERLINK("http://www.youtube.com/channel/UCbL03UQ7gBi1CmUVQVlrs5Q")</f>
        <v>http://www.youtube.com/channel/UCbL03UQ7gBi1CmUVQVlrs5Q</v>
      </c>
      <c r="U97" s="81" t="s">
        <v>831</v>
      </c>
      <c r="V97" s="81" t="s">
        <v>839</v>
      </c>
      <c r="W97" s="86" t="str">
        <f>HYPERLINK("https://www.youtube.com/watch?v=Ci9JYIJstPY")</f>
        <v>https://www.youtube.com/watch?v=Ci9JYIJstPY</v>
      </c>
      <c r="X97" s="81" t="s">
        <v>840</v>
      </c>
      <c r="Y97" s="81">
        <v>1</v>
      </c>
      <c r="Z97" s="88">
        <v>44323.47056712963</v>
      </c>
      <c r="AA97" s="88">
        <v>44323.47056712963</v>
      </c>
      <c r="AB97" s="81"/>
      <c r="AC97" s="81"/>
      <c r="AD97" s="84" t="s">
        <v>843</v>
      </c>
      <c r="AE97" s="82">
        <v>1</v>
      </c>
      <c r="AF97" s="83" t="str">
        <f>REPLACE(INDEX(GroupVertices[Group],MATCH(Edges[[#This Row],[Vertex 1]],GroupVertices[Vertex],0)),1,1,"")</f>
        <v>3</v>
      </c>
      <c r="AG97" s="83" t="str">
        <f>REPLACE(INDEX(GroupVertices[Group],MATCH(Edges[[#This Row],[Vertex 2]],GroupVertices[Vertex],0)),1,1,"")</f>
        <v>3</v>
      </c>
      <c r="AH97" s="111">
        <v>3</v>
      </c>
      <c r="AI97" s="112">
        <v>8.333333333333334</v>
      </c>
      <c r="AJ97" s="111">
        <v>4</v>
      </c>
      <c r="AK97" s="112">
        <v>11.11111111111111</v>
      </c>
      <c r="AL97" s="111">
        <v>0</v>
      </c>
      <c r="AM97" s="112">
        <v>0</v>
      </c>
      <c r="AN97" s="111">
        <v>30</v>
      </c>
      <c r="AO97" s="112">
        <v>83.33333333333333</v>
      </c>
      <c r="AP97" s="111">
        <v>36</v>
      </c>
    </row>
    <row r="98" spans="1:42" ht="15">
      <c r="A98" s="65" t="s">
        <v>407</v>
      </c>
      <c r="B98" s="65" t="s">
        <v>479</v>
      </c>
      <c r="C98" s="66" t="s">
        <v>1613</v>
      </c>
      <c r="D98" s="67">
        <v>3</v>
      </c>
      <c r="E98" s="68"/>
      <c r="F98" s="69">
        <v>40</v>
      </c>
      <c r="G98" s="66"/>
      <c r="H98" s="70"/>
      <c r="I98" s="71"/>
      <c r="J98" s="71"/>
      <c r="K98" s="35" t="s">
        <v>65</v>
      </c>
      <c r="L98" s="79">
        <v>98</v>
      </c>
      <c r="M98" s="79"/>
      <c r="N98" s="73"/>
      <c r="O98" s="81" t="s">
        <v>481</v>
      </c>
      <c r="P98" s="81" t="s">
        <v>314</v>
      </c>
      <c r="Q98" s="84" t="s">
        <v>579</v>
      </c>
      <c r="R98" s="81" t="s">
        <v>407</v>
      </c>
      <c r="S98" s="81" t="s">
        <v>747</v>
      </c>
      <c r="T98" s="86" t="str">
        <f>HYPERLINK("http://www.youtube.com/channel/UCeTcR0X09XqHMGgZ9pNyXYg")</f>
        <v>http://www.youtube.com/channel/UCeTcR0X09XqHMGgZ9pNyXYg</v>
      </c>
      <c r="U98" s="81"/>
      <c r="V98" s="81" t="s">
        <v>839</v>
      </c>
      <c r="W98" s="86" t="str">
        <f>HYPERLINK("https://www.youtube.com/watch?v=Ci9JYIJstPY")</f>
        <v>https://www.youtube.com/watch?v=Ci9JYIJstPY</v>
      </c>
      <c r="X98" s="81" t="s">
        <v>840</v>
      </c>
      <c r="Y98" s="81">
        <v>40</v>
      </c>
      <c r="Z98" s="88">
        <v>44322.13491898148</v>
      </c>
      <c r="AA98" s="88">
        <v>44322.13491898148</v>
      </c>
      <c r="AB98" s="81"/>
      <c r="AC98" s="81"/>
      <c r="AD98" s="84" t="s">
        <v>843</v>
      </c>
      <c r="AE98" s="82">
        <v>1</v>
      </c>
      <c r="AF98" s="83" t="str">
        <f>REPLACE(INDEX(GroupVertices[Group],MATCH(Edges[[#This Row],[Vertex 1]],GroupVertices[Vertex],0)),1,1,"")</f>
        <v>3</v>
      </c>
      <c r="AG98" s="83" t="str">
        <f>REPLACE(INDEX(GroupVertices[Group],MATCH(Edges[[#This Row],[Vertex 2]],GroupVertices[Vertex],0)),1,1,"")</f>
        <v>1</v>
      </c>
      <c r="AH98" s="111">
        <v>3</v>
      </c>
      <c r="AI98" s="112">
        <v>7.5</v>
      </c>
      <c r="AJ98" s="111">
        <v>7</v>
      </c>
      <c r="AK98" s="112">
        <v>17.5</v>
      </c>
      <c r="AL98" s="111">
        <v>0</v>
      </c>
      <c r="AM98" s="112">
        <v>0</v>
      </c>
      <c r="AN98" s="111">
        <v>33</v>
      </c>
      <c r="AO98" s="112">
        <v>82.5</v>
      </c>
      <c r="AP98" s="111">
        <v>40</v>
      </c>
    </row>
    <row r="99" spans="1:42" ht="15">
      <c r="A99" s="65" t="s">
        <v>408</v>
      </c>
      <c r="B99" s="65" t="s">
        <v>479</v>
      </c>
      <c r="C99" s="66" t="s">
        <v>1613</v>
      </c>
      <c r="D99" s="67">
        <v>3</v>
      </c>
      <c r="E99" s="68"/>
      <c r="F99" s="69">
        <v>40</v>
      </c>
      <c r="G99" s="66"/>
      <c r="H99" s="70"/>
      <c r="I99" s="71"/>
      <c r="J99" s="71"/>
      <c r="K99" s="35" t="s">
        <v>65</v>
      </c>
      <c r="L99" s="79">
        <v>99</v>
      </c>
      <c r="M99" s="79"/>
      <c r="N99" s="73"/>
      <c r="O99" s="81" t="s">
        <v>481</v>
      </c>
      <c r="P99" s="81" t="s">
        <v>314</v>
      </c>
      <c r="Q99" s="84" t="s">
        <v>580</v>
      </c>
      <c r="R99" s="81" t="s">
        <v>408</v>
      </c>
      <c r="S99" s="81" t="s">
        <v>748</v>
      </c>
      <c r="T99" s="86" t="str">
        <f>HYPERLINK("http://www.youtube.com/channel/UC8WBpQXmB0gMLP_1jDliwLg")</f>
        <v>http://www.youtube.com/channel/UC8WBpQXmB0gMLP_1jDliwLg</v>
      </c>
      <c r="U99" s="81"/>
      <c r="V99" s="81" t="s">
        <v>839</v>
      </c>
      <c r="W99" s="86" t="str">
        <f>HYPERLINK("https://www.youtube.com/watch?v=Ci9JYIJstPY")</f>
        <v>https://www.youtube.com/watch?v=Ci9JYIJstPY</v>
      </c>
      <c r="X99" s="81" t="s">
        <v>840</v>
      </c>
      <c r="Y99" s="81">
        <v>0</v>
      </c>
      <c r="Z99" s="88">
        <v>44322.152662037035</v>
      </c>
      <c r="AA99" s="88">
        <v>44322.152662037035</v>
      </c>
      <c r="AB99" s="81"/>
      <c r="AC99" s="81"/>
      <c r="AD99" s="84" t="s">
        <v>843</v>
      </c>
      <c r="AE99" s="82">
        <v>1</v>
      </c>
      <c r="AF99" s="83" t="str">
        <f>REPLACE(INDEX(GroupVertices[Group],MATCH(Edges[[#This Row],[Vertex 1]],GroupVertices[Vertex],0)),1,1,"")</f>
        <v>1</v>
      </c>
      <c r="AG99" s="83" t="str">
        <f>REPLACE(INDEX(GroupVertices[Group],MATCH(Edges[[#This Row],[Vertex 2]],GroupVertices[Vertex],0)),1,1,"")</f>
        <v>1</v>
      </c>
      <c r="AH99" s="111">
        <v>2</v>
      </c>
      <c r="AI99" s="112">
        <v>4.651162790697675</v>
      </c>
      <c r="AJ99" s="111">
        <v>1</v>
      </c>
      <c r="AK99" s="112">
        <v>2.3255813953488373</v>
      </c>
      <c r="AL99" s="111">
        <v>0</v>
      </c>
      <c r="AM99" s="112">
        <v>0</v>
      </c>
      <c r="AN99" s="111">
        <v>40</v>
      </c>
      <c r="AO99" s="112">
        <v>93.02325581395348</v>
      </c>
      <c r="AP99" s="111">
        <v>43</v>
      </c>
    </row>
    <row r="100" spans="1:42" ht="15">
      <c r="A100" s="65" t="s">
        <v>387</v>
      </c>
      <c r="B100" s="65" t="s">
        <v>479</v>
      </c>
      <c r="C100" s="66" t="s">
        <v>1613</v>
      </c>
      <c r="D100" s="67">
        <v>3</v>
      </c>
      <c r="E100" s="68"/>
      <c r="F100" s="69">
        <v>40</v>
      </c>
      <c r="G100" s="66"/>
      <c r="H100" s="70"/>
      <c r="I100" s="71"/>
      <c r="J100" s="71"/>
      <c r="K100" s="35" t="s">
        <v>65</v>
      </c>
      <c r="L100" s="79">
        <v>100</v>
      </c>
      <c r="M100" s="79"/>
      <c r="N100" s="73"/>
      <c r="O100" s="81" t="s">
        <v>481</v>
      </c>
      <c r="P100" s="81" t="s">
        <v>314</v>
      </c>
      <c r="Q100" s="84" t="s">
        <v>581</v>
      </c>
      <c r="R100" s="81" t="s">
        <v>387</v>
      </c>
      <c r="S100" s="81" t="s">
        <v>727</v>
      </c>
      <c r="T100" s="86" t="str">
        <f>HYPERLINK("http://www.youtube.com/channel/UCeDtLNEDoMVNjXOzXfJlvfA")</f>
        <v>http://www.youtube.com/channel/UCeDtLNEDoMVNjXOzXfJlvfA</v>
      </c>
      <c r="U100" s="81"/>
      <c r="V100" s="81" t="s">
        <v>839</v>
      </c>
      <c r="W100" s="86" t="str">
        <f>HYPERLINK("https://www.youtube.com/watch?v=Ci9JYIJstPY")</f>
        <v>https://www.youtube.com/watch?v=Ci9JYIJstPY</v>
      </c>
      <c r="X100" s="81" t="s">
        <v>840</v>
      </c>
      <c r="Y100" s="81">
        <v>3</v>
      </c>
      <c r="Z100" s="88">
        <v>44322.17424768519</v>
      </c>
      <c r="AA100" s="88">
        <v>44322.17424768519</v>
      </c>
      <c r="AB100" s="81"/>
      <c r="AC100" s="81"/>
      <c r="AD100" s="84" t="s">
        <v>843</v>
      </c>
      <c r="AE100" s="82">
        <v>1</v>
      </c>
      <c r="AF100" s="83" t="str">
        <f>REPLACE(INDEX(GroupVertices[Group],MATCH(Edges[[#This Row],[Vertex 1]],GroupVertices[Vertex],0)),1,1,"")</f>
        <v>3</v>
      </c>
      <c r="AG100" s="83" t="str">
        <f>REPLACE(INDEX(GroupVertices[Group],MATCH(Edges[[#This Row],[Vertex 2]],GroupVertices[Vertex],0)),1,1,"")</f>
        <v>1</v>
      </c>
      <c r="AH100" s="111">
        <v>1</v>
      </c>
      <c r="AI100" s="112">
        <v>2.7777777777777777</v>
      </c>
      <c r="AJ100" s="111">
        <v>0</v>
      </c>
      <c r="AK100" s="112">
        <v>0</v>
      </c>
      <c r="AL100" s="111">
        <v>0</v>
      </c>
      <c r="AM100" s="112">
        <v>0</v>
      </c>
      <c r="AN100" s="111">
        <v>35</v>
      </c>
      <c r="AO100" s="112">
        <v>97.22222222222223</v>
      </c>
      <c r="AP100" s="111">
        <v>36</v>
      </c>
    </row>
    <row r="101" spans="1:42" ht="15">
      <c r="A101" s="65" t="s">
        <v>409</v>
      </c>
      <c r="B101" s="65" t="s">
        <v>479</v>
      </c>
      <c r="C101" s="66" t="s">
        <v>1613</v>
      </c>
      <c r="D101" s="67">
        <v>3</v>
      </c>
      <c r="E101" s="68"/>
      <c r="F101" s="69">
        <v>40</v>
      </c>
      <c r="G101" s="66"/>
      <c r="H101" s="70"/>
      <c r="I101" s="71"/>
      <c r="J101" s="71"/>
      <c r="K101" s="35" t="s">
        <v>65</v>
      </c>
      <c r="L101" s="79">
        <v>101</v>
      </c>
      <c r="M101" s="79"/>
      <c r="N101" s="73"/>
      <c r="O101" s="81" t="s">
        <v>481</v>
      </c>
      <c r="P101" s="81" t="s">
        <v>314</v>
      </c>
      <c r="Q101" s="84" t="s">
        <v>582</v>
      </c>
      <c r="R101" s="81" t="s">
        <v>409</v>
      </c>
      <c r="S101" s="81" t="s">
        <v>749</v>
      </c>
      <c r="T101" s="86" t="str">
        <f>HYPERLINK("http://www.youtube.com/channel/UCCyPxP7qhliiDEVs8Cy4MQw")</f>
        <v>http://www.youtube.com/channel/UCCyPxP7qhliiDEVs8Cy4MQw</v>
      </c>
      <c r="U101" s="81"/>
      <c r="V101" s="81" t="s">
        <v>839</v>
      </c>
      <c r="W101" s="86" t="str">
        <f>HYPERLINK("https://www.youtube.com/watch?v=Ci9JYIJstPY")</f>
        <v>https://www.youtube.com/watch?v=Ci9JYIJstPY</v>
      </c>
      <c r="X101" s="81" t="s">
        <v>840</v>
      </c>
      <c r="Y101" s="81">
        <v>1</v>
      </c>
      <c r="Z101" s="88">
        <v>44322.19287037037</v>
      </c>
      <c r="AA101" s="88">
        <v>44322.19287037037</v>
      </c>
      <c r="AB101" s="81"/>
      <c r="AC101" s="81"/>
      <c r="AD101" s="84" t="s">
        <v>843</v>
      </c>
      <c r="AE101" s="82">
        <v>1</v>
      </c>
      <c r="AF101" s="83" t="str">
        <f>REPLACE(INDEX(GroupVertices[Group],MATCH(Edges[[#This Row],[Vertex 1]],GroupVertices[Vertex],0)),1,1,"")</f>
        <v>1</v>
      </c>
      <c r="AG101" s="83" t="str">
        <f>REPLACE(INDEX(GroupVertices[Group],MATCH(Edges[[#This Row],[Vertex 2]],GroupVertices[Vertex],0)),1,1,"")</f>
        <v>1</v>
      </c>
      <c r="AH101" s="111">
        <v>0</v>
      </c>
      <c r="AI101" s="112">
        <v>0</v>
      </c>
      <c r="AJ101" s="111">
        <v>1</v>
      </c>
      <c r="AK101" s="112">
        <v>50</v>
      </c>
      <c r="AL101" s="111">
        <v>0</v>
      </c>
      <c r="AM101" s="112">
        <v>0</v>
      </c>
      <c r="AN101" s="111">
        <v>1</v>
      </c>
      <c r="AO101" s="112">
        <v>50</v>
      </c>
      <c r="AP101" s="111">
        <v>2</v>
      </c>
    </row>
    <row r="102" spans="1:42" ht="15">
      <c r="A102" s="65" t="s">
        <v>410</v>
      </c>
      <c r="B102" s="65" t="s">
        <v>479</v>
      </c>
      <c r="C102" s="66" t="s">
        <v>1613</v>
      </c>
      <c r="D102" s="67">
        <v>3</v>
      </c>
      <c r="E102" s="68"/>
      <c r="F102" s="69">
        <v>40</v>
      </c>
      <c r="G102" s="66"/>
      <c r="H102" s="70"/>
      <c r="I102" s="71"/>
      <c r="J102" s="71"/>
      <c r="K102" s="35" t="s">
        <v>65</v>
      </c>
      <c r="L102" s="79">
        <v>102</v>
      </c>
      <c r="M102" s="79"/>
      <c r="N102" s="73"/>
      <c r="O102" s="81" t="s">
        <v>481</v>
      </c>
      <c r="P102" s="81" t="s">
        <v>314</v>
      </c>
      <c r="Q102" s="84" t="s">
        <v>583</v>
      </c>
      <c r="R102" s="81" t="s">
        <v>410</v>
      </c>
      <c r="S102" s="81" t="s">
        <v>750</v>
      </c>
      <c r="T102" s="86" t="str">
        <f>HYPERLINK("http://www.youtube.com/channel/UCCgwcH-i5om6druk2mUlZXA")</f>
        <v>http://www.youtube.com/channel/UCCgwcH-i5om6druk2mUlZXA</v>
      </c>
      <c r="U102" s="81"/>
      <c r="V102" s="81" t="s">
        <v>839</v>
      </c>
      <c r="W102" s="86" t="str">
        <f>HYPERLINK("https://www.youtube.com/watch?v=Ci9JYIJstPY")</f>
        <v>https://www.youtube.com/watch?v=Ci9JYIJstPY</v>
      </c>
      <c r="X102" s="81" t="s">
        <v>840</v>
      </c>
      <c r="Y102" s="81">
        <v>21</v>
      </c>
      <c r="Z102" s="88">
        <v>44322.26115740741</v>
      </c>
      <c r="AA102" s="88">
        <v>44322.26115740741</v>
      </c>
      <c r="AB102" s="81"/>
      <c r="AC102" s="81"/>
      <c r="AD102" s="84" t="s">
        <v>843</v>
      </c>
      <c r="AE102" s="82">
        <v>1</v>
      </c>
      <c r="AF102" s="83" t="str">
        <f>REPLACE(INDEX(GroupVertices[Group],MATCH(Edges[[#This Row],[Vertex 1]],GroupVertices[Vertex],0)),1,1,"")</f>
        <v>1</v>
      </c>
      <c r="AG102" s="83" t="str">
        <f>REPLACE(INDEX(GroupVertices[Group],MATCH(Edges[[#This Row],[Vertex 2]],GroupVertices[Vertex],0)),1,1,"")</f>
        <v>1</v>
      </c>
      <c r="AH102" s="111">
        <v>1</v>
      </c>
      <c r="AI102" s="112">
        <v>4.545454545454546</v>
      </c>
      <c r="AJ102" s="111">
        <v>2</v>
      </c>
      <c r="AK102" s="112">
        <v>9.090909090909092</v>
      </c>
      <c r="AL102" s="111">
        <v>0</v>
      </c>
      <c r="AM102" s="112">
        <v>0</v>
      </c>
      <c r="AN102" s="111">
        <v>20</v>
      </c>
      <c r="AO102" s="112">
        <v>90.9090909090909</v>
      </c>
      <c r="AP102" s="111">
        <v>22</v>
      </c>
    </row>
    <row r="103" spans="1:42" ht="15">
      <c r="A103" s="65" t="s">
        <v>411</v>
      </c>
      <c r="B103" s="65" t="s">
        <v>479</v>
      </c>
      <c r="C103" s="66" t="s">
        <v>1613</v>
      </c>
      <c r="D103" s="67">
        <v>3</v>
      </c>
      <c r="E103" s="68"/>
      <c r="F103" s="69">
        <v>40</v>
      </c>
      <c r="G103" s="66"/>
      <c r="H103" s="70"/>
      <c r="I103" s="71"/>
      <c r="J103" s="71"/>
      <c r="K103" s="35" t="s">
        <v>65</v>
      </c>
      <c r="L103" s="79">
        <v>103</v>
      </c>
      <c r="M103" s="79"/>
      <c r="N103" s="73"/>
      <c r="O103" s="81" t="s">
        <v>481</v>
      </c>
      <c r="P103" s="81" t="s">
        <v>314</v>
      </c>
      <c r="Q103" s="84" t="s">
        <v>584</v>
      </c>
      <c r="R103" s="81" t="s">
        <v>411</v>
      </c>
      <c r="S103" s="81" t="s">
        <v>751</v>
      </c>
      <c r="T103" s="86" t="str">
        <f>HYPERLINK("http://www.youtube.com/channel/UC9A9nN9mb4IHOrfZDhqpFOw")</f>
        <v>http://www.youtube.com/channel/UC9A9nN9mb4IHOrfZDhqpFOw</v>
      </c>
      <c r="U103" s="81"/>
      <c r="V103" s="81" t="s">
        <v>839</v>
      </c>
      <c r="W103" s="86" t="str">
        <f>HYPERLINK("https://www.youtube.com/watch?v=Ci9JYIJstPY")</f>
        <v>https://www.youtube.com/watch?v=Ci9JYIJstPY</v>
      </c>
      <c r="X103" s="81" t="s">
        <v>840</v>
      </c>
      <c r="Y103" s="81">
        <v>0</v>
      </c>
      <c r="Z103" s="88">
        <v>44322.26391203704</v>
      </c>
      <c r="AA103" s="88">
        <v>44322.26391203704</v>
      </c>
      <c r="AB103" s="81"/>
      <c r="AC103" s="81"/>
      <c r="AD103" s="84" t="s">
        <v>843</v>
      </c>
      <c r="AE103" s="82">
        <v>1</v>
      </c>
      <c r="AF103" s="83" t="str">
        <f>REPLACE(INDEX(GroupVertices[Group],MATCH(Edges[[#This Row],[Vertex 1]],GroupVertices[Vertex],0)),1,1,"")</f>
        <v>1</v>
      </c>
      <c r="AG103" s="83" t="str">
        <f>REPLACE(INDEX(GroupVertices[Group],MATCH(Edges[[#This Row],[Vertex 2]],GroupVertices[Vertex],0)),1,1,"")</f>
        <v>1</v>
      </c>
      <c r="AH103" s="111">
        <v>0</v>
      </c>
      <c r="AI103" s="112">
        <v>0</v>
      </c>
      <c r="AJ103" s="111">
        <v>0</v>
      </c>
      <c r="AK103" s="112">
        <v>0</v>
      </c>
      <c r="AL103" s="111">
        <v>0</v>
      </c>
      <c r="AM103" s="112">
        <v>0</v>
      </c>
      <c r="AN103" s="111">
        <v>11</v>
      </c>
      <c r="AO103" s="112">
        <v>100</v>
      </c>
      <c r="AP103" s="111">
        <v>11</v>
      </c>
    </row>
    <row r="104" spans="1:42" ht="15">
      <c r="A104" s="65" t="s">
        <v>412</v>
      </c>
      <c r="B104" s="65" t="s">
        <v>479</v>
      </c>
      <c r="C104" s="66" t="s">
        <v>1613</v>
      </c>
      <c r="D104" s="67">
        <v>3</v>
      </c>
      <c r="E104" s="68"/>
      <c r="F104" s="69">
        <v>40</v>
      </c>
      <c r="G104" s="66"/>
      <c r="H104" s="70"/>
      <c r="I104" s="71"/>
      <c r="J104" s="71"/>
      <c r="K104" s="35" t="s">
        <v>65</v>
      </c>
      <c r="L104" s="79">
        <v>104</v>
      </c>
      <c r="M104" s="79"/>
      <c r="N104" s="73"/>
      <c r="O104" s="81" t="s">
        <v>481</v>
      </c>
      <c r="P104" s="81" t="s">
        <v>314</v>
      </c>
      <c r="Q104" s="84" t="s">
        <v>585</v>
      </c>
      <c r="R104" s="81" t="s">
        <v>412</v>
      </c>
      <c r="S104" s="81" t="s">
        <v>752</v>
      </c>
      <c r="T104" s="86" t="str">
        <f>HYPERLINK("http://www.youtube.com/channel/UCiDI0xQwfpKlvJvDRvO9vLw")</f>
        <v>http://www.youtube.com/channel/UCiDI0xQwfpKlvJvDRvO9vLw</v>
      </c>
      <c r="U104" s="81"/>
      <c r="V104" s="81" t="s">
        <v>839</v>
      </c>
      <c r="W104" s="86" t="str">
        <f>HYPERLINK("https://www.youtube.com/watch?v=Ci9JYIJstPY")</f>
        <v>https://www.youtube.com/watch?v=Ci9JYIJstPY</v>
      </c>
      <c r="X104" s="81" t="s">
        <v>840</v>
      </c>
      <c r="Y104" s="81">
        <v>1</v>
      </c>
      <c r="Z104" s="88">
        <v>44322.27564814815</v>
      </c>
      <c r="AA104" s="88">
        <v>44322.27564814815</v>
      </c>
      <c r="AB104" s="81"/>
      <c r="AC104" s="81"/>
      <c r="AD104" s="84" t="s">
        <v>843</v>
      </c>
      <c r="AE104" s="82">
        <v>1</v>
      </c>
      <c r="AF104" s="83" t="str">
        <f>REPLACE(INDEX(GroupVertices[Group],MATCH(Edges[[#This Row],[Vertex 1]],GroupVertices[Vertex],0)),1,1,"")</f>
        <v>1</v>
      </c>
      <c r="AG104" s="83" t="str">
        <f>REPLACE(INDEX(GroupVertices[Group],MATCH(Edges[[#This Row],[Vertex 2]],GroupVertices[Vertex],0)),1,1,"")</f>
        <v>1</v>
      </c>
      <c r="AH104" s="111">
        <v>2</v>
      </c>
      <c r="AI104" s="112">
        <v>9.523809523809524</v>
      </c>
      <c r="AJ104" s="111">
        <v>5</v>
      </c>
      <c r="AK104" s="112">
        <v>23.80952380952381</v>
      </c>
      <c r="AL104" s="111">
        <v>0</v>
      </c>
      <c r="AM104" s="112">
        <v>0</v>
      </c>
      <c r="AN104" s="111">
        <v>16</v>
      </c>
      <c r="AO104" s="112">
        <v>76.19047619047619</v>
      </c>
      <c r="AP104" s="111">
        <v>21</v>
      </c>
    </row>
    <row r="105" spans="1:42" ht="15">
      <c r="A105" s="65" t="s">
        <v>413</v>
      </c>
      <c r="B105" s="65" t="s">
        <v>479</v>
      </c>
      <c r="C105" s="66" t="s">
        <v>1613</v>
      </c>
      <c r="D105" s="67">
        <v>3</v>
      </c>
      <c r="E105" s="68"/>
      <c r="F105" s="69">
        <v>40</v>
      </c>
      <c r="G105" s="66"/>
      <c r="H105" s="70"/>
      <c r="I105" s="71"/>
      <c r="J105" s="71"/>
      <c r="K105" s="35" t="s">
        <v>65</v>
      </c>
      <c r="L105" s="79">
        <v>105</v>
      </c>
      <c r="M105" s="79"/>
      <c r="N105" s="73"/>
      <c r="O105" s="81" t="s">
        <v>481</v>
      </c>
      <c r="P105" s="81" t="s">
        <v>314</v>
      </c>
      <c r="Q105" s="84" t="s">
        <v>586</v>
      </c>
      <c r="R105" s="81" t="s">
        <v>413</v>
      </c>
      <c r="S105" s="81" t="s">
        <v>753</v>
      </c>
      <c r="T105" s="86" t="str">
        <f>HYPERLINK("http://www.youtube.com/channel/UCunkBt8tst80YQ9FYwwxCww")</f>
        <v>http://www.youtube.com/channel/UCunkBt8tst80YQ9FYwwxCww</v>
      </c>
      <c r="U105" s="81"/>
      <c r="V105" s="81" t="s">
        <v>839</v>
      </c>
      <c r="W105" s="86" t="str">
        <f>HYPERLINK("https://www.youtube.com/watch?v=Ci9JYIJstPY")</f>
        <v>https://www.youtube.com/watch?v=Ci9JYIJstPY</v>
      </c>
      <c r="X105" s="81" t="s">
        <v>840</v>
      </c>
      <c r="Y105" s="81">
        <v>0</v>
      </c>
      <c r="Z105" s="88">
        <v>44322.27646990741</v>
      </c>
      <c r="AA105" s="88">
        <v>44322.27646990741</v>
      </c>
      <c r="AB105" s="81"/>
      <c r="AC105" s="81"/>
      <c r="AD105" s="84" t="s">
        <v>843</v>
      </c>
      <c r="AE105" s="82">
        <v>1</v>
      </c>
      <c r="AF105" s="83" t="str">
        <f>REPLACE(INDEX(GroupVertices[Group],MATCH(Edges[[#This Row],[Vertex 1]],GroupVertices[Vertex],0)),1,1,"")</f>
        <v>1</v>
      </c>
      <c r="AG105" s="83" t="str">
        <f>REPLACE(INDEX(GroupVertices[Group],MATCH(Edges[[#This Row],[Vertex 2]],GroupVertices[Vertex],0)),1,1,"")</f>
        <v>1</v>
      </c>
      <c r="AH105" s="111">
        <v>5</v>
      </c>
      <c r="AI105" s="112">
        <v>11.363636363636363</v>
      </c>
      <c r="AJ105" s="111">
        <v>3</v>
      </c>
      <c r="AK105" s="112">
        <v>6.818181818181818</v>
      </c>
      <c r="AL105" s="111">
        <v>0</v>
      </c>
      <c r="AM105" s="112">
        <v>0</v>
      </c>
      <c r="AN105" s="111">
        <v>38</v>
      </c>
      <c r="AO105" s="112">
        <v>86.36363636363636</v>
      </c>
      <c r="AP105" s="111">
        <v>44</v>
      </c>
    </row>
    <row r="106" spans="1:42" ht="15">
      <c r="A106" s="65" t="s">
        <v>414</v>
      </c>
      <c r="B106" s="65" t="s">
        <v>479</v>
      </c>
      <c r="C106" s="66" t="s">
        <v>1613</v>
      </c>
      <c r="D106" s="67">
        <v>3</v>
      </c>
      <c r="E106" s="68"/>
      <c r="F106" s="69">
        <v>40</v>
      </c>
      <c r="G106" s="66"/>
      <c r="H106" s="70"/>
      <c r="I106" s="71"/>
      <c r="J106" s="71"/>
      <c r="K106" s="35" t="s">
        <v>65</v>
      </c>
      <c r="L106" s="79">
        <v>106</v>
      </c>
      <c r="M106" s="79"/>
      <c r="N106" s="73"/>
      <c r="O106" s="81" t="s">
        <v>481</v>
      </c>
      <c r="P106" s="81" t="s">
        <v>314</v>
      </c>
      <c r="Q106" s="84" t="s">
        <v>587</v>
      </c>
      <c r="R106" s="81" t="s">
        <v>414</v>
      </c>
      <c r="S106" s="81" t="s">
        <v>754</v>
      </c>
      <c r="T106" s="86" t="str">
        <f>HYPERLINK("http://www.youtube.com/channel/UC-v_DfMPBmDqGJ0SJ1vhi7A")</f>
        <v>http://www.youtube.com/channel/UC-v_DfMPBmDqGJ0SJ1vhi7A</v>
      </c>
      <c r="U106" s="81"/>
      <c r="V106" s="81" t="s">
        <v>839</v>
      </c>
      <c r="W106" s="86" t="str">
        <f>HYPERLINK("https://www.youtube.com/watch?v=Ci9JYIJstPY")</f>
        <v>https://www.youtube.com/watch?v=Ci9JYIJstPY</v>
      </c>
      <c r="X106" s="81" t="s">
        <v>840</v>
      </c>
      <c r="Y106" s="81">
        <v>2</v>
      </c>
      <c r="Z106" s="88">
        <v>44322.277025462965</v>
      </c>
      <c r="AA106" s="88">
        <v>44322.277025462965</v>
      </c>
      <c r="AB106" s="81"/>
      <c r="AC106" s="81"/>
      <c r="AD106" s="84" t="s">
        <v>843</v>
      </c>
      <c r="AE106" s="82">
        <v>1</v>
      </c>
      <c r="AF106" s="83" t="str">
        <f>REPLACE(INDEX(GroupVertices[Group],MATCH(Edges[[#This Row],[Vertex 1]],GroupVertices[Vertex],0)),1,1,"")</f>
        <v>1</v>
      </c>
      <c r="AG106" s="83" t="str">
        <f>REPLACE(INDEX(GroupVertices[Group],MATCH(Edges[[#This Row],[Vertex 2]],GroupVertices[Vertex],0)),1,1,"")</f>
        <v>1</v>
      </c>
      <c r="AH106" s="111">
        <v>2</v>
      </c>
      <c r="AI106" s="112">
        <v>28.571428571428573</v>
      </c>
      <c r="AJ106" s="111">
        <v>1</v>
      </c>
      <c r="AK106" s="112">
        <v>14.285714285714286</v>
      </c>
      <c r="AL106" s="111">
        <v>0</v>
      </c>
      <c r="AM106" s="112">
        <v>0</v>
      </c>
      <c r="AN106" s="111">
        <v>4</v>
      </c>
      <c r="AO106" s="112">
        <v>57.142857142857146</v>
      </c>
      <c r="AP106" s="111">
        <v>7</v>
      </c>
    </row>
    <row r="107" spans="1:42" ht="15">
      <c r="A107" s="65" t="s">
        <v>415</v>
      </c>
      <c r="B107" s="65" t="s">
        <v>479</v>
      </c>
      <c r="C107" s="66" t="s">
        <v>1613</v>
      </c>
      <c r="D107" s="67">
        <v>3</v>
      </c>
      <c r="E107" s="68"/>
      <c r="F107" s="69">
        <v>40</v>
      </c>
      <c r="G107" s="66"/>
      <c r="H107" s="70"/>
      <c r="I107" s="71"/>
      <c r="J107" s="71"/>
      <c r="K107" s="35" t="s">
        <v>65</v>
      </c>
      <c r="L107" s="79">
        <v>107</v>
      </c>
      <c r="M107" s="79"/>
      <c r="N107" s="73"/>
      <c r="O107" s="81" t="s">
        <v>481</v>
      </c>
      <c r="P107" s="81" t="s">
        <v>314</v>
      </c>
      <c r="Q107" s="84" t="s">
        <v>588</v>
      </c>
      <c r="R107" s="81" t="s">
        <v>415</v>
      </c>
      <c r="S107" s="81" t="s">
        <v>755</v>
      </c>
      <c r="T107" s="86" t="str">
        <f>HYPERLINK("http://www.youtube.com/channel/UCYsg4VABOBN1XtYD2gNdOwg")</f>
        <v>http://www.youtube.com/channel/UCYsg4VABOBN1XtYD2gNdOwg</v>
      </c>
      <c r="U107" s="81"/>
      <c r="V107" s="81" t="s">
        <v>839</v>
      </c>
      <c r="W107" s="86" t="str">
        <f>HYPERLINK("https://www.youtube.com/watch?v=Ci9JYIJstPY")</f>
        <v>https://www.youtube.com/watch?v=Ci9JYIJstPY</v>
      </c>
      <c r="X107" s="81" t="s">
        <v>840</v>
      </c>
      <c r="Y107" s="81">
        <v>0</v>
      </c>
      <c r="Z107" s="88">
        <v>44322.27958333334</v>
      </c>
      <c r="AA107" s="88">
        <v>44322.27958333334</v>
      </c>
      <c r="AB107" s="81"/>
      <c r="AC107" s="81"/>
      <c r="AD107" s="84" t="s">
        <v>843</v>
      </c>
      <c r="AE107" s="82">
        <v>1</v>
      </c>
      <c r="AF107" s="83" t="str">
        <f>REPLACE(INDEX(GroupVertices[Group],MATCH(Edges[[#This Row],[Vertex 1]],GroupVertices[Vertex],0)),1,1,"")</f>
        <v>1</v>
      </c>
      <c r="AG107" s="83" t="str">
        <f>REPLACE(INDEX(GroupVertices[Group],MATCH(Edges[[#This Row],[Vertex 2]],GroupVertices[Vertex],0)),1,1,"")</f>
        <v>1</v>
      </c>
      <c r="AH107" s="111">
        <v>1</v>
      </c>
      <c r="AI107" s="112">
        <v>5.555555555555555</v>
      </c>
      <c r="AJ107" s="111">
        <v>1</v>
      </c>
      <c r="AK107" s="112">
        <v>5.555555555555555</v>
      </c>
      <c r="AL107" s="111">
        <v>0</v>
      </c>
      <c r="AM107" s="112">
        <v>0</v>
      </c>
      <c r="AN107" s="111">
        <v>17</v>
      </c>
      <c r="AO107" s="112">
        <v>94.44444444444444</v>
      </c>
      <c r="AP107" s="111">
        <v>18</v>
      </c>
    </row>
    <row r="108" spans="1:42" ht="15">
      <c r="A108" s="65" t="s">
        <v>369</v>
      </c>
      <c r="B108" s="65" t="s">
        <v>417</v>
      </c>
      <c r="C108" s="66" t="s">
        <v>1613</v>
      </c>
      <c r="D108" s="67">
        <v>3</v>
      </c>
      <c r="E108" s="68"/>
      <c r="F108" s="69">
        <v>40</v>
      </c>
      <c r="G108" s="66"/>
      <c r="H108" s="70"/>
      <c r="I108" s="71"/>
      <c r="J108" s="71"/>
      <c r="K108" s="35" t="s">
        <v>65</v>
      </c>
      <c r="L108" s="79">
        <v>108</v>
      </c>
      <c r="M108" s="79"/>
      <c r="N108" s="73"/>
      <c r="O108" s="81" t="s">
        <v>482</v>
      </c>
      <c r="P108" s="81" t="s">
        <v>484</v>
      </c>
      <c r="Q108" s="84" t="s">
        <v>589</v>
      </c>
      <c r="R108" s="81" t="s">
        <v>369</v>
      </c>
      <c r="S108" s="81" t="s">
        <v>709</v>
      </c>
      <c r="T108" s="86" t="str">
        <f>HYPERLINK("http://www.youtube.com/channel/UCa-c9vgdSoHvqOCFptOF0pw")</f>
        <v>http://www.youtube.com/channel/UCa-c9vgdSoHvqOCFptOF0pw</v>
      </c>
      <c r="U108" s="81" t="s">
        <v>832</v>
      </c>
      <c r="V108" s="81" t="s">
        <v>839</v>
      </c>
      <c r="W108" s="86" t="str">
        <f>HYPERLINK("https://www.youtube.com/watch?v=")</f>
        <v>https://www.youtube.com/watch?v=</v>
      </c>
      <c r="X108" s="81" t="s">
        <v>840</v>
      </c>
      <c r="Y108" s="81">
        <v>1</v>
      </c>
      <c r="Z108" s="88">
        <v>44322.470659722225</v>
      </c>
      <c r="AA108" s="88">
        <v>44322.470659722225</v>
      </c>
      <c r="AB108" s="81"/>
      <c r="AC108" s="81"/>
      <c r="AD108" s="84" t="s">
        <v>843</v>
      </c>
      <c r="AE108" s="82">
        <v>1</v>
      </c>
      <c r="AF108" s="83" t="str">
        <f>REPLACE(INDEX(GroupVertices[Group],MATCH(Edges[[#This Row],[Vertex 1]],GroupVertices[Vertex],0)),1,1,"")</f>
        <v>4</v>
      </c>
      <c r="AG108" s="83" t="str">
        <f>REPLACE(INDEX(GroupVertices[Group],MATCH(Edges[[#This Row],[Vertex 2]],GroupVertices[Vertex],0)),1,1,"")</f>
        <v>4</v>
      </c>
      <c r="AH108" s="111">
        <v>1</v>
      </c>
      <c r="AI108" s="112">
        <v>3.125</v>
      </c>
      <c r="AJ108" s="111">
        <v>1</v>
      </c>
      <c r="AK108" s="112">
        <v>3.125</v>
      </c>
      <c r="AL108" s="111">
        <v>0</v>
      </c>
      <c r="AM108" s="112">
        <v>0</v>
      </c>
      <c r="AN108" s="111">
        <v>31</v>
      </c>
      <c r="AO108" s="112">
        <v>96.875</v>
      </c>
      <c r="AP108" s="111">
        <v>32</v>
      </c>
    </row>
    <row r="109" spans="1:42" ht="15">
      <c r="A109" s="65" t="s">
        <v>416</v>
      </c>
      <c r="B109" s="65" t="s">
        <v>417</v>
      </c>
      <c r="C109" s="66" t="s">
        <v>1614</v>
      </c>
      <c r="D109" s="67">
        <v>3</v>
      </c>
      <c r="E109" s="68"/>
      <c r="F109" s="69">
        <v>40</v>
      </c>
      <c r="G109" s="66"/>
      <c r="H109" s="70"/>
      <c r="I109" s="71"/>
      <c r="J109" s="71"/>
      <c r="K109" s="35" t="s">
        <v>65</v>
      </c>
      <c r="L109" s="79">
        <v>109</v>
      </c>
      <c r="M109" s="79"/>
      <c r="N109" s="73"/>
      <c r="O109" s="81" t="s">
        <v>482</v>
      </c>
      <c r="P109" s="81" t="s">
        <v>484</v>
      </c>
      <c r="Q109" s="84" t="s">
        <v>590</v>
      </c>
      <c r="R109" s="81" t="s">
        <v>416</v>
      </c>
      <c r="S109" s="81" t="s">
        <v>756</v>
      </c>
      <c r="T109" s="86" t="str">
        <f>HYPERLINK("http://www.youtube.com/channel/UC2HCeJs0vX3ulCsRo6tcDCA")</f>
        <v>http://www.youtube.com/channel/UC2HCeJs0vX3ulCsRo6tcDCA</v>
      </c>
      <c r="U109" s="81" t="s">
        <v>832</v>
      </c>
      <c r="V109" s="81" t="s">
        <v>839</v>
      </c>
      <c r="W109" s="86" t="str">
        <f>HYPERLINK("https://www.youtube.com/watch?v=")</f>
        <v>https://www.youtube.com/watch?v=</v>
      </c>
      <c r="X109" s="81" t="s">
        <v>840</v>
      </c>
      <c r="Y109" s="81">
        <v>0</v>
      </c>
      <c r="Z109" s="88">
        <v>44322.54232638889</v>
      </c>
      <c r="AA109" s="88">
        <v>44322.54232638889</v>
      </c>
      <c r="AB109" s="81"/>
      <c r="AC109" s="81"/>
      <c r="AD109" s="84" t="s">
        <v>843</v>
      </c>
      <c r="AE109" s="82">
        <v>2</v>
      </c>
      <c r="AF109" s="83" t="str">
        <f>REPLACE(INDEX(GroupVertices[Group],MATCH(Edges[[#This Row],[Vertex 1]],GroupVertices[Vertex],0)),1,1,"")</f>
        <v>4</v>
      </c>
      <c r="AG109" s="83" t="str">
        <f>REPLACE(INDEX(GroupVertices[Group],MATCH(Edges[[#This Row],[Vertex 2]],GroupVertices[Vertex],0)),1,1,"")</f>
        <v>4</v>
      </c>
      <c r="AH109" s="111">
        <v>5</v>
      </c>
      <c r="AI109" s="112">
        <v>10.204081632653061</v>
      </c>
      <c r="AJ109" s="111">
        <v>5</v>
      </c>
      <c r="AK109" s="112">
        <v>10.204081632653061</v>
      </c>
      <c r="AL109" s="111">
        <v>0</v>
      </c>
      <c r="AM109" s="112">
        <v>0</v>
      </c>
      <c r="AN109" s="111">
        <v>43</v>
      </c>
      <c r="AO109" s="112">
        <v>87.75510204081633</v>
      </c>
      <c r="AP109" s="111">
        <v>49</v>
      </c>
    </row>
    <row r="110" spans="1:42" ht="15">
      <c r="A110" s="65" t="s">
        <v>416</v>
      </c>
      <c r="B110" s="65" t="s">
        <v>417</v>
      </c>
      <c r="C110" s="66" t="s">
        <v>1614</v>
      </c>
      <c r="D110" s="67">
        <v>3</v>
      </c>
      <c r="E110" s="68"/>
      <c r="F110" s="69">
        <v>40</v>
      </c>
      <c r="G110" s="66"/>
      <c r="H110" s="70"/>
      <c r="I110" s="71"/>
      <c r="J110" s="71"/>
      <c r="K110" s="35" t="s">
        <v>65</v>
      </c>
      <c r="L110" s="79">
        <v>110</v>
      </c>
      <c r="M110" s="79"/>
      <c r="N110" s="73"/>
      <c r="O110" s="81" t="s">
        <v>482</v>
      </c>
      <c r="P110" s="81" t="s">
        <v>484</v>
      </c>
      <c r="Q110" s="84" t="s">
        <v>591</v>
      </c>
      <c r="R110" s="81" t="s">
        <v>416</v>
      </c>
      <c r="S110" s="81" t="s">
        <v>756</v>
      </c>
      <c r="T110" s="86" t="str">
        <f>HYPERLINK("http://www.youtube.com/channel/UC2HCeJs0vX3ulCsRo6tcDCA")</f>
        <v>http://www.youtube.com/channel/UC2HCeJs0vX3ulCsRo6tcDCA</v>
      </c>
      <c r="U110" s="81" t="s">
        <v>832</v>
      </c>
      <c r="V110" s="81" t="s">
        <v>839</v>
      </c>
      <c r="W110" s="86" t="str">
        <f>HYPERLINK("https://www.youtube.com/watch?v=")</f>
        <v>https://www.youtube.com/watch?v=</v>
      </c>
      <c r="X110" s="81" t="s">
        <v>840</v>
      </c>
      <c r="Y110" s="81">
        <v>0</v>
      </c>
      <c r="Z110" s="88">
        <v>44322.66392361111</v>
      </c>
      <c r="AA110" s="88">
        <v>44322.66392361111</v>
      </c>
      <c r="AB110" s="81"/>
      <c r="AC110" s="81"/>
      <c r="AD110" s="84" t="s">
        <v>843</v>
      </c>
      <c r="AE110" s="82">
        <v>2</v>
      </c>
      <c r="AF110" s="83" t="str">
        <f>REPLACE(INDEX(GroupVertices[Group],MATCH(Edges[[#This Row],[Vertex 1]],GroupVertices[Vertex],0)),1,1,"")</f>
        <v>4</v>
      </c>
      <c r="AG110" s="83" t="str">
        <f>REPLACE(INDEX(GroupVertices[Group],MATCH(Edges[[#This Row],[Vertex 2]],GroupVertices[Vertex],0)),1,1,"")</f>
        <v>4</v>
      </c>
      <c r="AH110" s="111">
        <v>1</v>
      </c>
      <c r="AI110" s="112">
        <v>2.0833333333333335</v>
      </c>
      <c r="AJ110" s="111">
        <v>2</v>
      </c>
      <c r="AK110" s="112">
        <v>4.166666666666667</v>
      </c>
      <c r="AL110" s="111">
        <v>0</v>
      </c>
      <c r="AM110" s="112">
        <v>0</v>
      </c>
      <c r="AN110" s="111">
        <v>46</v>
      </c>
      <c r="AO110" s="112">
        <v>95.83333333333333</v>
      </c>
      <c r="AP110" s="111">
        <v>48</v>
      </c>
    </row>
    <row r="111" spans="1:42" ht="15">
      <c r="A111" s="65" t="s">
        <v>417</v>
      </c>
      <c r="B111" s="65" t="s">
        <v>417</v>
      </c>
      <c r="C111" s="66" t="s">
        <v>1456</v>
      </c>
      <c r="D111" s="67">
        <v>3</v>
      </c>
      <c r="E111" s="68"/>
      <c r="F111" s="69">
        <v>40</v>
      </c>
      <c r="G111" s="66"/>
      <c r="H111" s="70"/>
      <c r="I111" s="71"/>
      <c r="J111" s="71"/>
      <c r="K111" s="35" t="s">
        <v>65</v>
      </c>
      <c r="L111" s="79">
        <v>111</v>
      </c>
      <c r="M111" s="79"/>
      <c r="N111" s="73"/>
      <c r="O111" s="81" t="s">
        <v>482</v>
      </c>
      <c r="P111" s="81" t="s">
        <v>484</v>
      </c>
      <c r="Q111" s="84" t="s">
        <v>592</v>
      </c>
      <c r="R111" s="81" t="s">
        <v>417</v>
      </c>
      <c r="S111" s="81" t="s">
        <v>757</v>
      </c>
      <c r="T111" s="86" t="str">
        <f>HYPERLINK("http://www.youtube.com/channel/UC9dH-l4WR9TOp4uZLMSmQ3A")</f>
        <v>http://www.youtube.com/channel/UC9dH-l4WR9TOp4uZLMSmQ3A</v>
      </c>
      <c r="U111" s="81" t="s">
        <v>832</v>
      </c>
      <c r="V111" s="81" t="s">
        <v>839</v>
      </c>
      <c r="W111" s="86" t="str">
        <f>HYPERLINK("https://www.youtube.com/watch?v=")</f>
        <v>https://www.youtube.com/watch?v=</v>
      </c>
      <c r="X111" s="81" t="s">
        <v>840</v>
      </c>
      <c r="Y111" s="81">
        <v>0</v>
      </c>
      <c r="Z111" s="88">
        <v>44322.4912962963</v>
      </c>
      <c r="AA111" s="88">
        <v>44322.4912962963</v>
      </c>
      <c r="AB111" s="81"/>
      <c r="AC111" s="81"/>
      <c r="AD111" s="84" t="s">
        <v>843</v>
      </c>
      <c r="AE111" s="82">
        <v>4</v>
      </c>
      <c r="AF111" s="83" t="str">
        <f>REPLACE(INDEX(GroupVertices[Group],MATCH(Edges[[#This Row],[Vertex 1]],GroupVertices[Vertex],0)),1,1,"")</f>
        <v>4</v>
      </c>
      <c r="AG111" s="83" t="str">
        <f>REPLACE(INDEX(GroupVertices[Group],MATCH(Edges[[#This Row],[Vertex 2]],GroupVertices[Vertex],0)),1,1,"")</f>
        <v>4</v>
      </c>
      <c r="AH111" s="111">
        <v>0</v>
      </c>
      <c r="AI111" s="112">
        <v>0</v>
      </c>
      <c r="AJ111" s="111">
        <v>2</v>
      </c>
      <c r="AK111" s="112">
        <v>7.6923076923076925</v>
      </c>
      <c r="AL111" s="111">
        <v>0</v>
      </c>
      <c r="AM111" s="112">
        <v>0</v>
      </c>
      <c r="AN111" s="111">
        <v>24</v>
      </c>
      <c r="AO111" s="112">
        <v>92.3076923076923</v>
      </c>
      <c r="AP111" s="111">
        <v>26</v>
      </c>
    </row>
    <row r="112" spans="1:42" ht="15">
      <c r="A112" s="65" t="s">
        <v>417</v>
      </c>
      <c r="B112" s="65" t="s">
        <v>417</v>
      </c>
      <c r="C112" s="66" t="s">
        <v>1456</v>
      </c>
      <c r="D112" s="67">
        <v>3</v>
      </c>
      <c r="E112" s="68"/>
      <c r="F112" s="69">
        <v>40</v>
      </c>
      <c r="G112" s="66"/>
      <c r="H112" s="70"/>
      <c r="I112" s="71"/>
      <c r="J112" s="71"/>
      <c r="K112" s="35" t="s">
        <v>65</v>
      </c>
      <c r="L112" s="79">
        <v>112</v>
      </c>
      <c r="M112" s="79"/>
      <c r="N112" s="73"/>
      <c r="O112" s="81" t="s">
        <v>482</v>
      </c>
      <c r="P112" s="81" t="s">
        <v>484</v>
      </c>
      <c r="Q112" s="84" t="s">
        <v>593</v>
      </c>
      <c r="R112" s="81" t="s">
        <v>417</v>
      </c>
      <c r="S112" s="81" t="s">
        <v>757</v>
      </c>
      <c r="T112" s="86" t="str">
        <f>HYPERLINK("http://www.youtube.com/channel/UC9dH-l4WR9TOp4uZLMSmQ3A")</f>
        <v>http://www.youtube.com/channel/UC9dH-l4WR9TOp4uZLMSmQ3A</v>
      </c>
      <c r="U112" s="81" t="s">
        <v>832</v>
      </c>
      <c r="V112" s="81" t="s">
        <v>839</v>
      </c>
      <c r="W112" s="86" t="str">
        <f>HYPERLINK("https://www.youtube.com/watch?v=")</f>
        <v>https://www.youtube.com/watch?v=</v>
      </c>
      <c r="X112" s="81" t="s">
        <v>840</v>
      </c>
      <c r="Y112" s="81">
        <v>0</v>
      </c>
      <c r="Z112" s="88">
        <v>44322.65844907407</v>
      </c>
      <c r="AA112" s="88">
        <v>44322.65844907407</v>
      </c>
      <c r="AB112" s="81"/>
      <c r="AC112" s="81"/>
      <c r="AD112" s="84" t="s">
        <v>843</v>
      </c>
      <c r="AE112" s="82">
        <v>4</v>
      </c>
      <c r="AF112" s="83" t="str">
        <f>REPLACE(INDEX(GroupVertices[Group],MATCH(Edges[[#This Row],[Vertex 1]],GroupVertices[Vertex],0)),1,1,"")</f>
        <v>4</v>
      </c>
      <c r="AG112" s="83" t="str">
        <f>REPLACE(INDEX(GroupVertices[Group],MATCH(Edges[[#This Row],[Vertex 2]],GroupVertices[Vertex],0)),1,1,"")</f>
        <v>4</v>
      </c>
      <c r="AH112" s="111">
        <v>1</v>
      </c>
      <c r="AI112" s="112">
        <v>3.3333333333333335</v>
      </c>
      <c r="AJ112" s="111">
        <v>1</v>
      </c>
      <c r="AK112" s="112">
        <v>3.3333333333333335</v>
      </c>
      <c r="AL112" s="111">
        <v>0</v>
      </c>
      <c r="AM112" s="112">
        <v>0</v>
      </c>
      <c r="AN112" s="111">
        <v>28</v>
      </c>
      <c r="AO112" s="112">
        <v>93.33333333333333</v>
      </c>
      <c r="AP112" s="111">
        <v>30</v>
      </c>
    </row>
    <row r="113" spans="1:42" ht="15">
      <c r="A113" s="65" t="s">
        <v>417</v>
      </c>
      <c r="B113" s="65" t="s">
        <v>417</v>
      </c>
      <c r="C113" s="66" t="s">
        <v>1456</v>
      </c>
      <c r="D113" s="67">
        <v>3</v>
      </c>
      <c r="E113" s="68"/>
      <c r="F113" s="69">
        <v>40</v>
      </c>
      <c r="G113" s="66"/>
      <c r="H113" s="70"/>
      <c r="I113" s="71"/>
      <c r="J113" s="71"/>
      <c r="K113" s="35" t="s">
        <v>65</v>
      </c>
      <c r="L113" s="79">
        <v>113</v>
      </c>
      <c r="M113" s="79"/>
      <c r="N113" s="73"/>
      <c r="O113" s="81" t="s">
        <v>482</v>
      </c>
      <c r="P113" s="81" t="s">
        <v>484</v>
      </c>
      <c r="Q113" s="84" t="s">
        <v>594</v>
      </c>
      <c r="R113" s="81" t="s">
        <v>417</v>
      </c>
      <c r="S113" s="81" t="s">
        <v>757</v>
      </c>
      <c r="T113" s="86" t="str">
        <f>HYPERLINK("http://www.youtube.com/channel/UC9dH-l4WR9TOp4uZLMSmQ3A")</f>
        <v>http://www.youtube.com/channel/UC9dH-l4WR9TOp4uZLMSmQ3A</v>
      </c>
      <c r="U113" s="81" t="s">
        <v>832</v>
      </c>
      <c r="V113" s="81" t="s">
        <v>839</v>
      </c>
      <c r="W113" s="86" t="str">
        <f>HYPERLINK("https://www.youtube.com/watch?v=")</f>
        <v>https://www.youtube.com/watch?v=</v>
      </c>
      <c r="X113" s="81" t="s">
        <v>840</v>
      </c>
      <c r="Y113" s="81">
        <v>0</v>
      </c>
      <c r="Z113" s="88">
        <v>44322.67512731482</v>
      </c>
      <c r="AA113" s="88">
        <v>44322.67512731482</v>
      </c>
      <c r="AB113" s="81"/>
      <c r="AC113" s="81"/>
      <c r="AD113" s="84" t="s">
        <v>843</v>
      </c>
      <c r="AE113" s="82">
        <v>4</v>
      </c>
      <c r="AF113" s="83" t="str">
        <f>REPLACE(INDEX(GroupVertices[Group],MATCH(Edges[[#This Row],[Vertex 1]],GroupVertices[Vertex],0)),1,1,"")</f>
        <v>4</v>
      </c>
      <c r="AG113" s="83" t="str">
        <f>REPLACE(INDEX(GroupVertices[Group],MATCH(Edges[[#This Row],[Vertex 2]],GroupVertices[Vertex],0)),1,1,"")</f>
        <v>4</v>
      </c>
      <c r="AH113" s="111">
        <v>5</v>
      </c>
      <c r="AI113" s="112">
        <v>5.208333333333333</v>
      </c>
      <c r="AJ113" s="111">
        <v>5</v>
      </c>
      <c r="AK113" s="112">
        <v>5.208333333333333</v>
      </c>
      <c r="AL113" s="111">
        <v>0</v>
      </c>
      <c r="AM113" s="112">
        <v>0</v>
      </c>
      <c r="AN113" s="111">
        <v>89</v>
      </c>
      <c r="AO113" s="112">
        <v>92.70833333333333</v>
      </c>
      <c r="AP113" s="111">
        <v>96</v>
      </c>
    </row>
    <row r="114" spans="1:42" ht="15">
      <c r="A114" s="65" t="s">
        <v>417</v>
      </c>
      <c r="B114" s="65" t="s">
        <v>417</v>
      </c>
      <c r="C114" s="66" t="s">
        <v>1456</v>
      </c>
      <c r="D114" s="67">
        <v>3</v>
      </c>
      <c r="E114" s="68"/>
      <c r="F114" s="69">
        <v>40</v>
      </c>
      <c r="G114" s="66"/>
      <c r="H114" s="70"/>
      <c r="I114" s="71"/>
      <c r="J114" s="71"/>
      <c r="K114" s="35" t="s">
        <v>65</v>
      </c>
      <c r="L114" s="79">
        <v>114</v>
      </c>
      <c r="M114" s="79"/>
      <c r="N114" s="73"/>
      <c r="O114" s="81" t="s">
        <v>482</v>
      </c>
      <c r="P114" s="81" t="s">
        <v>484</v>
      </c>
      <c r="Q114" s="84" t="s">
        <v>595</v>
      </c>
      <c r="R114" s="81" t="s">
        <v>417</v>
      </c>
      <c r="S114" s="81" t="s">
        <v>757</v>
      </c>
      <c r="T114" s="86" t="str">
        <f>HYPERLINK("http://www.youtube.com/channel/UC9dH-l4WR9TOp4uZLMSmQ3A")</f>
        <v>http://www.youtube.com/channel/UC9dH-l4WR9TOp4uZLMSmQ3A</v>
      </c>
      <c r="U114" s="81" t="s">
        <v>832</v>
      </c>
      <c r="V114" s="81" t="s">
        <v>839</v>
      </c>
      <c r="W114" s="86" t="str">
        <f>HYPERLINK("https://www.youtube.com/watch?v=")</f>
        <v>https://www.youtube.com/watch?v=</v>
      </c>
      <c r="X114" s="81" t="s">
        <v>840</v>
      </c>
      <c r="Y114" s="81">
        <v>0</v>
      </c>
      <c r="Z114" s="88">
        <v>44322.679456018515</v>
      </c>
      <c r="AA114" s="88">
        <v>44322.679456018515</v>
      </c>
      <c r="AB114" s="81"/>
      <c r="AC114" s="81"/>
      <c r="AD114" s="84" t="s">
        <v>843</v>
      </c>
      <c r="AE114" s="82">
        <v>4</v>
      </c>
      <c r="AF114" s="83" t="str">
        <f>REPLACE(INDEX(GroupVertices[Group],MATCH(Edges[[#This Row],[Vertex 1]],GroupVertices[Vertex],0)),1,1,"")</f>
        <v>4</v>
      </c>
      <c r="AG114" s="83" t="str">
        <f>REPLACE(INDEX(GroupVertices[Group],MATCH(Edges[[#This Row],[Vertex 2]],GroupVertices[Vertex],0)),1,1,"")</f>
        <v>4</v>
      </c>
      <c r="AH114" s="111">
        <v>0</v>
      </c>
      <c r="AI114" s="112">
        <v>0</v>
      </c>
      <c r="AJ114" s="111">
        <v>2</v>
      </c>
      <c r="AK114" s="112">
        <v>6.0606060606060606</v>
      </c>
      <c r="AL114" s="111">
        <v>0</v>
      </c>
      <c r="AM114" s="112">
        <v>0</v>
      </c>
      <c r="AN114" s="111">
        <v>31</v>
      </c>
      <c r="AO114" s="112">
        <v>93.93939393939394</v>
      </c>
      <c r="AP114" s="111">
        <v>33</v>
      </c>
    </row>
    <row r="115" spans="1:42" ht="15">
      <c r="A115" s="65" t="s">
        <v>417</v>
      </c>
      <c r="B115" s="65" t="s">
        <v>479</v>
      </c>
      <c r="C115" s="66" t="s">
        <v>1613</v>
      </c>
      <c r="D115" s="67">
        <v>3</v>
      </c>
      <c r="E115" s="68"/>
      <c r="F115" s="69">
        <v>40</v>
      </c>
      <c r="G115" s="66"/>
      <c r="H115" s="70"/>
      <c r="I115" s="71"/>
      <c r="J115" s="71"/>
      <c r="K115" s="35" t="s">
        <v>65</v>
      </c>
      <c r="L115" s="79">
        <v>115</v>
      </c>
      <c r="M115" s="79"/>
      <c r="N115" s="73"/>
      <c r="O115" s="81" t="s">
        <v>481</v>
      </c>
      <c r="P115" s="81" t="s">
        <v>314</v>
      </c>
      <c r="Q115" s="84" t="s">
        <v>596</v>
      </c>
      <c r="R115" s="81" t="s">
        <v>417</v>
      </c>
      <c r="S115" s="81" t="s">
        <v>757</v>
      </c>
      <c r="T115" s="86" t="str">
        <f>HYPERLINK("http://www.youtube.com/channel/UC9dH-l4WR9TOp4uZLMSmQ3A")</f>
        <v>http://www.youtube.com/channel/UC9dH-l4WR9TOp4uZLMSmQ3A</v>
      </c>
      <c r="U115" s="81"/>
      <c r="V115" s="81" t="s">
        <v>839</v>
      </c>
      <c r="W115" s="86" t="str">
        <f>HYPERLINK("https://www.youtube.com/watch?v=Ci9JYIJstPY")</f>
        <v>https://www.youtube.com/watch?v=Ci9JYIJstPY</v>
      </c>
      <c r="X115" s="81" t="s">
        <v>840</v>
      </c>
      <c r="Y115" s="81">
        <v>1</v>
      </c>
      <c r="Z115" s="88">
        <v>44322.2884375</v>
      </c>
      <c r="AA115" s="88">
        <v>44322.2884375</v>
      </c>
      <c r="AB115" s="81"/>
      <c r="AC115" s="81"/>
      <c r="AD115" s="84" t="s">
        <v>843</v>
      </c>
      <c r="AE115" s="82">
        <v>1</v>
      </c>
      <c r="AF115" s="83" t="str">
        <f>REPLACE(INDEX(GroupVertices[Group],MATCH(Edges[[#This Row],[Vertex 1]],GroupVertices[Vertex],0)),1,1,"")</f>
        <v>4</v>
      </c>
      <c r="AG115" s="83" t="str">
        <f>REPLACE(INDEX(GroupVertices[Group],MATCH(Edges[[#This Row],[Vertex 2]],GroupVertices[Vertex],0)),1,1,"")</f>
        <v>1</v>
      </c>
      <c r="AH115" s="111">
        <v>7</v>
      </c>
      <c r="AI115" s="112">
        <v>8.333333333333334</v>
      </c>
      <c r="AJ115" s="111">
        <v>7</v>
      </c>
      <c r="AK115" s="112">
        <v>8.333333333333334</v>
      </c>
      <c r="AL115" s="111">
        <v>0</v>
      </c>
      <c r="AM115" s="112">
        <v>0</v>
      </c>
      <c r="AN115" s="111">
        <v>75</v>
      </c>
      <c r="AO115" s="112">
        <v>89.28571428571429</v>
      </c>
      <c r="AP115" s="111">
        <v>84</v>
      </c>
    </row>
    <row r="116" spans="1:42" ht="15">
      <c r="A116" s="65" t="s">
        <v>418</v>
      </c>
      <c r="B116" s="65" t="s">
        <v>479</v>
      </c>
      <c r="C116" s="66" t="s">
        <v>1615</v>
      </c>
      <c r="D116" s="67">
        <v>3</v>
      </c>
      <c r="E116" s="68"/>
      <c r="F116" s="69">
        <v>40</v>
      </c>
      <c r="G116" s="66"/>
      <c r="H116" s="70"/>
      <c r="I116" s="71"/>
      <c r="J116" s="71"/>
      <c r="K116" s="35" t="s">
        <v>65</v>
      </c>
      <c r="L116" s="79">
        <v>116</v>
      </c>
      <c r="M116" s="79"/>
      <c r="N116" s="73"/>
      <c r="O116" s="81" t="s">
        <v>481</v>
      </c>
      <c r="P116" s="81" t="s">
        <v>314</v>
      </c>
      <c r="Q116" s="84" t="s">
        <v>597</v>
      </c>
      <c r="R116" s="81" t="s">
        <v>418</v>
      </c>
      <c r="S116" s="81" t="s">
        <v>758</v>
      </c>
      <c r="T116" s="86" t="str">
        <f>HYPERLINK("http://www.youtube.com/channel/UCpQuPFNJJfqdUWIOXjqxcfw")</f>
        <v>http://www.youtube.com/channel/UCpQuPFNJJfqdUWIOXjqxcfw</v>
      </c>
      <c r="U116" s="81"/>
      <c r="V116" s="81" t="s">
        <v>839</v>
      </c>
      <c r="W116" s="86" t="str">
        <f>HYPERLINK("https://www.youtube.com/watch?v=Ci9JYIJstPY")</f>
        <v>https://www.youtube.com/watch?v=Ci9JYIJstPY</v>
      </c>
      <c r="X116" s="81" t="s">
        <v>840</v>
      </c>
      <c r="Y116" s="81">
        <v>0</v>
      </c>
      <c r="Z116" s="88">
        <v>44322.2881712963</v>
      </c>
      <c r="AA116" s="88">
        <v>44322.2881712963</v>
      </c>
      <c r="AB116" s="81"/>
      <c r="AC116" s="81"/>
      <c r="AD116" s="84" t="s">
        <v>843</v>
      </c>
      <c r="AE116" s="82">
        <v>3</v>
      </c>
      <c r="AF116" s="83" t="str">
        <f>REPLACE(INDEX(GroupVertices[Group],MATCH(Edges[[#This Row],[Vertex 1]],GroupVertices[Vertex],0)),1,1,"")</f>
        <v>1</v>
      </c>
      <c r="AG116" s="83" t="str">
        <f>REPLACE(INDEX(GroupVertices[Group],MATCH(Edges[[#This Row],[Vertex 2]],GroupVertices[Vertex],0)),1,1,"")</f>
        <v>1</v>
      </c>
      <c r="AH116" s="111">
        <v>1</v>
      </c>
      <c r="AI116" s="112">
        <v>2.5641025641025643</v>
      </c>
      <c r="AJ116" s="111">
        <v>0</v>
      </c>
      <c r="AK116" s="112">
        <v>0</v>
      </c>
      <c r="AL116" s="111">
        <v>0</v>
      </c>
      <c r="AM116" s="112">
        <v>0</v>
      </c>
      <c r="AN116" s="111">
        <v>38</v>
      </c>
      <c r="AO116" s="112">
        <v>97.43589743589743</v>
      </c>
      <c r="AP116" s="111">
        <v>39</v>
      </c>
    </row>
    <row r="117" spans="1:42" ht="15">
      <c r="A117" s="65" t="s">
        <v>418</v>
      </c>
      <c r="B117" s="65" t="s">
        <v>479</v>
      </c>
      <c r="C117" s="66" t="s">
        <v>1615</v>
      </c>
      <c r="D117" s="67">
        <v>3</v>
      </c>
      <c r="E117" s="68"/>
      <c r="F117" s="69">
        <v>40</v>
      </c>
      <c r="G117" s="66"/>
      <c r="H117" s="70"/>
      <c r="I117" s="71"/>
      <c r="J117" s="71"/>
      <c r="K117" s="35" t="s">
        <v>65</v>
      </c>
      <c r="L117" s="79">
        <v>117</v>
      </c>
      <c r="M117" s="79"/>
      <c r="N117" s="73"/>
      <c r="O117" s="81" t="s">
        <v>481</v>
      </c>
      <c r="P117" s="81" t="s">
        <v>314</v>
      </c>
      <c r="Q117" s="84" t="s">
        <v>598</v>
      </c>
      <c r="R117" s="81" t="s">
        <v>418</v>
      </c>
      <c r="S117" s="81" t="s">
        <v>758</v>
      </c>
      <c r="T117" s="86" t="str">
        <f>HYPERLINK("http://www.youtube.com/channel/UCpQuPFNJJfqdUWIOXjqxcfw")</f>
        <v>http://www.youtube.com/channel/UCpQuPFNJJfqdUWIOXjqxcfw</v>
      </c>
      <c r="U117" s="81"/>
      <c r="V117" s="81" t="s">
        <v>839</v>
      </c>
      <c r="W117" s="86" t="str">
        <f>HYPERLINK("https://www.youtube.com/watch?v=Ci9JYIJstPY")</f>
        <v>https://www.youtube.com/watch?v=Ci9JYIJstPY</v>
      </c>
      <c r="X117" s="81" t="s">
        <v>840</v>
      </c>
      <c r="Y117" s="81">
        <v>0</v>
      </c>
      <c r="Z117" s="88">
        <v>44322.28907407408</v>
      </c>
      <c r="AA117" s="88">
        <v>44322.28907407408</v>
      </c>
      <c r="AB117" s="81"/>
      <c r="AC117" s="81"/>
      <c r="AD117" s="84" t="s">
        <v>843</v>
      </c>
      <c r="AE117" s="82">
        <v>3</v>
      </c>
      <c r="AF117" s="83" t="str">
        <f>REPLACE(INDEX(GroupVertices[Group],MATCH(Edges[[#This Row],[Vertex 1]],GroupVertices[Vertex],0)),1,1,"")</f>
        <v>1</v>
      </c>
      <c r="AG117" s="83" t="str">
        <f>REPLACE(INDEX(GroupVertices[Group],MATCH(Edges[[#This Row],[Vertex 2]],GroupVertices[Vertex],0)),1,1,"")</f>
        <v>1</v>
      </c>
      <c r="AH117" s="111">
        <v>0</v>
      </c>
      <c r="AI117" s="112">
        <v>0</v>
      </c>
      <c r="AJ117" s="111">
        <v>1</v>
      </c>
      <c r="AK117" s="112">
        <v>8.333333333333334</v>
      </c>
      <c r="AL117" s="111">
        <v>0</v>
      </c>
      <c r="AM117" s="112">
        <v>0</v>
      </c>
      <c r="AN117" s="111">
        <v>11</v>
      </c>
      <c r="AO117" s="112">
        <v>91.66666666666667</v>
      </c>
      <c r="AP117" s="111">
        <v>12</v>
      </c>
    </row>
    <row r="118" spans="1:42" ht="15">
      <c r="A118" s="65" t="s">
        <v>418</v>
      </c>
      <c r="B118" s="65" t="s">
        <v>479</v>
      </c>
      <c r="C118" s="66" t="s">
        <v>1615</v>
      </c>
      <c r="D118" s="67">
        <v>3</v>
      </c>
      <c r="E118" s="68"/>
      <c r="F118" s="69">
        <v>40</v>
      </c>
      <c r="G118" s="66"/>
      <c r="H118" s="70"/>
      <c r="I118" s="71"/>
      <c r="J118" s="71"/>
      <c r="K118" s="35" t="s">
        <v>65</v>
      </c>
      <c r="L118" s="79">
        <v>118</v>
      </c>
      <c r="M118" s="79"/>
      <c r="N118" s="73"/>
      <c r="O118" s="81" t="s">
        <v>481</v>
      </c>
      <c r="P118" s="81" t="s">
        <v>314</v>
      </c>
      <c r="Q118" s="84" t="s">
        <v>599</v>
      </c>
      <c r="R118" s="81" t="s">
        <v>418</v>
      </c>
      <c r="S118" s="81" t="s">
        <v>758</v>
      </c>
      <c r="T118" s="86" t="str">
        <f>HYPERLINK("http://www.youtube.com/channel/UCpQuPFNJJfqdUWIOXjqxcfw")</f>
        <v>http://www.youtube.com/channel/UCpQuPFNJJfqdUWIOXjqxcfw</v>
      </c>
      <c r="U118" s="81"/>
      <c r="V118" s="81" t="s">
        <v>839</v>
      </c>
      <c r="W118" s="86" t="str">
        <f>HYPERLINK("https://www.youtube.com/watch?v=Ci9JYIJstPY")</f>
        <v>https://www.youtube.com/watch?v=Ci9JYIJstPY</v>
      </c>
      <c r="X118" s="81" t="s">
        <v>840</v>
      </c>
      <c r="Y118" s="81">
        <v>1</v>
      </c>
      <c r="Z118" s="88">
        <v>44322.29141203704</v>
      </c>
      <c r="AA118" s="88">
        <v>44322.29141203704</v>
      </c>
      <c r="AB118" s="81"/>
      <c r="AC118" s="81"/>
      <c r="AD118" s="84" t="s">
        <v>843</v>
      </c>
      <c r="AE118" s="82">
        <v>3</v>
      </c>
      <c r="AF118" s="83" t="str">
        <f>REPLACE(INDEX(GroupVertices[Group],MATCH(Edges[[#This Row],[Vertex 1]],GroupVertices[Vertex],0)),1,1,"")</f>
        <v>1</v>
      </c>
      <c r="AG118" s="83" t="str">
        <f>REPLACE(INDEX(GroupVertices[Group],MATCH(Edges[[#This Row],[Vertex 2]],GroupVertices[Vertex],0)),1,1,"")</f>
        <v>1</v>
      </c>
      <c r="AH118" s="111">
        <v>2</v>
      </c>
      <c r="AI118" s="112">
        <v>7.407407407407407</v>
      </c>
      <c r="AJ118" s="111">
        <v>1</v>
      </c>
      <c r="AK118" s="112">
        <v>3.7037037037037037</v>
      </c>
      <c r="AL118" s="111">
        <v>0</v>
      </c>
      <c r="AM118" s="112">
        <v>0</v>
      </c>
      <c r="AN118" s="111">
        <v>25</v>
      </c>
      <c r="AO118" s="112">
        <v>92.5925925925926</v>
      </c>
      <c r="AP118" s="111">
        <v>27</v>
      </c>
    </row>
    <row r="119" spans="1:42" ht="15">
      <c r="A119" s="65" t="s">
        <v>419</v>
      </c>
      <c r="B119" s="65" t="s">
        <v>479</v>
      </c>
      <c r="C119" s="66" t="s">
        <v>1613</v>
      </c>
      <c r="D119" s="67">
        <v>3</v>
      </c>
      <c r="E119" s="68"/>
      <c r="F119" s="69">
        <v>40</v>
      </c>
      <c r="G119" s="66"/>
      <c r="H119" s="70"/>
      <c r="I119" s="71"/>
      <c r="J119" s="71"/>
      <c r="K119" s="35" t="s">
        <v>65</v>
      </c>
      <c r="L119" s="79">
        <v>119</v>
      </c>
      <c r="M119" s="79"/>
      <c r="N119" s="73"/>
      <c r="O119" s="81" t="s">
        <v>481</v>
      </c>
      <c r="P119" s="81" t="s">
        <v>314</v>
      </c>
      <c r="Q119" s="84" t="s">
        <v>600</v>
      </c>
      <c r="R119" s="81" t="s">
        <v>419</v>
      </c>
      <c r="S119" s="81" t="s">
        <v>759</v>
      </c>
      <c r="T119" s="86" t="str">
        <f>HYPERLINK("http://www.youtube.com/channel/UC5AkY5b5nnJO5vX_Tzw-omw")</f>
        <v>http://www.youtube.com/channel/UC5AkY5b5nnJO5vX_Tzw-omw</v>
      </c>
      <c r="U119" s="81"/>
      <c r="V119" s="81" t="s">
        <v>839</v>
      </c>
      <c r="W119" s="86" t="str">
        <f>HYPERLINK("https://www.youtube.com/watch?v=Ci9JYIJstPY")</f>
        <v>https://www.youtube.com/watch?v=Ci9JYIJstPY</v>
      </c>
      <c r="X119" s="81" t="s">
        <v>840</v>
      </c>
      <c r="Y119" s="81">
        <v>0</v>
      </c>
      <c r="Z119" s="88">
        <v>44322.2934375</v>
      </c>
      <c r="AA119" s="88">
        <v>44322.2934375</v>
      </c>
      <c r="AB119" s="81" t="s">
        <v>841</v>
      </c>
      <c r="AC119" s="81" t="s">
        <v>842</v>
      </c>
      <c r="AD119" s="84" t="s">
        <v>843</v>
      </c>
      <c r="AE119" s="82">
        <v>1</v>
      </c>
      <c r="AF119" s="83" t="str">
        <f>REPLACE(INDEX(GroupVertices[Group],MATCH(Edges[[#This Row],[Vertex 1]],GroupVertices[Vertex],0)),1,1,"")</f>
        <v>1</v>
      </c>
      <c r="AG119" s="83" t="str">
        <f>REPLACE(INDEX(GroupVertices[Group],MATCH(Edges[[#This Row],[Vertex 2]],GroupVertices[Vertex],0)),1,1,"")</f>
        <v>1</v>
      </c>
      <c r="AH119" s="111">
        <v>4</v>
      </c>
      <c r="AI119" s="112">
        <v>9.30232558139535</v>
      </c>
      <c r="AJ119" s="111">
        <v>3</v>
      </c>
      <c r="AK119" s="112">
        <v>6.976744186046512</v>
      </c>
      <c r="AL119" s="111">
        <v>0</v>
      </c>
      <c r="AM119" s="112">
        <v>0</v>
      </c>
      <c r="AN119" s="111">
        <v>38</v>
      </c>
      <c r="AO119" s="112">
        <v>88.37209302325581</v>
      </c>
      <c r="AP119" s="111">
        <v>43</v>
      </c>
    </row>
    <row r="120" spans="1:42" ht="15">
      <c r="A120" s="65" t="s">
        <v>420</v>
      </c>
      <c r="B120" s="65" t="s">
        <v>479</v>
      </c>
      <c r="C120" s="66" t="s">
        <v>1613</v>
      </c>
      <c r="D120" s="67">
        <v>3</v>
      </c>
      <c r="E120" s="68"/>
      <c r="F120" s="69">
        <v>40</v>
      </c>
      <c r="G120" s="66"/>
      <c r="H120" s="70"/>
      <c r="I120" s="71"/>
      <c r="J120" s="71"/>
      <c r="K120" s="35" t="s">
        <v>65</v>
      </c>
      <c r="L120" s="79">
        <v>120</v>
      </c>
      <c r="M120" s="79"/>
      <c r="N120" s="73"/>
      <c r="O120" s="81" t="s">
        <v>481</v>
      </c>
      <c r="P120" s="81" t="s">
        <v>314</v>
      </c>
      <c r="Q120" s="84" t="s">
        <v>601</v>
      </c>
      <c r="R120" s="81" t="s">
        <v>420</v>
      </c>
      <c r="S120" s="81" t="s">
        <v>760</v>
      </c>
      <c r="T120" s="86" t="str">
        <f>HYPERLINK("http://www.youtube.com/channel/UCitFNkeSCSx9gcQMfyYjkKQ")</f>
        <v>http://www.youtube.com/channel/UCitFNkeSCSx9gcQMfyYjkKQ</v>
      </c>
      <c r="U120" s="81"/>
      <c r="V120" s="81" t="s">
        <v>839</v>
      </c>
      <c r="W120" s="86" t="str">
        <f>HYPERLINK("https://www.youtube.com/watch?v=Ci9JYIJstPY")</f>
        <v>https://www.youtube.com/watch?v=Ci9JYIJstPY</v>
      </c>
      <c r="X120" s="81" t="s">
        <v>840</v>
      </c>
      <c r="Y120" s="81">
        <v>2</v>
      </c>
      <c r="Z120" s="88">
        <v>44322.29355324074</v>
      </c>
      <c r="AA120" s="88">
        <v>44322.29355324074</v>
      </c>
      <c r="AB120" s="81"/>
      <c r="AC120" s="81"/>
      <c r="AD120" s="84" t="s">
        <v>843</v>
      </c>
      <c r="AE120" s="82">
        <v>1</v>
      </c>
      <c r="AF120" s="83" t="str">
        <f>REPLACE(INDEX(GroupVertices[Group],MATCH(Edges[[#This Row],[Vertex 1]],GroupVertices[Vertex],0)),1,1,"")</f>
        <v>1</v>
      </c>
      <c r="AG120" s="83" t="str">
        <f>REPLACE(INDEX(GroupVertices[Group],MATCH(Edges[[#This Row],[Vertex 2]],GroupVertices[Vertex],0)),1,1,"")</f>
        <v>1</v>
      </c>
      <c r="AH120" s="111">
        <v>3</v>
      </c>
      <c r="AI120" s="112">
        <v>3.0927835051546393</v>
      </c>
      <c r="AJ120" s="111">
        <v>10</v>
      </c>
      <c r="AK120" s="112">
        <v>10.309278350515465</v>
      </c>
      <c r="AL120" s="111">
        <v>0</v>
      </c>
      <c r="AM120" s="112">
        <v>0</v>
      </c>
      <c r="AN120" s="111">
        <v>86</v>
      </c>
      <c r="AO120" s="112">
        <v>88.65979381443299</v>
      </c>
      <c r="AP120" s="111">
        <v>97</v>
      </c>
    </row>
    <row r="121" spans="1:42" ht="15">
      <c r="A121" s="65" t="s">
        <v>421</v>
      </c>
      <c r="B121" s="65" t="s">
        <v>479</v>
      </c>
      <c r="C121" s="66" t="s">
        <v>1613</v>
      </c>
      <c r="D121" s="67">
        <v>3</v>
      </c>
      <c r="E121" s="68"/>
      <c r="F121" s="69">
        <v>40</v>
      </c>
      <c r="G121" s="66"/>
      <c r="H121" s="70"/>
      <c r="I121" s="71"/>
      <c r="J121" s="71"/>
      <c r="K121" s="35" t="s">
        <v>65</v>
      </c>
      <c r="L121" s="79">
        <v>121</v>
      </c>
      <c r="M121" s="79"/>
      <c r="N121" s="73"/>
      <c r="O121" s="81" t="s">
        <v>481</v>
      </c>
      <c r="P121" s="81" t="s">
        <v>314</v>
      </c>
      <c r="Q121" s="84" t="s">
        <v>602</v>
      </c>
      <c r="R121" s="81" t="s">
        <v>421</v>
      </c>
      <c r="S121" s="81" t="s">
        <v>761</v>
      </c>
      <c r="T121" s="86" t="str">
        <f>HYPERLINK("http://www.youtube.com/channel/UCHgWCuz6Dg0m6sibS_Bl0GA")</f>
        <v>http://www.youtube.com/channel/UCHgWCuz6Dg0m6sibS_Bl0GA</v>
      </c>
      <c r="U121" s="81"/>
      <c r="V121" s="81" t="s">
        <v>839</v>
      </c>
      <c r="W121" s="86" t="str">
        <f>HYPERLINK("https://www.youtube.com/watch?v=Ci9JYIJstPY")</f>
        <v>https://www.youtube.com/watch?v=Ci9JYIJstPY</v>
      </c>
      <c r="X121" s="81" t="s">
        <v>840</v>
      </c>
      <c r="Y121" s="81">
        <v>4</v>
      </c>
      <c r="Z121" s="88">
        <v>44322.30399305555</v>
      </c>
      <c r="AA121" s="88">
        <v>44322.30399305555</v>
      </c>
      <c r="AB121" s="81"/>
      <c r="AC121" s="81"/>
      <c r="AD121" s="84" t="s">
        <v>843</v>
      </c>
      <c r="AE121" s="82">
        <v>1</v>
      </c>
      <c r="AF121" s="83" t="str">
        <f>REPLACE(INDEX(GroupVertices[Group],MATCH(Edges[[#This Row],[Vertex 1]],GroupVertices[Vertex],0)),1,1,"")</f>
        <v>1</v>
      </c>
      <c r="AG121" s="83" t="str">
        <f>REPLACE(INDEX(GroupVertices[Group],MATCH(Edges[[#This Row],[Vertex 2]],GroupVertices[Vertex],0)),1,1,"")</f>
        <v>1</v>
      </c>
      <c r="AH121" s="111">
        <v>2</v>
      </c>
      <c r="AI121" s="112">
        <v>11.11111111111111</v>
      </c>
      <c r="AJ121" s="111">
        <v>3</v>
      </c>
      <c r="AK121" s="112">
        <v>16.666666666666668</v>
      </c>
      <c r="AL121" s="111">
        <v>0</v>
      </c>
      <c r="AM121" s="112">
        <v>0</v>
      </c>
      <c r="AN121" s="111">
        <v>14</v>
      </c>
      <c r="AO121" s="112">
        <v>77.77777777777777</v>
      </c>
      <c r="AP121" s="111">
        <v>18</v>
      </c>
    </row>
    <row r="122" spans="1:42" ht="15">
      <c r="A122" s="65" t="s">
        <v>422</v>
      </c>
      <c r="B122" s="65" t="s">
        <v>479</v>
      </c>
      <c r="C122" s="66" t="s">
        <v>1613</v>
      </c>
      <c r="D122" s="67">
        <v>3</v>
      </c>
      <c r="E122" s="68"/>
      <c r="F122" s="69">
        <v>40</v>
      </c>
      <c r="G122" s="66"/>
      <c r="H122" s="70"/>
      <c r="I122" s="71"/>
      <c r="J122" s="71"/>
      <c r="K122" s="35" t="s">
        <v>65</v>
      </c>
      <c r="L122" s="79">
        <v>122</v>
      </c>
      <c r="M122" s="79"/>
      <c r="N122" s="73"/>
      <c r="O122" s="81" t="s">
        <v>481</v>
      </c>
      <c r="P122" s="81" t="s">
        <v>314</v>
      </c>
      <c r="Q122" s="84" t="s">
        <v>603</v>
      </c>
      <c r="R122" s="81" t="s">
        <v>422</v>
      </c>
      <c r="S122" s="81" t="s">
        <v>762</v>
      </c>
      <c r="T122" s="86" t="str">
        <f>HYPERLINK("http://www.youtube.com/channel/UC3ylY6LrHoDn5D50cAhZNtg")</f>
        <v>http://www.youtube.com/channel/UC3ylY6LrHoDn5D50cAhZNtg</v>
      </c>
      <c r="U122" s="81"/>
      <c r="V122" s="81" t="s">
        <v>839</v>
      </c>
      <c r="W122" s="86" t="str">
        <f>HYPERLINK("https://www.youtube.com/watch?v=Ci9JYIJstPY")</f>
        <v>https://www.youtube.com/watch?v=Ci9JYIJstPY</v>
      </c>
      <c r="X122" s="81" t="s">
        <v>840</v>
      </c>
      <c r="Y122" s="81">
        <v>1</v>
      </c>
      <c r="Z122" s="88">
        <v>44322.3116087963</v>
      </c>
      <c r="AA122" s="88">
        <v>44322.3116087963</v>
      </c>
      <c r="AB122" s="81"/>
      <c r="AC122" s="81"/>
      <c r="AD122" s="84" t="s">
        <v>843</v>
      </c>
      <c r="AE122" s="82">
        <v>1</v>
      </c>
      <c r="AF122" s="83" t="str">
        <f>REPLACE(INDEX(GroupVertices[Group],MATCH(Edges[[#This Row],[Vertex 1]],GroupVertices[Vertex],0)),1,1,"")</f>
        <v>1</v>
      </c>
      <c r="AG122" s="83" t="str">
        <f>REPLACE(INDEX(GroupVertices[Group],MATCH(Edges[[#This Row],[Vertex 2]],GroupVertices[Vertex],0)),1,1,"")</f>
        <v>1</v>
      </c>
      <c r="AH122" s="111">
        <v>0</v>
      </c>
      <c r="AI122" s="112">
        <v>0</v>
      </c>
      <c r="AJ122" s="111">
        <v>1</v>
      </c>
      <c r="AK122" s="112">
        <v>2.3255813953488373</v>
      </c>
      <c r="AL122" s="111">
        <v>0</v>
      </c>
      <c r="AM122" s="112">
        <v>0</v>
      </c>
      <c r="AN122" s="111">
        <v>42</v>
      </c>
      <c r="AO122" s="112">
        <v>97.67441860465117</v>
      </c>
      <c r="AP122" s="111">
        <v>43</v>
      </c>
    </row>
    <row r="123" spans="1:42" ht="15">
      <c r="A123" s="65" t="s">
        <v>423</v>
      </c>
      <c r="B123" s="65" t="s">
        <v>479</v>
      </c>
      <c r="C123" s="66" t="s">
        <v>1613</v>
      </c>
      <c r="D123" s="67">
        <v>3</v>
      </c>
      <c r="E123" s="68"/>
      <c r="F123" s="69">
        <v>40</v>
      </c>
      <c r="G123" s="66"/>
      <c r="H123" s="70"/>
      <c r="I123" s="71"/>
      <c r="J123" s="71"/>
      <c r="K123" s="35" t="s">
        <v>65</v>
      </c>
      <c r="L123" s="79">
        <v>123</v>
      </c>
      <c r="M123" s="79"/>
      <c r="N123" s="73"/>
      <c r="O123" s="81" t="s">
        <v>481</v>
      </c>
      <c r="P123" s="81" t="s">
        <v>314</v>
      </c>
      <c r="Q123" s="84" t="s">
        <v>604</v>
      </c>
      <c r="R123" s="81" t="s">
        <v>423</v>
      </c>
      <c r="S123" s="81" t="s">
        <v>763</v>
      </c>
      <c r="T123" s="86" t="str">
        <f>HYPERLINK("http://www.youtube.com/channel/UChIQG-u37tm4MCDuPImDkHQ")</f>
        <v>http://www.youtube.com/channel/UChIQG-u37tm4MCDuPImDkHQ</v>
      </c>
      <c r="U123" s="81"/>
      <c r="V123" s="81" t="s">
        <v>839</v>
      </c>
      <c r="W123" s="86" t="str">
        <f>HYPERLINK("https://www.youtube.com/watch?v=Ci9JYIJstPY")</f>
        <v>https://www.youtube.com/watch?v=Ci9JYIJstPY</v>
      </c>
      <c r="X123" s="81" t="s">
        <v>840</v>
      </c>
      <c r="Y123" s="81">
        <v>0</v>
      </c>
      <c r="Z123" s="88">
        <v>44322.32774305555</v>
      </c>
      <c r="AA123" s="88">
        <v>44322.32774305555</v>
      </c>
      <c r="AB123" s="81"/>
      <c r="AC123" s="81"/>
      <c r="AD123" s="84" t="s">
        <v>843</v>
      </c>
      <c r="AE123" s="82">
        <v>1</v>
      </c>
      <c r="AF123" s="83" t="str">
        <f>REPLACE(INDEX(GroupVertices[Group],MATCH(Edges[[#This Row],[Vertex 1]],GroupVertices[Vertex],0)),1,1,"")</f>
        <v>1</v>
      </c>
      <c r="AG123" s="83" t="str">
        <f>REPLACE(INDEX(GroupVertices[Group],MATCH(Edges[[#This Row],[Vertex 2]],GroupVertices[Vertex],0)),1,1,"")</f>
        <v>1</v>
      </c>
      <c r="AH123" s="111">
        <v>0</v>
      </c>
      <c r="AI123" s="112">
        <v>0</v>
      </c>
      <c r="AJ123" s="111">
        <v>0</v>
      </c>
      <c r="AK123" s="112">
        <v>0</v>
      </c>
      <c r="AL123" s="111">
        <v>0</v>
      </c>
      <c r="AM123" s="112">
        <v>0</v>
      </c>
      <c r="AN123" s="111">
        <v>11</v>
      </c>
      <c r="AO123" s="112">
        <v>100</v>
      </c>
      <c r="AP123" s="111">
        <v>11</v>
      </c>
    </row>
    <row r="124" spans="1:42" ht="15">
      <c r="A124" s="65" t="s">
        <v>424</v>
      </c>
      <c r="B124" s="65" t="s">
        <v>479</v>
      </c>
      <c r="C124" s="66" t="s">
        <v>1613</v>
      </c>
      <c r="D124" s="67">
        <v>3</v>
      </c>
      <c r="E124" s="68"/>
      <c r="F124" s="69">
        <v>40</v>
      </c>
      <c r="G124" s="66"/>
      <c r="H124" s="70"/>
      <c r="I124" s="71"/>
      <c r="J124" s="71"/>
      <c r="K124" s="35" t="s">
        <v>65</v>
      </c>
      <c r="L124" s="79">
        <v>124</v>
      </c>
      <c r="M124" s="79"/>
      <c r="N124" s="73"/>
      <c r="O124" s="81" t="s">
        <v>481</v>
      </c>
      <c r="P124" s="81" t="s">
        <v>314</v>
      </c>
      <c r="Q124" s="84" t="s">
        <v>605</v>
      </c>
      <c r="R124" s="81" t="s">
        <v>424</v>
      </c>
      <c r="S124" s="81" t="s">
        <v>764</v>
      </c>
      <c r="T124" s="86" t="str">
        <f>HYPERLINK("http://www.youtube.com/channel/UC5iV1Cb-gkNuwC6SOGMcCYg")</f>
        <v>http://www.youtube.com/channel/UC5iV1Cb-gkNuwC6SOGMcCYg</v>
      </c>
      <c r="U124" s="81"/>
      <c r="V124" s="81" t="s">
        <v>839</v>
      </c>
      <c r="W124" s="86" t="str">
        <f>HYPERLINK("https://www.youtube.com/watch?v=Ci9JYIJstPY")</f>
        <v>https://www.youtube.com/watch?v=Ci9JYIJstPY</v>
      </c>
      <c r="X124" s="81" t="s">
        <v>840</v>
      </c>
      <c r="Y124" s="81">
        <v>2</v>
      </c>
      <c r="Z124" s="88">
        <v>44322.341990740744</v>
      </c>
      <c r="AA124" s="88">
        <v>44322.341990740744</v>
      </c>
      <c r="AB124" s="81"/>
      <c r="AC124" s="81"/>
      <c r="AD124" s="84" t="s">
        <v>843</v>
      </c>
      <c r="AE124" s="82">
        <v>1</v>
      </c>
      <c r="AF124" s="83" t="str">
        <f>REPLACE(INDEX(GroupVertices[Group],MATCH(Edges[[#This Row],[Vertex 1]],GroupVertices[Vertex],0)),1,1,"")</f>
        <v>1</v>
      </c>
      <c r="AG124" s="83" t="str">
        <f>REPLACE(INDEX(GroupVertices[Group],MATCH(Edges[[#This Row],[Vertex 2]],GroupVertices[Vertex],0)),1,1,"")</f>
        <v>1</v>
      </c>
      <c r="AH124" s="111">
        <v>0</v>
      </c>
      <c r="AI124" s="112">
        <v>0</v>
      </c>
      <c r="AJ124" s="111">
        <v>1</v>
      </c>
      <c r="AK124" s="112">
        <v>5</v>
      </c>
      <c r="AL124" s="111">
        <v>0</v>
      </c>
      <c r="AM124" s="112">
        <v>0</v>
      </c>
      <c r="AN124" s="111">
        <v>19</v>
      </c>
      <c r="AO124" s="112">
        <v>95</v>
      </c>
      <c r="AP124" s="111">
        <v>20</v>
      </c>
    </row>
    <row r="125" spans="1:42" ht="15">
      <c r="A125" s="65" t="s">
        <v>425</v>
      </c>
      <c r="B125" s="65" t="s">
        <v>479</v>
      </c>
      <c r="C125" s="66" t="s">
        <v>1613</v>
      </c>
      <c r="D125" s="67">
        <v>3</v>
      </c>
      <c r="E125" s="68"/>
      <c r="F125" s="69">
        <v>40</v>
      </c>
      <c r="G125" s="66"/>
      <c r="H125" s="70"/>
      <c r="I125" s="71"/>
      <c r="J125" s="71"/>
      <c r="K125" s="35" t="s">
        <v>65</v>
      </c>
      <c r="L125" s="79">
        <v>125</v>
      </c>
      <c r="M125" s="79"/>
      <c r="N125" s="73"/>
      <c r="O125" s="81" t="s">
        <v>481</v>
      </c>
      <c r="P125" s="81" t="s">
        <v>314</v>
      </c>
      <c r="Q125" s="84" t="s">
        <v>606</v>
      </c>
      <c r="R125" s="81" t="s">
        <v>425</v>
      </c>
      <c r="S125" s="81" t="s">
        <v>765</v>
      </c>
      <c r="T125" s="86" t="str">
        <f>HYPERLINK("http://www.youtube.com/channel/UCyMQmbsa4WLITmU0jkuAc2A")</f>
        <v>http://www.youtube.com/channel/UCyMQmbsa4WLITmU0jkuAc2A</v>
      </c>
      <c r="U125" s="81"/>
      <c r="V125" s="81" t="s">
        <v>839</v>
      </c>
      <c r="W125" s="86" t="str">
        <f>HYPERLINK("https://www.youtube.com/watch?v=Ci9JYIJstPY")</f>
        <v>https://www.youtube.com/watch?v=Ci9JYIJstPY</v>
      </c>
      <c r="X125" s="81" t="s">
        <v>840</v>
      </c>
      <c r="Y125" s="81">
        <v>1</v>
      </c>
      <c r="Z125" s="88">
        <v>44322.350949074076</v>
      </c>
      <c r="AA125" s="88">
        <v>44322.350949074076</v>
      </c>
      <c r="AB125" s="81"/>
      <c r="AC125" s="81"/>
      <c r="AD125" s="84" t="s">
        <v>843</v>
      </c>
      <c r="AE125" s="82">
        <v>1</v>
      </c>
      <c r="AF125" s="83" t="str">
        <f>REPLACE(INDEX(GroupVertices[Group],MATCH(Edges[[#This Row],[Vertex 1]],GroupVertices[Vertex],0)),1,1,"")</f>
        <v>1</v>
      </c>
      <c r="AG125" s="83" t="str">
        <f>REPLACE(INDEX(GroupVertices[Group],MATCH(Edges[[#This Row],[Vertex 2]],GroupVertices[Vertex],0)),1,1,"")</f>
        <v>1</v>
      </c>
      <c r="AH125" s="111">
        <v>0</v>
      </c>
      <c r="AI125" s="112">
        <v>0</v>
      </c>
      <c r="AJ125" s="111">
        <v>0</v>
      </c>
      <c r="AK125" s="112">
        <v>0</v>
      </c>
      <c r="AL125" s="111">
        <v>0</v>
      </c>
      <c r="AM125" s="112">
        <v>0</v>
      </c>
      <c r="AN125" s="111">
        <v>13</v>
      </c>
      <c r="AO125" s="112">
        <v>100</v>
      </c>
      <c r="AP125" s="111">
        <v>13</v>
      </c>
    </row>
    <row r="126" spans="1:42" ht="15">
      <c r="A126" s="65" t="s">
        <v>426</v>
      </c>
      <c r="B126" s="65" t="s">
        <v>479</v>
      </c>
      <c r="C126" s="66" t="s">
        <v>1613</v>
      </c>
      <c r="D126" s="67">
        <v>3</v>
      </c>
      <c r="E126" s="68"/>
      <c r="F126" s="69">
        <v>40</v>
      </c>
      <c r="G126" s="66"/>
      <c r="H126" s="70"/>
      <c r="I126" s="71"/>
      <c r="J126" s="71"/>
      <c r="K126" s="35" t="s">
        <v>65</v>
      </c>
      <c r="L126" s="79">
        <v>126</v>
      </c>
      <c r="M126" s="79"/>
      <c r="N126" s="73"/>
      <c r="O126" s="81" t="s">
        <v>481</v>
      </c>
      <c r="P126" s="81" t="s">
        <v>314</v>
      </c>
      <c r="Q126" s="84" t="s">
        <v>607</v>
      </c>
      <c r="R126" s="81" t="s">
        <v>426</v>
      </c>
      <c r="S126" s="81" t="s">
        <v>766</v>
      </c>
      <c r="T126" s="86" t="str">
        <f>HYPERLINK("http://www.youtube.com/channel/UCePijgZwEyM46_wvOb3pQPA")</f>
        <v>http://www.youtube.com/channel/UCePijgZwEyM46_wvOb3pQPA</v>
      </c>
      <c r="U126" s="81"/>
      <c r="V126" s="81" t="s">
        <v>839</v>
      </c>
      <c r="W126" s="86" t="str">
        <f>HYPERLINK("https://www.youtube.com/watch?v=Ci9JYIJstPY")</f>
        <v>https://www.youtube.com/watch?v=Ci9JYIJstPY</v>
      </c>
      <c r="X126" s="81" t="s">
        <v>840</v>
      </c>
      <c r="Y126" s="81">
        <v>1</v>
      </c>
      <c r="Z126" s="88">
        <v>44322.35931712963</v>
      </c>
      <c r="AA126" s="88">
        <v>44322.35931712963</v>
      </c>
      <c r="AB126" s="81"/>
      <c r="AC126" s="81"/>
      <c r="AD126" s="84" t="s">
        <v>843</v>
      </c>
      <c r="AE126" s="82">
        <v>1</v>
      </c>
      <c r="AF126" s="83" t="str">
        <f>REPLACE(INDEX(GroupVertices[Group],MATCH(Edges[[#This Row],[Vertex 1]],GroupVertices[Vertex],0)),1,1,"")</f>
        <v>1</v>
      </c>
      <c r="AG126" s="83" t="str">
        <f>REPLACE(INDEX(GroupVertices[Group],MATCH(Edges[[#This Row],[Vertex 2]],GroupVertices[Vertex],0)),1,1,"")</f>
        <v>1</v>
      </c>
      <c r="AH126" s="111">
        <v>2</v>
      </c>
      <c r="AI126" s="112">
        <v>33.333333333333336</v>
      </c>
      <c r="AJ126" s="111">
        <v>3</v>
      </c>
      <c r="AK126" s="112">
        <v>50</v>
      </c>
      <c r="AL126" s="111">
        <v>0</v>
      </c>
      <c r="AM126" s="112">
        <v>0</v>
      </c>
      <c r="AN126" s="111">
        <v>3</v>
      </c>
      <c r="AO126" s="112">
        <v>50</v>
      </c>
      <c r="AP126" s="111">
        <v>6</v>
      </c>
    </row>
    <row r="127" spans="1:42" ht="15">
      <c r="A127" s="65" t="s">
        <v>427</v>
      </c>
      <c r="B127" s="65" t="s">
        <v>479</v>
      </c>
      <c r="C127" s="66" t="s">
        <v>1614</v>
      </c>
      <c r="D127" s="67">
        <v>3</v>
      </c>
      <c r="E127" s="68"/>
      <c r="F127" s="69">
        <v>40</v>
      </c>
      <c r="G127" s="66"/>
      <c r="H127" s="70"/>
      <c r="I127" s="71"/>
      <c r="J127" s="71"/>
      <c r="K127" s="35" t="s">
        <v>65</v>
      </c>
      <c r="L127" s="79">
        <v>127</v>
      </c>
      <c r="M127" s="79"/>
      <c r="N127" s="73"/>
      <c r="O127" s="81" t="s">
        <v>481</v>
      </c>
      <c r="P127" s="81" t="s">
        <v>314</v>
      </c>
      <c r="Q127" s="84" t="s">
        <v>608</v>
      </c>
      <c r="R127" s="81" t="s">
        <v>427</v>
      </c>
      <c r="S127" s="81" t="s">
        <v>767</v>
      </c>
      <c r="T127" s="86" t="str">
        <f>HYPERLINK("http://www.youtube.com/channel/UCcfu2E45fV8NmLtNTjJSmhQ")</f>
        <v>http://www.youtube.com/channel/UCcfu2E45fV8NmLtNTjJSmhQ</v>
      </c>
      <c r="U127" s="81"/>
      <c r="V127" s="81" t="s">
        <v>839</v>
      </c>
      <c r="W127" s="86" t="str">
        <f>HYPERLINK("https://www.youtube.com/watch?v=Ci9JYIJstPY")</f>
        <v>https://www.youtube.com/watch?v=Ci9JYIJstPY</v>
      </c>
      <c r="X127" s="81" t="s">
        <v>840</v>
      </c>
      <c r="Y127" s="81">
        <v>0</v>
      </c>
      <c r="Z127" s="88">
        <v>44322.36001157408</v>
      </c>
      <c r="AA127" s="88">
        <v>44322.36001157408</v>
      </c>
      <c r="AB127" s="81"/>
      <c r="AC127" s="81"/>
      <c r="AD127" s="84" t="s">
        <v>843</v>
      </c>
      <c r="AE127" s="82">
        <v>2</v>
      </c>
      <c r="AF127" s="83" t="str">
        <f>REPLACE(INDEX(GroupVertices[Group],MATCH(Edges[[#This Row],[Vertex 1]],GroupVertices[Vertex],0)),1,1,"")</f>
        <v>1</v>
      </c>
      <c r="AG127" s="83" t="str">
        <f>REPLACE(INDEX(GroupVertices[Group],MATCH(Edges[[#This Row],[Vertex 2]],GroupVertices[Vertex],0)),1,1,"")</f>
        <v>1</v>
      </c>
      <c r="AH127" s="111">
        <v>0</v>
      </c>
      <c r="AI127" s="112">
        <v>0</v>
      </c>
      <c r="AJ127" s="111">
        <v>1</v>
      </c>
      <c r="AK127" s="112">
        <v>7.142857142857143</v>
      </c>
      <c r="AL127" s="111">
        <v>0</v>
      </c>
      <c r="AM127" s="112">
        <v>0</v>
      </c>
      <c r="AN127" s="111">
        <v>13</v>
      </c>
      <c r="AO127" s="112">
        <v>92.85714285714286</v>
      </c>
      <c r="AP127" s="111">
        <v>14</v>
      </c>
    </row>
    <row r="128" spans="1:42" ht="15">
      <c r="A128" s="65" t="s">
        <v>427</v>
      </c>
      <c r="B128" s="65" t="s">
        <v>479</v>
      </c>
      <c r="C128" s="66" t="s">
        <v>1614</v>
      </c>
      <c r="D128" s="67">
        <v>3</v>
      </c>
      <c r="E128" s="68"/>
      <c r="F128" s="69">
        <v>40</v>
      </c>
      <c r="G128" s="66"/>
      <c r="H128" s="70"/>
      <c r="I128" s="71"/>
      <c r="J128" s="71"/>
      <c r="K128" s="35" t="s">
        <v>65</v>
      </c>
      <c r="L128" s="79">
        <v>128</v>
      </c>
      <c r="M128" s="79"/>
      <c r="N128" s="73"/>
      <c r="O128" s="81" t="s">
        <v>481</v>
      </c>
      <c r="P128" s="81" t="s">
        <v>314</v>
      </c>
      <c r="Q128" s="84" t="s">
        <v>609</v>
      </c>
      <c r="R128" s="81" t="s">
        <v>427</v>
      </c>
      <c r="S128" s="81" t="s">
        <v>767</v>
      </c>
      <c r="T128" s="86" t="str">
        <f>HYPERLINK("http://www.youtube.com/channel/UCcfu2E45fV8NmLtNTjJSmhQ")</f>
        <v>http://www.youtube.com/channel/UCcfu2E45fV8NmLtNTjJSmhQ</v>
      </c>
      <c r="U128" s="81"/>
      <c r="V128" s="81" t="s">
        <v>839</v>
      </c>
      <c r="W128" s="86" t="str">
        <f>HYPERLINK("https://www.youtube.com/watch?v=Ci9JYIJstPY")</f>
        <v>https://www.youtube.com/watch?v=Ci9JYIJstPY</v>
      </c>
      <c r="X128" s="81" t="s">
        <v>840</v>
      </c>
      <c r="Y128" s="81">
        <v>0</v>
      </c>
      <c r="Z128" s="88">
        <v>44322.361712962964</v>
      </c>
      <c r="AA128" s="88">
        <v>44322.361712962964</v>
      </c>
      <c r="AB128" s="81"/>
      <c r="AC128" s="81"/>
      <c r="AD128" s="84" t="s">
        <v>843</v>
      </c>
      <c r="AE128" s="82">
        <v>2</v>
      </c>
      <c r="AF128" s="83" t="str">
        <f>REPLACE(INDEX(GroupVertices[Group],MATCH(Edges[[#This Row],[Vertex 1]],GroupVertices[Vertex],0)),1,1,"")</f>
        <v>1</v>
      </c>
      <c r="AG128" s="83" t="str">
        <f>REPLACE(INDEX(GroupVertices[Group],MATCH(Edges[[#This Row],[Vertex 2]],GroupVertices[Vertex],0)),1,1,"")</f>
        <v>1</v>
      </c>
      <c r="AH128" s="111">
        <v>2</v>
      </c>
      <c r="AI128" s="112">
        <v>11.764705882352942</v>
      </c>
      <c r="AJ128" s="111">
        <v>2</v>
      </c>
      <c r="AK128" s="112">
        <v>11.764705882352942</v>
      </c>
      <c r="AL128" s="111">
        <v>0</v>
      </c>
      <c r="AM128" s="112">
        <v>0</v>
      </c>
      <c r="AN128" s="111">
        <v>14</v>
      </c>
      <c r="AO128" s="112">
        <v>82.3529411764706</v>
      </c>
      <c r="AP128" s="111">
        <v>17</v>
      </c>
    </row>
    <row r="129" spans="1:42" ht="15">
      <c r="A129" s="65" t="s">
        <v>428</v>
      </c>
      <c r="B129" s="65" t="s">
        <v>479</v>
      </c>
      <c r="C129" s="66" t="s">
        <v>1614</v>
      </c>
      <c r="D129" s="67">
        <v>3</v>
      </c>
      <c r="E129" s="68"/>
      <c r="F129" s="69">
        <v>40</v>
      </c>
      <c r="G129" s="66"/>
      <c r="H129" s="70"/>
      <c r="I129" s="71"/>
      <c r="J129" s="71"/>
      <c r="K129" s="35" t="s">
        <v>65</v>
      </c>
      <c r="L129" s="79">
        <v>129</v>
      </c>
      <c r="M129" s="79"/>
      <c r="N129" s="73"/>
      <c r="O129" s="81" t="s">
        <v>481</v>
      </c>
      <c r="P129" s="81" t="s">
        <v>314</v>
      </c>
      <c r="Q129" s="84" t="s">
        <v>610</v>
      </c>
      <c r="R129" s="81" t="s">
        <v>428</v>
      </c>
      <c r="S129" s="81" t="s">
        <v>768</v>
      </c>
      <c r="T129" s="86" t="str">
        <f>HYPERLINK("http://www.youtube.com/channel/UCXU48nXBo--GCvAKC__hPFA")</f>
        <v>http://www.youtube.com/channel/UCXU48nXBo--GCvAKC__hPFA</v>
      </c>
      <c r="U129" s="81"/>
      <c r="V129" s="81" t="s">
        <v>839</v>
      </c>
      <c r="W129" s="86" t="str">
        <f>HYPERLINK("https://www.youtube.com/watch?v=Ci9JYIJstPY")</f>
        <v>https://www.youtube.com/watch?v=Ci9JYIJstPY</v>
      </c>
      <c r="X129" s="81" t="s">
        <v>840</v>
      </c>
      <c r="Y129" s="81">
        <v>0</v>
      </c>
      <c r="Z129" s="88">
        <v>44322.36760416667</v>
      </c>
      <c r="AA129" s="88">
        <v>44322.36760416667</v>
      </c>
      <c r="AB129" s="81"/>
      <c r="AC129" s="81"/>
      <c r="AD129" s="84" t="s">
        <v>843</v>
      </c>
      <c r="AE129" s="82">
        <v>2</v>
      </c>
      <c r="AF129" s="83" t="str">
        <f>REPLACE(INDEX(GroupVertices[Group],MATCH(Edges[[#This Row],[Vertex 1]],GroupVertices[Vertex],0)),1,1,"")</f>
        <v>1</v>
      </c>
      <c r="AG129" s="83" t="str">
        <f>REPLACE(INDEX(GroupVertices[Group],MATCH(Edges[[#This Row],[Vertex 2]],GroupVertices[Vertex],0)),1,1,"")</f>
        <v>1</v>
      </c>
      <c r="AH129" s="111">
        <v>0</v>
      </c>
      <c r="AI129" s="112">
        <v>0</v>
      </c>
      <c r="AJ129" s="111">
        <v>3</v>
      </c>
      <c r="AK129" s="112">
        <v>75</v>
      </c>
      <c r="AL129" s="111">
        <v>0</v>
      </c>
      <c r="AM129" s="112">
        <v>0</v>
      </c>
      <c r="AN129" s="111">
        <v>1</v>
      </c>
      <c r="AO129" s="112">
        <v>25</v>
      </c>
      <c r="AP129" s="111">
        <v>4</v>
      </c>
    </row>
    <row r="130" spans="1:42" ht="15">
      <c r="A130" s="65" t="s">
        <v>428</v>
      </c>
      <c r="B130" s="65" t="s">
        <v>479</v>
      </c>
      <c r="C130" s="66" t="s">
        <v>1614</v>
      </c>
      <c r="D130" s="67">
        <v>3</v>
      </c>
      <c r="E130" s="68"/>
      <c r="F130" s="69">
        <v>40</v>
      </c>
      <c r="G130" s="66"/>
      <c r="H130" s="70"/>
      <c r="I130" s="71"/>
      <c r="J130" s="71"/>
      <c r="K130" s="35" t="s">
        <v>65</v>
      </c>
      <c r="L130" s="79">
        <v>130</v>
      </c>
      <c r="M130" s="79"/>
      <c r="N130" s="73"/>
      <c r="O130" s="81" t="s">
        <v>481</v>
      </c>
      <c r="P130" s="81" t="s">
        <v>314</v>
      </c>
      <c r="Q130" s="84" t="s">
        <v>611</v>
      </c>
      <c r="R130" s="81" t="s">
        <v>428</v>
      </c>
      <c r="S130" s="81" t="s">
        <v>768</v>
      </c>
      <c r="T130" s="86" t="str">
        <f>HYPERLINK("http://www.youtube.com/channel/UCXU48nXBo--GCvAKC__hPFA")</f>
        <v>http://www.youtube.com/channel/UCXU48nXBo--GCvAKC__hPFA</v>
      </c>
      <c r="U130" s="81"/>
      <c r="V130" s="81" t="s">
        <v>839</v>
      </c>
      <c r="W130" s="86" t="str">
        <f>HYPERLINK("https://www.youtube.com/watch?v=Ci9JYIJstPY")</f>
        <v>https://www.youtube.com/watch?v=Ci9JYIJstPY</v>
      </c>
      <c r="X130" s="81" t="s">
        <v>840</v>
      </c>
      <c r="Y130" s="81">
        <v>0</v>
      </c>
      <c r="Z130" s="88">
        <v>44322.368425925924</v>
      </c>
      <c r="AA130" s="88">
        <v>44322.368425925924</v>
      </c>
      <c r="AB130" s="81"/>
      <c r="AC130" s="81"/>
      <c r="AD130" s="84" t="s">
        <v>843</v>
      </c>
      <c r="AE130" s="82">
        <v>2</v>
      </c>
      <c r="AF130" s="83" t="str">
        <f>REPLACE(INDEX(GroupVertices[Group],MATCH(Edges[[#This Row],[Vertex 1]],GroupVertices[Vertex],0)),1,1,"")</f>
        <v>1</v>
      </c>
      <c r="AG130" s="83" t="str">
        <f>REPLACE(INDEX(GroupVertices[Group],MATCH(Edges[[#This Row],[Vertex 2]],GroupVertices[Vertex],0)),1,1,"")</f>
        <v>1</v>
      </c>
      <c r="AH130" s="111">
        <v>1</v>
      </c>
      <c r="AI130" s="112">
        <v>50</v>
      </c>
      <c r="AJ130" s="111">
        <v>0</v>
      </c>
      <c r="AK130" s="112">
        <v>0</v>
      </c>
      <c r="AL130" s="111">
        <v>0</v>
      </c>
      <c r="AM130" s="112">
        <v>0</v>
      </c>
      <c r="AN130" s="111">
        <v>1</v>
      </c>
      <c r="AO130" s="112">
        <v>50</v>
      </c>
      <c r="AP130" s="111">
        <v>2</v>
      </c>
    </row>
    <row r="131" spans="1:42" ht="15">
      <c r="A131" s="65" t="s">
        <v>429</v>
      </c>
      <c r="B131" s="65" t="s">
        <v>479</v>
      </c>
      <c r="C131" s="66" t="s">
        <v>1613</v>
      </c>
      <c r="D131" s="67">
        <v>3</v>
      </c>
      <c r="E131" s="68"/>
      <c r="F131" s="69">
        <v>40</v>
      </c>
      <c r="G131" s="66"/>
      <c r="H131" s="70"/>
      <c r="I131" s="71"/>
      <c r="J131" s="71"/>
      <c r="K131" s="35" t="s">
        <v>65</v>
      </c>
      <c r="L131" s="79">
        <v>131</v>
      </c>
      <c r="M131" s="79"/>
      <c r="N131" s="73"/>
      <c r="O131" s="81" t="s">
        <v>481</v>
      </c>
      <c r="P131" s="81" t="s">
        <v>314</v>
      </c>
      <c r="Q131" s="84" t="s">
        <v>612</v>
      </c>
      <c r="R131" s="81" t="s">
        <v>429</v>
      </c>
      <c r="S131" s="81" t="s">
        <v>769</v>
      </c>
      <c r="T131" s="86" t="str">
        <f>HYPERLINK("http://www.youtube.com/channel/UCjH5Umq46BMIsc8f8ETj5XQ")</f>
        <v>http://www.youtube.com/channel/UCjH5Umq46BMIsc8f8ETj5XQ</v>
      </c>
      <c r="U131" s="81"/>
      <c r="V131" s="81" t="s">
        <v>839</v>
      </c>
      <c r="W131" s="86" t="str">
        <f>HYPERLINK("https://www.youtube.com/watch?v=Ci9JYIJstPY")</f>
        <v>https://www.youtube.com/watch?v=Ci9JYIJstPY</v>
      </c>
      <c r="X131" s="81" t="s">
        <v>840</v>
      </c>
      <c r="Y131" s="81">
        <v>0</v>
      </c>
      <c r="Z131" s="88">
        <v>44322.374340277776</v>
      </c>
      <c r="AA131" s="88">
        <v>44322.374340277776</v>
      </c>
      <c r="AB131" s="81"/>
      <c r="AC131" s="81"/>
      <c r="AD131" s="84" t="s">
        <v>843</v>
      </c>
      <c r="AE131" s="82">
        <v>1</v>
      </c>
      <c r="AF131" s="83" t="str">
        <f>REPLACE(INDEX(GroupVertices[Group],MATCH(Edges[[#This Row],[Vertex 1]],GroupVertices[Vertex],0)),1,1,"")</f>
        <v>1</v>
      </c>
      <c r="AG131" s="83" t="str">
        <f>REPLACE(INDEX(GroupVertices[Group],MATCH(Edges[[#This Row],[Vertex 2]],GroupVertices[Vertex],0)),1,1,"")</f>
        <v>1</v>
      </c>
      <c r="AH131" s="111">
        <v>1</v>
      </c>
      <c r="AI131" s="112">
        <v>33.333333333333336</v>
      </c>
      <c r="AJ131" s="111">
        <v>0</v>
      </c>
      <c r="AK131" s="112">
        <v>0</v>
      </c>
      <c r="AL131" s="111">
        <v>0</v>
      </c>
      <c r="AM131" s="112">
        <v>0</v>
      </c>
      <c r="AN131" s="111">
        <v>2</v>
      </c>
      <c r="AO131" s="112">
        <v>66.66666666666667</v>
      </c>
      <c r="AP131" s="111">
        <v>3</v>
      </c>
    </row>
    <row r="132" spans="1:42" ht="15">
      <c r="A132" s="65" t="s">
        <v>430</v>
      </c>
      <c r="B132" s="65" t="s">
        <v>479</v>
      </c>
      <c r="C132" s="66" t="s">
        <v>1613</v>
      </c>
      <c r="D132" s="67">
        <v>3</v>
      </c>
      <c r="E132" s="68"/>
      <c r="F132" s="69">
        <v>40</v>
      </c>
      <c r="G132" s="66"/>
      <c r="H132" s="70"/>
      <c r="I132" s="71"/>
      <c r="J132" s="71"/>
      <c r="K132" s="35" t="s">
        <v>65</v>
      </c>
      <c r="L132" s="79">
        <v>132</v>
      </c>
      <c r="M132" s="79"/>
      <c r="N132" s="73"/>
      <c r="O132" s="81" t="s">
        <v>481</v>
      </c>
      <c r="P132" s="81" t="s">
        <v>314</v>
      </c>
      <c r="Q132" s="84" t="s">
        <v>613</v>
      </c>
      <c r="R132" s="81" t="s">
        <v>430</v>
      </c>
      <c r="S132" s="81" t="s">
        <v>770</v>
      </c>
      <c r="T132" s="86" t="str">
        <f>HYPERLINK("http://www.youtube.com/channel/UCioSLRcj9zJtL3k5nYwbeKw")</f>
        <v>http://www.youtube.com/channel/UCioSLRcj9zJtL3k5nYwbeKw</v>
      </c>
      <c r="U132" s="81"/>
      <c r="V132" s="81" t="s">
        <v>839</v>
      </c>
      <c r="W132" s="86" t="str">
        <f>HYPERLINK("https://www.youtube.com/watch?v=Ci9JYIJstPY")</f>
        <v>https://www.youtube.com/watch?v=Ci9JYIJstPY</v>
      </c>
      <c r="X132" s="81" t="s">
        <v>840</v>
      </c>
      <c r="Y132" s="81">
        <v>1</v>
      </c>
      <c r="Z132" s="88">
        <v>44322.385717592595</v>
      </c>
      <c r="AA132" s="88">
        <v>44322.385717592595</v>
      </c>
      <c r="AB132" s="81"/>
      <c r="AC132" s="81"/>
      <c r="AD132" s="84" t="s">
        <v>843</v>
      </c>
      <c r="AE132" s="82">
        <v>1</v>
      </c>
      <c r="AF132" s="83" t="str">
        <f>REPLACE(INDEX(GroupVertices[Group],MATCH(Edges[[#This Row],[Vertex 1]],GroupVertices[Vertex],0)),1,1,"")</f>
        <v>1</v>
      </c>
      <c r="AG132" s="83" t="str">
        <f>REPLACE(INDEX(GroupVertices[Group],MATCH(Edges[[#This Row],[Vertex 2]],GroupVertices[Vertex],0)),1,1,"")</f>
        <v>1</v>
      </c>
      <c r="AH132" s="111">
        <v>2</v>
      </c>
      <c r="AI132" s="112">
        <v>12.5</v>
      </c>
      <c r="AJ132" s="111">
        <v>2</v>
      </c>
      <c r="AK132" s="112">
        <v>12.5</v>
      </c>
      <c r="AL132" s="111">
        <v>0</v>
      </c>
      <c r="AM132" s="112">
        <v>0</v>
      </c>
      <c r="AN132" s="111">
        <v>12</v>
      </c>
      <c r="AO132" s="112">
        <v>75</v>
      </c>
      <c r="AP132" s="111">
        <v>16</v>
      </c>
    </row>
    <row r="133" spans="1:42" ht="15">
      <c r="A133" s="65" t="s">
        <v>431</v>
      </c>
      <c r="B133" s="65" t="s">
        <v>479</v>
      </c>
      <c r="C133" s="66" t="s">
        <v>1613</v>
      </c>
      <c r="D133" s="67">
        <v>3</v>
      </c>
      <c r="E133" s="68"/>
      <c r="F133" s="69">
        <v>40</v>
      </c>
      <c r="G133" s="66"/>
      <c r="H133" s="70"/>
      <c r="I133" s="71"/>
      <c r="J133" s="71"/>
      <c r="K133" s="35" t="s">
        <v>65</v>
      </c>
      <c r="L133" s="79">
        <v>133</v>
      </c>
      <c r="M133" s="79"/>
      <c r="N133" s="73"/>
      <c r="O133" s="81" t="s">
        <v>481</v>
      </c>
      <c r="P133" s="81" t="s">
        <v>314</v>
      </c>
      <c r="Q133" s="84" t="s">
        <v>614</v>
      </c>
      <c r="R133" s="81" t="s">
        <v>431</v>
      </c>
      <c r="S133" s="81" t="s">
        <v>771</v>
      </c>
      <c r="T133" s="86" t="str">
        <f>HYPERLINK("http://www.youtube.com/channel/UCBmePz6UeMu2W3fKvebPA3g")</f>
        <v>http://www.youtube.com/channel/UCBmePz6UeMu2W3fKvebPA3g</v>
      </c>
      <c r="U133" s="81"/>
      <c r="V133" s="81" t="s">
        <v>839</v>
      </c>
      <c r="W133" s="86" t="str">
        <f>HYPERLINK("https://www.youtube.com/watch?v=Ci9JYIJstPY")</f>
        <v>https://www.youtube.com/watch?v=Ci9JYIJstPY</v>
      </c>
      <c r="X133" s="81" t="s">
        <v>840</v>
      </c>
      <c r="Y133" s="81">
        <v>0</v>
      </c>
      <c r="Z133" s="88">
        <v>44322.389861111114</v>
      </c>
      <c r="AA133" s="88">
        <v>44322.389861111114</v>
      </c>
      <c r="AB133" s="81"/>
      <c r="AC133" s="81"/>
      <c r="AD133" s="84" t="s">
        <v>843</v>
      </c>
      <c r="AE133" s="82">
        <v>1</v>
      </c>
      <c r="AF133" s="83" t="str">
        <f>REPLACE(INDEX(GroupVertices[Group],MATCH(Edges[[#This Row],[Vertex 1]],GroupVertices[Vertex],0)),1,1,"")</f>
        <v>1</v>
      </c>
      <c r="AG133" s="83" t="str">
        <f>REPLACE(INDEX(GroupVertices[Group],MATCH(Edges[[#This Row],[Vertex 2]],GroupVertices[Vertex],0)),1,1,"")</f>
        <v>1</v>
      </c>
      <c r="AH133" s="111">
        <v>1</v>
      </c>
      <c r="AI133" s="112">
        <v>7.6923076923076925</v>
      </c>
      <c r="AJ133" s="111">
        <v>0</v>
      </c>
      <c r="AK133" s="112">
        <v>0</v>
      </c>
      <c r="AL133" s="111">
        <v>0</v>
      </c>
      <c r="AM133" s="112">
        <v>0</v>
      </c>
      <c r="AN133" s="111">
        <v>12</v>
      </c>
      <c r="AO133" s="112">
        <v>92.3076923076923</v>
      </c>
      <c r="AP133" s="111">
        <v>13</v>
      </c>
    </row>
    <row r="134" spans="1:42" ht="15">
      <c r="A134" s="65" t="s">
        <v>432</v>
      </c>
      <c r="B134" s="65" t="s">
        <v>479</v>
      </c>
      <c r="C134" s="66" t="s">
        <v>1613</v>
      </c>
      <c r="D134" s="67">
        <v>3</v>
      </c>
      <c r="E134" s="68"/>
      <c r="F134" s="69">
        <v>40</v>
      </c>
      <c r="G134" s="66"/>
      <c r="H134" s="70"/>
      <c r="I134" s="71"/>
      <c r="J134" s="71"/>
      <c r="K134" s="35" t="s">
        <v>65</v>
      </c>
      <c r="L134" s="79">
        <v>134</v>
      </c>
      <c r="M134" s="79"/>
      <c r="N134" s="73"/>
      <c r="O134" s="81" t="s">
        <v>481</v>
      </c>
      <c r="P134" s="81" t="s">
        <v>314</v>
      </c>
      <c r="Q134" s="84" t="s">
        <v>615</v>
      </c>
      <c r="R134" s="81" t="s">
        <v>432</v>
      </c>
      <c r="S134" s="81" t="s">
        <v>772</v>
      </c>
      <c r="T134" s="86" t="str">
        <f>HYPERLINK("http://www.youtube.com/channel/UCAN4uY_roKpSkrVUxY18DGQ")</f>
        <v>http://www.youtube.com/channel/UCAN4uY_roKpSkrVUxY18DGQ</v>
      </c>
      <c r="U134" s="81"/>
      <c r="V134" s="81" t="s">
        <v>839</v>
      </c>
      <c r="W134" s="86" t="str">
        <f>HYPERLINK("https://www.youtube.com/watch?v=Ci9JYIJstPY")</f>
        <v>https://www.youtube.com/watch?v=Ci9JYIJstPY</v>
      </c>
      <c r="X134" s="81" t="s">
        <v>840</v>
      </c>
      <c r="Y134" s="81">
        <v>0</v>
      </c>
      <c r="Z134" s="88">
        <v>44322.39451388889</v>
      </c>
      <c r="AA134" s="88">
        <v>44322.39451388889</v>
      </c>
      <c r="AB134" s="81"/>
      <c r="AC134" s="81"/>
      <c r="AD134" s="84" t="s">
        <v>843</v>
      </c>
      <c r="AE134" s="82">
        <v>1</v>
      </c>
      <c r="AF134" s="83" t="str">
        <f>REPLACE(INDEX(GroupVertices[Group],MATCH(Edges[[#This Row],[Vertex 1]],GroupVertices[Vertex],0)),1,1,"")</f>
        <v>1</v>
      </c>
      <c r="AG134" s="83" t="str">
        <f>REPLACE(INDEX(GroupVertices[Group],MATCH(Edges[[#This Row],[Vertex 2]],GroupVertices[Vertex],0)),1,1,"")</f>
        <v>1</v>
      </c>
      <c r="AH134" s="111">
        <v>2</v>
      </c>
      <c r="AI134" s="112">
        <v>9.523809523809524</v>
      </c>
      <c r="AJ134" s="111">
        <v>1</v>
      </c>
      <c r="AK134" s="112">
        <v>4.761904761904762</v>
      </c>
      <c r="AL134" s="111">
        <v>0</v>
      </c>
      <c r="AM134" s="112">
        <v>0</v>
      </c>
      <c r="AN134" s="111">
        <v>19</v>
      </c>
      <c r="AO134" s="112">
        <v>90.47619047619048</v>
      </c>
      <c r="AP134" s="111">
        <v>21</v>
      </c>
    </row>
    <row r="135" spans="1:42" ht="15">
      <c r="A135" s="65" t="s">
        <v>433</v>
      </c>
      <c r="B135" s="65" t="s">
        <v>435</v>
      </c>
      <c r="C135" s="66" t="s">
        <v>1613</v>
      </c>
      <c r="D135" s="67">
        <v>3</v>
      </c>
      <c r="E135" s="68"/>
      <c r="F135" s="69">
        <v>40</v>
      </c>
      <c r="G135" s="66"/>
      <c r="H135" s="70"/>
      <c r="I135" s="71"/>
      <c r="J135" s="71"/>
      <c r="K135" s="35" t="s">
        <v>65</v>
      </c>
      <c r="L135" s="79">
        <v>135</v>
      </c>
      <c r="M135" s="79"/>
      <c r="N135" s="73"/>
      <c r="O135" s="81" t="s">
        <v>482</v>
      </c>
      <c r="P135" s="81" t="s">
        <v>484</v>
      </c>
      <c r="Q135" s="84" t="s">
        <v>616</v>
      </c>
      <c r="R135" s="81" t="s">
        <v>433</v>
      </c>
      <c r="S135" s="81" t="s">
        <v>773</v>
      </c>
      <c r="T135" s="86" t="str">
        <f>HYPERLINK("http://www.youtube.com/channel/UC2MLcUNh-oyy4j-1lbt7qSw")</f>
        <v>http://www.youtube.com/channel/UC2MLcUNh-oyy4j-1lbt7qSw</v>
      </c>
      <c r="U135" s="81" t="s">
        <v>833</v>
      </c>
      <c r="V135" s="81" t="s">
        <v>839</v>
      </c>
      <c r="W135" s="86" t="str">
        <f>HYPERLINK("https://www.youtube.com/watch?v=Ci9JYIJstPY")</f>
        <v>https://www.youtube.com/watch?v=Ci9JYIJstPY</v>
      </c>
      <c r="X135" s="81" t="s">
        <v>840</v>
      </c>
      <c r="Y135" s="81">
        <v>1</v>
      </c>
      <c r="Z135" s="88">
        <v>44322.722916666666</v>
      </c>
      <c r="AA135" s="88">
        <v>44322.722916666666</v>
      </c>
      <c r="AB135" s="81"/>
      <c r="AC135" s="81"/>
      <c r="AD135" s="84" t="s">
        <v>843</v>
      </c>
      <c r="AE135" s="82">
        <v>1</v>
      </c>
      <c r="AF135" s="83" t="str">
        <f>REPLACE(INDEX(GroupVertices[Group],MATCH(Edges[[#This Row],[Vertex 1]],GroupVertices[Vertex],0)),1,1,"")</f>
        <v>6</v>
      </c>
      <c r="AG135" s="83" t="str">
        <f>REPLACE(INDEX(GroupVertices[Group],MATCH(Edges[[#This Row],[Vertex 2]],GroupVertices[Vertex],0)),1,1,"")</f>
        <v>6</v>
      </c>
      <c r="AH135" s="111">
        <v>0</v>
      </c>
      <c r="AI135" s="112">
        <v>0</v>
      </c>
      <c r="AJ135" s="111">
        <v>0</v>
      </c>
      <c r="AK135" s="112">
        <v>0</v>
      </c>
      <c r="AL135" s="111">
        <v>0</v>
      </c>
      <c r="AM135" s="112">
        <v>0</v>
      </c>
      <c r="AN135" s="111">
        <v>6</v>
      </c>
      <c r="AO135" s="112">
        <v>100</v>
      </c>
      <c r="AP135" s="111">
        <v>6</v>
      </c>
    </row>
    <row r="136" spans="1:42" ht="15">
      <c r="A136" s="65" t="s">
        <v>434</v>
      </c>
      <c r="B136" s="65" t="s">
        <v>435</v>
      </c>
      <c r="C136" s="66" t="s">
        <v>1613</v>
      </c>
      <c r="D136" s="67">
        <v>3</v>
      </c>
      <c r="E136" s="68"/>
      <c r="F136" s="69">
        <v>40</v>
      </c>
      <c r="G136" s="66"/>
      <c r="H136" s="70"/>
      <c r="I136" s="71"/>
      <c r="J136" s="71"/>
      <c r="K136" s="35" t="s">
        <v>65</v>
      </c>
      <c r="L136" s="79">
        <v>136</v>
      </c>
      <c r="M136" s="79"/>
      <c r="N136" s="73"/>
      <c r="O136" s="81" t="s">
        <v>482</v>
      </c>
      <c r="P136" s="81" t="s">
        <v>484</v>
      </c>
      <c r="Q136" s="84" t="s">
        <v>617</v>
      </c>
      <c r="R136" s="81" t="s">
        <v>434</v>
      </c>
      <c r="S136" s="81" t="s">
        <v>774</v>
      </c>
      <c r="T136" s="86" t="str">
        <f>HYPERLINK("http://www.youtube.com/channel/UCYGAMP9drMcOky1t2OM_9eg")</f>
        <v>http://www.youtube.com/channel/UCYGAMP9drMcOky1t2OM_9eg</v>
      </c>
      <c r="U136" s="81" t="s">
        <v>833</v>
      </c>
      <c r="V136" s="81" t="s">
        <v>839</v>
      </c>
      <c r="W136" s="86" t="str">
        <f>HYPERLINK("https://www.youtube.com/watch?v=Ci9JYIJstPY")</f>
        <v>https://www.youtube.com/watch?v=Ci9JYIJstPY</v>
      </c>
      <c r="X136" s="81" t="s">
        <v>840</v>
      </c>
      <c r="Y136" s="81">
        <v>0</v>
      </c>
      <c r="Z136" s="88">
        <v>44322.810381944444</v>
      </c>
      <c r="AA136" s="88">
        <v>44322.81072916667</v>
      </c>
      <c r="AB136" s="81"/>
      <c r="AC136" s="81"/>
      <c r="AD136" s="84" t="s">
        <v>843</v>
      </c>
      <c r="AE136" s="82">
        <v>1</v>
      </c>
      <c r="AF136" s="83" t="str">
        <f>REPLACE(INDEX(GroupVertices[Group],MATCH(Edges[[#This Row],[Vertex 1]],GroupVertices[Vertex],0)),1,1,"")</f>
        <v>6</v>
      </c>
      <c r="AG136" s="83" t="str">
        <f>REPLACE(INDEX(GroupVertices[Group],MATCH(Edges[[#This Row],[Vertex 2]],GroupVertices[Vertex],0)),1,1,"")</f>
        <v>6</v>
      </c>
      <c r="AH136" s="111">
        <v>1</v>
      </c>
      <c r="AI136" s="112">
        <v>4</v>
      </c>
      <c r="AJ136" s="111">
        <v>0</v>
      </c>
      <c r="AK136" s="112">
        <v>0</v>
      </c>
      <c r="AL136" s="111">
        <v>0</v>
      </c>
      <c r="AM136" s="112">
        <v>0</v>
      </c>
      <c r="AN136" s="111">
        <v>24</v>
      </c>
      <c r="AO136" s="112">
        <v>96</v>
      </c>
      <c r="AP136" s="111">
        <v>25</v>
      </c>
    </row>
    <row r="137" spans="1:42" ht="15">
      <c r="A137" s="65" t="s">
        <v>435</v>
      </c>
      <c r="B137" s="65" t="s">
        <v>479</v>
      </c>
      <c r="C137" s="66" t="s">
        <v>1613</v>
      </c>
      <c r="D137" s="67">
        <v>3</v>
      </c>
      <c r="E137" s="68"/>
      <c r="F137" s="69">
        <v>40</v>
      </c>
      <c r="G137" s="66"/>
      <c r="H137" s="70"/>
      <c r="I137" s="71"/>
      <c r="J137" s="71"/>
      <c r="K137" s="35" t="s">
        <v>65</v>
      </c>
      <c r="L137" s="79">
        <v>137</v>
      </c>
      <c r="M137" s="79"/>
      <c r="N137" s="73"/>
      <c r="O137" s="81" t="s">
        <v>481</v>
      </c>
      <c r="P137" s="81" t="s">
        <v>314</v>
      </c>
      <c r="Q137" s="84" t="s">
        <v>618</v>
      </c>
      <c r="R137" s="81" t="s">
        <v>435</v>
      </c>
      <c r="S137" s="81" t="s">
        <v>775</v>
      </c>
      <c r="T137" s="86" t="str">
        <f>HYPERLINK("http://www.youtube.com/channel/UCXMluouhfLoLfPWbA13Naug")</f>
        <v>http://www.youtube.com/channel/UCXMluouhfLoLfPWbA13Naug</v>
      </c>
      <c r="U137" s="81"/>
      <c r="V137" s="81" t="s">
        <v>839</v>
      </c>
      <c r="W137" s="86" t="str">
        <f>HYPERLINK("https://www.youtube.com/watch?v=Ci9JYIJstPY")</f>
        <v>https://www.youtube.com/watch?v=Ci9JYIJstPY</v>
      </c>
      <c r="X137" s="81" t="s">
        <v>840</v>
      </c>
      <c r="Y137" s="81">
        <v>18</v>
      </c>
      <c r="Z137" s="88">
        <v>44322.39613425926</v>
      </c>
      <c r="AA137" s="88">
        <v>44322.39613425926</v>
      </c>
      <c r="AB137" s="81"/>
      <c r="AC137" s="81"/>
      <c r="AD137" s="84" t="s">
        <v>843</v>
      </c>
      <c r="AE137" s="82">
        <v>1</v>
      </c>
      <c r="AF137" s="83" t="str">
        <f>REPLACE(INDEX(GroupVertices[Group],MATCH(Edges[[#This Row],[Vertex 1]],GroupVertices[Vertex],0)),1,1,"")</f>
        <v>6</v>
      </c>
      <c r="AG137" s="83" t="str">
        <f>REPLACE(INDEX(GroupVertices[Group],MATCH(Edges[[#This Row],[Vertex 2]],GroupVertices[Vertex],0)),1,1,"")</f>
        <v>1</v>
      </c>
      <c r="AH137" s="111">
        <v>0</v>
      </c>
      <c r="AI137" s="112">
        <v>0</v>
      </c>
      <c r="AJ137" s="111">
        <v>0</v>
      </c>
      <c r="AK137" s="112">
        <v>0</v>
      </c>
      <c r="AL137" s="111">
        <v>0</v>
      </c>
      <c r="AM137" s="112">
        <v>0</v>
      </c>
      <c r="AN137" s="111">
        <v>20</v>
      </c>
      <c r="AO137" s="112">
        <v>100</v>
      </c>
      <c r="AP137" s="111">
        <v>20</v>
      </c>
    </row>
    <row r="138" spans="1:42" ht="15">
      <c r="A138" s="65" t="s">
        <v>436</v>
      </c>
      <c r="B138" s="65" t="s">
        <v>437</v>
      </c>
      <c r="C138" s="66" t="s">
        <v>1613</v>
      </c>
      <c r="D138" s="67">
        <v>3</v>
      </c>
      <c r="E138" s="68"/>
      <c r="F138" s="69">
        <v>40</v>
      </c>
      <c r="G138" s="66"/>
      <c r="H138" s="70"/>
      <c r="I138" s="71"/>
      <c r="J138" s="71"/>
      <c r="K138" s="35" t="s">
        <v>65</v>
      </c>
      <c r="L138" s="79">
        <v>138</v>
      </c>
      <c r="M138" s="79"/>
      <c r="N138" s="73"/>
      <c r="O138" s="81" t="s">
        <v>482</v>
      </c>
      <c r="P138" s="81" t="s">
        <v>484</v>
      </c>
      <c r="Q138" s="84" t="s">
        <v>619</v>
      </c>
      <c r="R138" s="81" t="s">
        <v>436</v>
      </c>
      <c r="S138" s="81" t="s">
        <v>776</v>
      </c>
      <c r="T138" s="86" t="str">
        <f>HYPERLINK("http://www.youtube.com/channel/UCk4e6mTluJOLbmB8w74YucA")</f>
        <v>http://www.youtube.com/channel/UCk4e6mTluJOLbmB8w74YucA</v>
      </c>
      <c r="U138" s="81" t="s">
        <v>834</v>
      </c>
      <c r="V138" s="81" t="s">
        <v>839</v>
      </c>
      <c r="W138" s="86" t="str">
        <f>HYPERLINK("https://www.youtube.com/watch?v=Ci9JYIJstPY")</f>
        <v>https://www.youtube.com/watch?v=Ci9JYIJstPY</v>
      </c>
      <c r="X138" s="81" t="s">
        <v>840</v>
      </c>
      <c r="Y138" s="81">
        <v>0</v>
      </c>
      <c r="Z138" s="88">
        <v>44322.86876157407</v>
      </c>
      <c r="AA138" s="88">
        <v>44322.86876157407</v>
      </c>
      <c r="AB138" s="81"/>
      <c r="AC138" s="81"/>
      <c r="AD138" s="84" t="s">
        <v>843</v>
      </c>
      <c r="AE138" s="82">
        <v>1</v>
      </c>
      <c r="AF138" s="83" t="str">
        <f>REPLACE(INDEX(GroupVertices[Group],MATCH(Edges[[#This Row],[Vertex 1]],GroupVertices[Vertex],0)),1,1,"")</f>
        <v>14</v>
      </c>
      <c r="AG138" s="83" t="str">
        <f>REPLACE(INDEX(GroupVertices[Group],MATCH(Edges[[#This Row],[Vertex 2]],GroupVertices[Vertex],0)),1,1,"")</f>
        <v>14</v>
      </c>
      <c r="AH138" s="111">
        <v>0</v>
      </c>
      <c r="AI138" s="112">
        <v>0</v>
      </c>
      <c r="AJ138" s="111">
        <v>0</v>
      </c>
      <c r="AK138" s="112">
        <v>0</v>
      </c>
      <c r="AL138" s="111">
        <v>0</v>
      </c>
      <c r="AM138" s="112">
        <v>0</v>
      </c>
      <c r="AN138" s="111">
        <v>0</v>
      </c>
      <c r="AO138" s="112">
        <v>0</v>
      </c>
      <c r="AP138" s="111">
        <v>0</v>
      </c>
    </row>
    <row r="139" spans="1:42" ht="15">
      <c r="A139" s="65" t="s">
        <v>437</v>
      </c>
      <c r="B139" s="65" t="s">
        <v>479</v>
      </c>
      <c r="C139" s="66" t="s">
        <v>1613</v>
      </c>
      <c r="D139" s="67">
        <v>3</v>
      </c>
      <c r="E139" s="68"/>
      <c r="F139" s="69">
        <v>40</v>
      </c>
      <c r="G139" s="66"/>
      <c r="H139" s="70"/>
      <c r="I139" s="71"/>
      <c r="J139" s="71"/>
      <c r="K139" s="35" t="s">
        <v>65</v>
      </c>
      <c r="L139" s="79">
        <v>139</v>
      </c>
      <c r="M139" s="79"/>
      <c r="N139" s="73"/>
      <c r="O139" s="81" t="s">
        <v>481</v>
      </c>
      <c r="P139" s="81" t="s">
        <v>314</v>
      </c>
      <c r="Q139" s="84" t="s">
        <v>620</v>
      </c>
      <c r="R139" s="81" t="s">
        <v>437</v>
      </c>
      <c r="S139" s="81" t="s">
        <v>777</v>
      </c>
      <c r="T139" s="86" t="str">
        <f>HYPERLINK("http://www.youtube.com/channel/UCj2C6wNGxiTT7IXA-sB5F_g")</f>
        <v>http://www.youtube.com/channel/UCj2C6wNGxiTT7IXA-sB5F_g</v>
      </c>
      <c r="U139" s="81"/>
      <c r="V139" s="81" t="s">
        <v>839</v>
      </c>
      <c r="W139" s="86" t="str">
        <f>HYPERLINK("https://www.youtube.com/watch?v=Ci9JYIJstPY")</f>
        <v>https://www.youtube.com/watch?v=Ci9JYIJstPY</v>
      </c>
      <c r="X139" s="81" t="s">
        <v>840</v>
      </c>
      <c r="Y139" s="81">
        <v>1</v>
      </c>
      <c r="Z139" s="88">
        <v>44322.432442129626</v>
      </c>
      <c r="AA139" s="88">
        <v>44322.432442129626</v>
      </c>
      <c r="AB139" s="81"/>
      <c r="AC139" s="81"/>
      <c r="AD139" s="84" t="s">
        <v>843</v>
      </c>
      <c r="AE139" s="82">
        <v>1</v>
      </c>
      <c r="AF139" s="83" t="str">
        <f>REPLACE(INDEX(GroupVertices[Group],MATCH(Edges[[#This Row],[Vertex 1]],GroupVertices[Vertex],0)),1,1,"")</f>
        <v>14</v>
      </c>
      <c r="AG139" s="83" t="str">
        <f>REPLACE(INDEX(GroupVertices[Group],MATCH(Edges[[#This Row],[Vertex 2]],GroupVertices[Vertex],0)),1,1,"")</f>
        <v>1</v>
      </c>
      <c r="AH139" s="111">
        <v>1</v>
      </c>
      <c r="AI139" s="112">
        <v>2.5</v>
      </c>
      <c r="AJ139" s="111">
        <v>2</v>
      </c>
      <c r="AK139" s="112">
        <v>5</v>
      </c>
      <c r="AL139" s="111">
        <v>0</v>
      </c>
      <c r="AM139" s="112">
        <v>0</v>
      </c>
      <c r="AN139" s="111">
        <v>37</v>
      </c>
      <c r="AO139" s="112">
        <v>92.5</v>
      </c>
      <c r="AP139" s="111">
        <v>40</v>
      </c>
    </row>
    <row r="140" spans="1:42" ht="15">
      <c r="A140" s="65" t="s">
        <v>438</v>
      </c>
      <c r="B140" s="65" t="s">
        <v>479</v>
      </c>
      <c r="C140" s="66" t="s">
        <v>1614</v>
      </c>
      <c r="D140" s="67">
        <v>3</v>
      </c>
      <c r="E140" s="68"/>
      <c r="F140" s="69">
        <v>40</v>
      </c>
      <c r="G140" s="66"/>
      <c r="H140" s="70"/>
      <c r="I140" s="71"/>
      <c r="J140" s="71"/>
      <c r="K140" s="35" t="s">
        <v>65</v>
      </c>
      <c r="L140" s="79">
        <v>140</v>
      </c>
      <c r="M140" s="79"/>
      <c r="N140" s="73"/>
      <c r="O140" s="81" t="s">
        <v>481</v>
      </c>
      <c r="P140" s="81" t="s">
        <v>314</v>
      </c>
      <c r="Q140" s="84" t="s">
        <v>621</v>
      </c>
      <c r="R140" s="81" t="s">
        <v>438</v>
      </c>
      <c r="S140" s="81" t="s">
        <v>778</v>
      </c>
      <c r="T140" s="86" t="str">
        <f>HYPERLINK("http://www.youtube.com/channel/UCA7xKJlipwbl4J5Qlpgu7Lw")</f>
        <v>http://www.youtube.com/channel/UCA7xKJlipwbl4J5Qlpgu7Lw</v>
      </c>
      <c r="U140" s="81"/>
      <c r="V140" s="81" t="s">
        <v>839</v>
      </c>
      <c r="W140" s="86" t="str">
        <f>HYPERLINK("https://www.youtube.com/watch?v=Ci9JYIJstPY")</f>
        <v>https://www.youtube.com/watch?v=Ci9JYIJstPY</v>
      </c>
      <c r="X140" s="81" t="s">
        <v>840</v>
      </c>
      <c r="Y140" s="81">
        <v>0</v>
      </c>
      <c r="Z140" s="88">
        <v>44322.43824074074</v>
      </c>
      <c r="AA140" s="88">
        <v>44322.43824074074</v>
      </c>
      <c r="AB140" s="81"/>
      <c r="AC140" s="81"/>
      <c r="AD140" s="84" t="s">
        <v>843</v>
      </c>
      <c r="AE140" s="82">
        <v>2</v>
      </c>
      <c r="AF140" s="83" t="str">
        <f>REPLACE(INDEX(GroupVertices[Group],MATCH(Edges[[#This Row],[Vertex 1]],GroupVertices[Vertex],0)),1,1,"")</f>
        <v>1</v>
      </c>
      <c r="AG140" s="83" t="str">
        <f>REPLACE(INDEX(GroupVertices[Group],MATCH(Edges[[#This Row],[Vertex 2]],GroupVertices[Vertex],0)),1,1,"")</f>
        <v>1</v>
      </c>
      <c r="AH140" s="111">
        <v>0</v>
      </c>
      <c r="AI140" s="112">
        <v>0</v>
      </c>
      <c r="AJ140" s="111">
        <v>0</v>
      </c>
      <c r="AK140" s="112">
        <v>0</v>
      </c>
      <c r="AL140" s="111">
        <v>0</v>
      </c>
      <c r="AM140" s="112">
        <v>0</v>
      </c>
      <c r="AN140" s="111">
        <v>0</v>
      </c>
      <c r="AO140" s="112">
        <v>0</v>
      </c>
      <c r="AP140" s="111">
        <v>0</v>
      </c>
    </row>
    <row r="141" spans="1:42" ht="15">
      <c r="A141" s="65" t="s">
        <v>438</v>
      </c>
      <c r="B141" s="65" t="s">
        <v>479</v>
      </c>
      <c r="C141" s="66" t="s">
        <v>1614</v>
      </c>
      <c r="D141" s="67">
        <v>3</v>
      </c>
      <c r="E141" s="68"/>
      <c r="F141" s="69">
        <v>40</v>
      </c>
      <c r="G141" s="66"/>
      <c r="H141" s="70"/>
      <c r="I141" s="71"/>
      <c r="J141" s="71"/>
      <c r="K141" s="35" t="s">
        <v>65</v>
      </c>
      <c r="L141" s="79">
        <v>141</v>
      </c>
      <c r="M141" s="79"/>
      <c r="N141" s="73"/>
      <c r="O141" s="81" t="s">
        <v>481</v>
      </c>
      <c r="P141" s="81" t="s">
        <v>314</v>
      </c>
      <c r="Q141" s="84" t="s">
        <v>622</v>
      </c>
      <c r="R141" s="81" t="s">
        <v>438</v>
      </c>
      <c r="S141" s="81" t="s">
        <v>778</v>
      </c>
      <c r="T141" s="86" t="str">
        <f>HYPERLINK("http://www.youtube.com/channel/UCA7xKJlipwbl4J5Qlpgu7Lw")</f>
        <v>http://www.youtube.com/channel/UCA7xKJlipwbl4J5Qlpgu7Lw</v>
      </c>
      <c r="U141" s="81"/>
      <c r="V141" s="81" t="s">
        <v>839</v>
      </c>
      <c r="W141" s="86" t="str">
        <f>HYPERLINK("https://www.youtube.com/watch?v=Ci9JYIJstPY")</f>
        <v>https://www.youtube.com/watch?v=Ci9JYIJstPY</v>
      </c>
      <c r="X141" s="81" t="s">
        <v>840</v>
      </c>
      <c r="Y141" s="81">
        <v>0</v>
      </c>
      <c r="Z141" s="88">
        <v>44322.4399537037</v>
      </c>
      <c r="AA141" s="88">
        <v>44322.4399537037</v>
      </c>
      <c r="AB141" s="81"/>
      <c r="AC141" s="81"/>
      <c r="AD141" s="84" t="s">
        <v>843</v>
      </c>
      <c r="AE141" s="82">
        <v>2</v>
      </c>
      <c r="AF141" s="83" t="str">
        <f>REPLACE(INDEX(GroupVertices[Group],MATCH(Edges[[#This Row],[Vertex 1]],GroupVertices[Vertex],0)),1,1,"")</f>
        <v>1</v>
      </c>
      <c r="AG141" s="83" t="str">
        <f>REPLACE(INDEX(GroupVertices[Group],MATCH(Edges[[#This Row],[Vertex 2]],GroupVertices[Vertex],0)),1,1,"")</f>
        <v>1</v>
      </c>
      <c r="AH141" s="111">
        <v>1</v>
      </c>
      <c r="AI141" s="112">
        <v>16.666666666666668</v>
      </c>
      <c r="AJ141" s="111">
        <v>1</v>
      </c>
      <c r="AK141" s="112">
        <v>16.666666666666668</v>
      </c>
      <c r="AL141" s="111">
        <v>0</v>
      </c>
      <c r="AM141" s="112">
        <v>0</v>
      </c>
      <c r="AN141" s="111">
        <v>5</v>
      </c>
      <c r="AO141" s="112">
        <v>83.33333333333333</v>
      </c>
      <c r="AP141" s="111">
        <v>6</v>
      </c>
    </row>
    <row r="142" spans="1:42" ht="15">
      <c r="A142" s="65" t="s">
        <v>439</v>
      </c>
      <c r="B142" s="65" t="s">
        <v>479</v>
      </c>
      <c r="C142" s="66" t="s">
        <v>1613</v>
      </c>
      <c r="D142" s="67">
        <v>3</v>
      </c>
      <c r="E142" s="68"/>
      <c r="F142" s="69">
        <v>40</v>
      </c>
      <c r="G142" s="66"/>
      <c r="H142" s="70"/>
      <c r="I142" s="71"/>
      <c r="J142" s="71"/>
      <c r="K142" s="35" t="s">
        <v>65</v>
      </c>
      <c r="L142" s="79">
        <v>142</v>
      </c>
      <c r="M142" s="79"/>
      <c r="N142" s="73"/>
      <c r="O142" s="81" t="s">
        <v>481</v>
      </c>
      <c r="P142" s="81" t="s">
        <v>314</v>
      </c>
      <c r="Q142" s="84" t="s">
        <v>623</v>
      </c>
      <c r="R142" s="81" t="s">
        <v>439</v>
      </c>
      <c r="S142" s="81" t="s">
        <v>779</v>
      </c>
      <c r="T142" s="86" t="str">
        <f>HYPERLINK("http://www.youtube.com/channel/UCb7ZSD7d-o5WY32SbQprO-w")</f>
        <v>http://www.youtube.com/channel/UCb7ZSD7d-o5WY32SbQprO-w</v>
      </c>
      <c r="U142" s="81"/>
      <c r="V142" s="81" t="s">
        <v>839</v>
      </c>
      <c r="W142" s="86" t="str">
        <f>HYPERLINK("https://www.youtube.com/watch?v=Ci9JYIJstPY")</f>
        <v>https://www.youtube.com/watch?v=Ci9JYIJstPY</v>
      </c>
      <c r="X142" s="81" t="s">
        <v>840</v>
      </c>
      <c r="Y142" s="81">
        <v>1</v>
      </c>
      <c r="Z142" s="88">
        <v>44322.44127314815</v>
      </c>
      <c r="AA142" s="88">
        <v>44322.44127314815</v>
      </c>
      <c r="AB142" s="81"/>
      <c r="AC142" s="81"/>
      <c r="AD142" s="84" t="s">
        <v>843</v>
      </c>
      <c r="AE142" s="82">
        <v>1</v>
      </c>
      <c r="AF142" s="83" t="str">
        <f>REPLACE(INDEX(GroupVertices[Group],MATCH(Edges[[#This Row],[Vertex 1]],GroupVertices[Vertex],0)),1,1,"")</f>
        <v>1</v>
      </c>
      <c r="AG142" s="83" t="str">
        <f>REPLACE(INDEX(GroupVertices[Group],MATCH(Edges[[#This Row],[Vertex 2]],GroupVertices[Vertex],0)),1,1,"")</f>
        <v>1</v>
      </c>
      <c r="AH142" s="111">
        <v>0</v>
      </c>
      <c r="AI142" s="112">
        <v>0</v>
      </c>
      <c r="AJ142" s="111">
        <v>0</v>
      </c>
      <c r="AK142" s="112">
        <v>0</v>
      </c>
      <c r="AL142" s="111">
        <v>0</v>
      </c>
      <c r="AM142" s="112">
        <v>0</v>
      </c>
      <c r="AN142" s="111">
        <v>1</v>
      </c>
      <c r="AO142" s="112">
        <v>100</v>
      </c>
      <c r="AP142" s="111">
        <v>1</v>
      </c>
    </row>
    <row r="143" spans="1:42" ht="15">
      <c r="A143" s="65" t="s">
        <v>440</v>
      </c>
      <c r="B143" s="65" t="s">
        <v>479</v>
      </c>
      <c r="C143" s="66" t="s">
        <v>1613</v>
      </c>
      <c r="D143" s="67">
        <v>3</v>
      </c>
      <c r="E143" s="68"/>
      <c r="F143" s="69">
        <v>40</v>
      </c>
      <c r="G143" s="66"/>
      <c r="H143" s="70"/>
      <c r="I143" s="71"/>
      <c r="J143" s="71"/>
      <c r="K143" s="35" t="s">
        <v>65</v>
      </c>
      <c r="L143" s="79">
        <v>143</v>
      </c>
      <c r="M143" s="79"/>
      <c r="N143" s="73"/>
      <c r="O143" s="81" t="s">
        <v>481</v>
      </c>
      <c r="P143" s="81" t="s">
        <v>314</v>
      </c>
      <c r="Q143" s="84" t="s">
        <v>624</v>
      </c>
      <c r="R143" s="81" t="s">
        <v>440</v>
      </c>
      <c r="S143" s="81" t="s">
        <v>780</v>
      </c>
      <c r="T143" s="86" t="str">
        <f>HYPERLINK("http://www.youtube.com/channel/UCia0k6WxnqiEsRnM2OZ4bfQ")</f>
        <v>http://www.youtube.com/channel/UCia0k6WxnqiEsRnM2OZ4bfQ</v>
      </c>
      <c r="U143" s="81"/>
      <c r="V143" s="81" t="s">
        <v>839</v>
      </c>
      <c r="W143" s="86" t="str">
        <f>HYPERLINK("https://www.youtube.com/watch?v=Ci9JYIJstPY")</f>
        <v>https://www.youtube.com/watch?v=Ci9JYIJstPY</v>
      </c>
      <c r="X143" s="81" t="s">
        <v>840</v>
      </c>
      <c r="Y143" s="81">
        <v>0</v>
      </c>
      <c r="Z143" s="88">
        <v>44322.44875</v>
      </c>
      <c r="AA143" s="88">
        <v>44322.44875</v>
      </c>
      <c r="AB143" s="81"/>
      <c r="AC143" s="81"/>
      <c r="AD143" s="84" t="s">
        <v>843</v>
      </c>
      <c r="AE143" s="82">
        <v>1</v>
      </c>
      <c r="AF143" s="83" t="str">
        <f>REPLACE(INDEX(GroupVertices[Group],MATCH(Edges[[#This Row],[Vertex 1]],GroupVertices[Vertex],0)),1,1,"")</f>
        <v>1</v>
      </c>
      <c r="AG143" s="83" t="str">
        <f>REPLACE(INDEX(GroupVertices[Group],MATCH(Edges[[#This Row],[Vertex 2]],GroupVertices[Vertex],0)),1,1,"")</f>
        <v>1</v>
      </c>
      <c r="AH143" s="111">
        <v>1</v>
      </c>
      <c r="AI143" s="112">
        <v>11.11111111111111</v>
      </c>
      <c r="AJ143" s="111">
        <v>1</v>
      </c>
      <c r="AK143" s="112">
        <v>11.11111111111111</v>
      </c>
      <c r="AL143" s="111">
        <v>0</v>
      </c>
      <c r="AM143" s="112">
        <v>0</v>
      </c>
      <c r="AN143" s="111">
        <v>7</v>
      </c>
      <c r="AO143" s="112">
        <v>77.77777777777777</v>
      </c>
      <c r="AP143" s="111">
        <v>9</v>
      </c>
    </row>
    <row r="144" spans="1:42" ht="15">
      <c r="A144" s="65" t="s">
        <v>441</v>
      </c>
      <c r="B144" s="65" t="s">
        <v>479</v>
      </c>
      <c r="C144" s="66" t="s">
        <v>1613</v>
      </c>
      <c r="D144" s="67">
        <v>3</v>
      </c>
      <c r="E144" s="68"/>
      <c r="F144" s="69">
        <v>40</v>
      </c>
      <c r="G144" s="66"/>
      <c r="H144" s="70"/>
      <c r="I144" s="71"/>
      <c r="J144" s="71"/>
      <c r="K144" s="35" t="s">
        <v>65</v>
      </c>
      <c r="L144" s="79">
        <v>144</v>
      </c>
      <c r="M144" s="79"/>
      <c r="N144" s="73"/>
      <c r="O144" s="81" t="s">
        <v>481</v>
      </c>
      <c r="P144" s="81" t="s">
        <v>314</v>
      </c>
      <c r="Q144" s="84" t="s">
        <v>625</v>
      </c>
      <c r="R144" s="81" t="s">
        <v>441</v>
      </c>
      <c r="S144" s="81" t="s">
        <v>781</v>
      </c>
      <c r="T144" s="86" t="str">
        <f>HYPERLINK("http://www.youtube.com/channel/UCsKp3c6Rc5snyNBpBY2focg")</f>
        <v>http://www.youtube.com/channel/UCsKp3c6Rc5snyNBpBY2focg</v>
      </c>
      <c r="U144" s="81"/>
      <c r="V144" s="81" t="s">
        <v>839</v>
      </c>
      <c r="W144" s="86" t="str">
        <f>HYPERLINK("https://www.youtube.com/watch?v=Ci9JYIJstPY")</f>
        <v>https://www.youtube.com/watch?v=Ci9JYIJstPY</v>
      </c>
      <c r="X144" s="81" t="s">
        <v>840</v>
      </c>
      <c r="Y144" s="81">
        <v>0</v>
      </c>
      <c r="Z144" s="88">
        <v>44322.49248842592</v>
      </c>
      <c r="AA144" s="88">
        <v>44322.49248842592</v>
      </c>
      <c r="AB144" s="81"/>
      <c r="AC144" s="81"/>
      <c r="AD144" s="84" t="s">
        <v>843</v>
      </c>
      <c r="AE144" s="82">
        <v>1</v>
      </c>
      <c r="AF144" s="83" t="str">
        <f>REPLACE(INDEX(GroupVertices[Group],MATCH(Edges[[#This Row],[Vertex 1]],GroupVertices[Vertex],0)),1,1,"")</f>
        <v>1</v>
      </c>
      <c r="AG144" s="83" t="str">
        <f>REPLACE(INDEX(GroupVertices[Group],MATCH(Edges[[#This Row],[Vertex 2]],GroupVertices[Vertex],0)),1,1,"")</f>
        <v>1</v>
      </c>
      <c r="AH144" s="111">
        <v>10</v>
      </c>
      <c r="AI144" s="112">
        <v>4.149377593360996</v>
      </c>
      <c r="AJ144" s="111">
        <v>16</v>
      </c>
      <c r="AK144" s="112">
        <v>6.639004149377594</v>
      </c>
      <c r="AL144" s="111">
        <v>0</v>
      </c>
      <c r="AM144" s="112">
        <v>0</v>
      </c>
      <c r="AN144" s="111">
        <v>220</v>
      </c>
      <c r="AO144" s="112">
        <v>91.28630705394191</v>
      </c>
      <c r="AP144" s="111">
        <v>241</v>
      </c>
    </row>
    <row r="145" spans="1:42" ht="15">
      <c r="A145" s="65" t="s">
        <v>442</v>
      </c>
      <c r="B145" s="65" t="s">
        <v>479</v>
      </c>
      <c r="C145" s="66" t="s">
        <v>1614</v>
      </c>
      <c r="D145" s="67">
        <v>3</v>
      </c>
      <c r="E145" s="68"/>
      <c r="F145" s="69">
        <v>40</v>
      </c>
      <c r="G145" s="66"/>
      <c r="H145" s="70"/>
      <c r="I145" s="71"/>
      <c r="J145" s="71"/>
      <c r="K145" s="35" t="s">
        <v>65</v>
      </c>
      <c r="L145" s="79">
        <v>145</v>
      </c>
      <c r="M145" s="79"/>
      <c r="N145" s="73"/>
      <c r="O145" s="81" t="s">
        <v>481</v>
      </c>
      <c r="P145" s="81" t="s">
        <v>314</v>
      </c>
      <c r="Q145" s="84" t="s">
        <v>626</v>
      </c>
      <c r="R145" s="81" t="s">
        <v>442</v>
      </c>
      <c r="S145" s="81" t="s">
        <v>782</v>
      </c>
      <c r="T145" s="86" t="str">
        <f>HYPERLINK("http://www.youtube.com/channel/UCqz3D5OY3-qNGd0YB2WylUQ")</f>
        <v>http://www.youtube.com/channel/UCqz3D5OY3-qNGd0YB2WylUQ</v>
      </c>
      <c r="U145" s="81"/>
      <c r="V145" s="81" t="s">
        <v>839</v>
      </c>
      <c r="W145" s="86" t="str">
        <f>HYPERLINK("https://www.youtube.com/watch?v=Ci9JYIJstPY")</f>
        <v>https://www.youtube.com/watch?v=Ci9JYIJstPY</v>
      </c>
      <c r="X145" s="81" t="s">
        <v>840</v>
      </c>
      <c r="Y145" s="81">
        <v>0</v>
      </c>
      <c r="Z145" s="88">
        <v>44322.48496527778</v>
      </c>
      <c r="AA145" s="88">
        <v>44322.48496527778</v>
      </c>
      <c r="AB145" s="81"/>
      <c r="AC145" s="81"/>
      <c r="AD145" s="84" t="s">
        <v>843</v>
      </c>
      <c r="AE145" s="82">
        <v>2</v>
      </c>
      <c r="AF145" s="83" t="str">
        <f>REPLACE(INDEX(GroupVertices[Group],MATCH(Edges[[#This Row],[Vertex 1]],GroupVertices[Vertex],0)),1,1,"")</f>
        <v>1</v>
      </c>
      <c r="AG145" s="83" t="str">
        <f>REPLACE(INDEX(GroupVertices[Group],MATCH(Edges[[#This Row],[Vertex 2]],GroupVertices[Vertex],0)),1,1,"")</f>
        <v>1</v>
      </c>
      <c r="AH145" s="111">
        <v>2</v>
      </c>
      <c r="AI145" s="112">
        <v>4.878048780487805</v>
      </c>
      <c r="AJ145" s="111">
        <v>8</v>
      </c>
      <c r="AK145" s="112">
        <v>19.51219512195122</v>
      </c>
      <c r="AL145" s="111">
        <v>0</v>
      </c>
      <c r="AM145" s="112">
        <v>0</v>
      </c>
      <c r="AN145" s="111">
        <v>33</v>
      </c>
      <c r="AO145" s="112">
        <v>80.48780487804878</v>
      </c>
      <c r="AP145" s="111">
        <v>41</v>
      </c>
    </row>
    <row r="146" spans="1:42" ht="15">
      <c r="A146" s="65" t="s">
        <v>442</v>
      </c>
      <c r="B146" s="65" t="s">
        <v>479</v>
      </c>
      <c r="C146" s="66" t="s">
        <v>1614</v>
      </c>
      <c r="D146" s="67">
        <v>3</v>
      </c>
      <c r="E146" s="68"/>
      <c r="F146" s="69">
        <v>40</v>
      </c>
      <c r="G146" s="66"/>
      <c r="H146" s="70"/>
      <c r="I146" s="71"/>
      <c r="J146" s="71"/>
      <c r="K146" s="35" t="s">
        <v>65</v>
      </c>
      <c r="L146" s="79">
        <v>146</v>
      </c>
      <c r="M146" s="79"/>
      <c r="N146" s="73"/>
      <c r="O146" s="81" t="s">
        <v>481</v>
      </c>
      <c r="P146" s="81" t="s">
        <v>314</v>
      </c>
      <c r="Q146" s="84" t="s">
        <v>627</v>
      </c>
      <c r="R146" s="81" t="s">
        <v>442</v>
      </c>
      <c r="S146" s="81" t="s">
        <v>782</v>
      </c>
      <c r="T146" s="86" t="str">
        <f>HYPERLINK("http://www.youtube.com/channel/UCqz3D5OY3-qNGd0YB2WylUQ")</f>
        <v>http://www.youtube.com/channel/UCqz3D5OY3-qNGd0YB2WylUQ</v>
      </c>
      <c r="U146" s="81"/>
      <c r="V146" s="81" t="s">
        <v>839</v>
      </c>
      <c r="W146" s="86" t="str">
        <f>HYPERLINK("https://www.youtube.com/watch?v=Ci9JYIJstPY")</f>
        <v>https://www.youtube.com/watch?v=Ci9JYIJstPY</v>
      </c>
      <c r="X146" s="81" t="s">
        <v>840</v>
      </c>
      <c r="Y146" s="81">
        <v>0</v>
      </c>
      <c r="Z146" s="88">
        <v>44322.49297453704</v>
      </c>
      <c r="AA146" s="88">
        <v>44322.49297453704</v>
      </c>
      <c r="AB146" s="81"/>
      <c r="AC146" s="81"/>
      <c r="AD146" s="84" t="s">
        <v>843</v>
      </c>
      <c r="AE146" s="82">
        <v>2</v>
      </c>
      <c r="AF146" s="83" t="str">
        <f>REPLACE(INDEX(GroupVertices[Group],MATCH(Edges[[#This Row],[Vertex 1]],GroupVertices[Vertex],0)),1,1,"")</f>
        <v>1</v>
      </c>
      <c r="AG146" s="83" t="str">
        <f>REPLACE(INDEX(GroupVertices[Group],MATCH(Edges[[#This Row],[Vertex 2]],GroupVertices[Vertex],0)),1,1,"")</f>
        <v>1</v>
      </c>
      <c r="AH146" s="111">
        <v>9</v>
      </c>
      <c r="AI146" s="112">
        <v>7.086614173228346</v>
      </c>
      <c r="AJ146" s="111">
        <v>9</v>
      </c>
      <c r="AK146" s="112">
        <v>7.086614173228346</v>
      </c>
      <c r="AL146" s="111">
        <v>0</v>
      </c>
      <c r="AM146" s="112">
        <v>0</v>
      </c>
      <c r="AN146" s="111">
        <v>116</v>
      </c>
      <c r="AO146" s="112">
        <v>91.33858267716535</v>
      </c>
      <c r="AP146" s="111">
        <v>127</v>
      </c>
    </row>
    <row r="147" spans="1:42" ht="15">
      <c r="A147" s="65" t="s">
        <v>443</v>
      </c>
      <c r="B147" s="65" t="s">
        <v>444</v>
      </c>
      <c r="C147" s="66" t="s">
        <v>1613</v>
      </c>
      <c r="D147" s="67">
        <v>3</v>
      </c>
      <c r="E147" s="68"/>
      <c r="F147" s="69">
        <v>40</v>
      </c>
      <c r="G147" s="66"/>
      <c r="H147" s="70"/>
      <c r="I147" s="71"/>
      <c r="J147" s="71"/>
      <c r="K147" s="35" t="s">
        <v>65</v>
      </c>
      <c r="L147" s="79">
        <v>147</v>
      </c>
      <c r="M147" s="79"/>
      <c r="N147" s="73"/>
      <c r="O147" s="81" t="s">
        <v>482</v>
      </c>
      <c r="P147" s="81" t="s">
        <v>484</v>
      </c>
      <c r="Q147" s="84" t="s">
        <v>628</v>
      </c>
      <c r="R147" s="81" t="s">
        <v>443</v>
      </c>
      <c r="S147" s="81" t="s">
        <v>783</v>
      </c>
      <c r="T147" s="86" t="str">
        <f>HYPERLINK("http://www.youtube.com/channel/UCdjNuIJY0vkpkTvXabR808A")</f>
        <v>http://www.youtube.com/channel/UCdjNuIJY0vkpkTvXabR808A</v>
      </c>
      <c r="U147" s="81" t="s">
        <v>835</v>
      </c>
      <c r="V147" s="81" t="s">
        <v>839</v>
      </c>
      <c r="W147" s="86" t="str">
        <f>HYPERLINK("https://www.youtube.com/watch?v=Ci9JYIJstPY")</f>
        <v>https://www.youtube.com/watch?v=Ci9JYIJstPY</v>
      </c>
      <c r="X147" s="81" t="s">
        <v>840</v>
      </c>
      <c r="Y147" s="81">
        <v>1</v>
      </c>
      <c r="Z147" s="88">
        <v>44322.529282407406</v>
      </c>
      <c r="AA147" s="88">
        <v>44322.529282407406</v>
      </c>
      <c r="AB147" s="81"/>
      <c r="AC147" s="81"/>
      <c r="AD147" s="84" t="s">
        <v>843</v>
      </c>
      <c r="AE147" s="82">
        <v>1</v>
      </c>
      <c r="AF147" s="83" t="str">
        <f>REPLACE(INDEX(GroupVertices[Group],MATCH(Edges[[#This Row],[Vertex 1]],GroupVertices[Vertex],0)),1,1,"")</f>
        <v>13</v>
      </c>
      <c r="AG147" s="83" t="str">
        <f>REPLACE(INDEX(GroupVertices[Group],MATCH(Edges[[#This Row],[Vertex 2]],GroupVertices[Vertex],0)),1,1,"")</f>
        <v>13</v>
      </c>
      <c r="AH147" s="111">
        <v>0</v>
      </c>
      <c r="AI147" s="112">
        <v>0</v>
      </c>
      <c r="AJ147" s="111">
        <v>0</v>
      </c>
      <c r="AK147" s="112">
        <v>0</v>
      </c>
      <c r="AL147" s="111">
        <v>0</v>
      </c>
      <c r="AM147" s="112">
        <v>0</v>
      </c>
      <c r="AN147" s="111">
        <v>8</v>
      </c>
      <c r="AO147" s="112">
        <v>100</v>
      </c>
      <c r="AP147" s="111">
        <v>8</v>
      </c>
    </row>
    <row r="148" spans="1:42" ht="15">
      <c r="A148" s="65" t="s">
        <v>444</v>
      </c>
      <c r="B148" s="65" t="s">
        <v>444</v>
      </c>
      <c r="C148" s="66" t="s">
        <v>1613</v>
      </c>
      <c r="D148" s="67">
        <v>3</v>
      </c>
      <c r="E148" s="68"/>
      <c r="F148" s="69">
        <v>40</v>
      </c>
      <c r="G148" s="66"/>
      <c r="H148" s="70"/>
      <c r="I148" s="71"/>
      <c r="J148" s="71"/>
      <c r="K148" s="35" t="s">
        <v>65</v>
      </c>
      <c r="L148" s="79">
        <v>148</v>
      </c>
      <c r="M148" s="79"/>
      <c r="N148" s="73"/>
      <c r="O148" s="81" t="s">
        <v>482</v>
      </c>
      <c r="P148" s="81" t="s">
        <v>484</v>
      </c>
      <c r="Q148" s="84" t="s">
        <v>629</v>
      </c>
      <c r="R148" s="81" t="s">
        <v>444</v>
      </c>
      <c r="S148" s="81" t="s">
        <v>784</v>
      </c>
      <c r="T148" s="86" t="str">
        <f>HYPERLINK("http://www.youtube.com/channel/UC_2poQCdUPlEGvNNFg7-9Lg")</f>
        <v>http://www.youtube.com/channel/UC_2poQCdUPlEGvNNFg7-9Lg</v>
      </c>
      <c r="U148" s="81" t="s">
        <v>835</v>
      </c>
      <c r="V148" s="81" t="s">
        <v>839</v>
      </c>
      <c r="W148" s="86" t="str">
        <f>HYPERLINK("https://www.youtube.com/watch?v=Ci9JYIJstPY")</f>
        <v>https://www.youtube.com/watch?v=Ci9JYIJstPY</v>
      </c>
      <c r="X148" s="81" t="s">
        <v>840</v>
      </c>
      <c r="Y148" s="81">
        <v>0</v>
      </c>
      <c r="Z148" s="88">
        <v>44322.67140046296</v>
      </c>
      <c r="AA148" s="88">
        <v>44322.67140046296</v>
      </c>
      <c r="AB148" s="81"/>
      <c r="AC148" s="81"/>
      <c r="AD148" s="84" t="s">
        <v>843</v>
      </c>
      <c r="AE148" s="82">
        <v>1</v>
      </c>
      <c r="AF148" s="83" t="str">
        <f>REPLACE(INDEX(GroupVertices[Group],MATCH(Edges[[#This Row],[Vertex 1]],GroupVertices[Vertex],0)),1,1,"")</f>
        <v>13</v>
      </c>
      <c r="AG148" s="83" t="str">
        <f>REPLACE(INDEX(GroupVertices[Group],MATCH(Edges[[#This Row],[Vertex 2]],GroupVertices[Vertex],0)),1,1,"")</f>
        <v>13</v>
      </c>
      <c r="AH148" s="111">
        <v>1</v>
      </c>
      <c r="AI148" s="112">
        <v>33.333333333333336</v>
      </c>
      <c r="AJ148" s="111">
        <v>0</v>
      </c>
      <c r="AK148" s="112">
        <v>0</v>
      </c>
      <c r="AL148" s="111">
        <v>0</v>
      </c>
      <c r="AM148" s="112">
        <v>0</v>
      </c>
      <c r="AN148" s="111">
        <v>2</v>
      </c>
      <c r="AO148" s="112">
        <v>66.66666666666667</v>
      </c>
      <c r="AP148" s="111">
        <v>3</v>
      </c>
    </row>
    <row r="149" spans="1:42" ht="15">
      <c r="A149" s="65" t="s">
        <v>444</v>
      </c>
      <c r="B149" s="65" t="s">
        <v>479</v>
      </c>
      <c r="C149" s="66" t="s">
        <v>1613</v>
      </c>
      <c r="D149" s="67">
        <v>3</v>
      </c>
      <c r="E149" s="68"/>
      <c r="F149" s="69">
        <v>40</v>
      </c>
      <c r="G149" s="66"/>
      <c r="H149" s="70"/>
      <c r="I149" s="71"/>
      <c r="J149" s="71"/>
      <c r="K149" s="35" t="s">
        <v>65</v>
      </c>
      <c r="L149" s="79">
        <v>149</v>
      </c>
      <c r="M149" s="79"/>
      <c r="N149" s="73"/>
      <c r="O149" s="81" t="s">
        <v>481</v>
      </c>
      <c r="P149" s="81" t="s">
        <v>314</v>
      </c>
      <c r="Q149" s="84" t="s">
        <v>630</v>
      </c>
      <c r="R149" s="81" t="s">
        <v>444</v>
      </c>
      <c r="S149" s="81" t="s">
        <v>784</v>
      </c>
      <c r="T149" s="86" t="str">
        <f>HYPERLINK("http://www.youtube.com/channel/UC_2poQCdUPlEGvNNFg7-9Lg")</f>
        <v>http://www.youtube.com/channel/UC_2poQCdUPlEGvNNFg7-9Lg</v>
      </c>
      <c r="U149" s="81"/>
      <c r="V149" s="81" t="s">
        <v>839</v>
      </c>
      <c r="W149" s="86" t="str">
        <f>HYPERLINK("https://www.youtube.com/watch?v=Ci9JYIJstPY")</f>
        <v>https://www.youtube.com/watch?v=Ci9JYIJstPY</v>
      </c>
      <c r="X149" s="81" t="s">
        <v>840</v>
      </c>
      <c r="Y149" s="81">
        <v>0</v>
      </c>
      <c r="Z149" s="88">
        <v>44322.508368055554</v>
      </c>
      <c r="AA149" s="88">
        <v>44322.508368055554</v>
      </c>
      <c r="AB149" s="81"/>
      <c r="AC149" s="81"/>
      <c r="AD149" s="84" t="s">
        <v>843</v>
      </c>
      <c r="AE149" s="82">
        <v>1</v>
      </c>
      <c r="AF149" s="83" t="str">
        <f>REPLACE(INDEX(GroupVertices[Group],MATCH(Edges[[#This Row],[Vertex 1]],GroupVertices[Vertex],0)),1,1,"")</f>
        <v>13</v>
      </c>
      <c r="AG149" s="83" t="str">
        <f>REPLACE(INDEX(GroupVertices[Group],MATCH(Edges[[#This Row],[Vertex 2]],GroupVertices[Vertex],0)),1,1,"")</f>
        <v>1</v>
      </c>
      <c r="AH149" s="111">
        <v>0</v>
      </c>
      <c r="AI149" s="112">
        <v>0</v>
      </c>
      <c r="AJ149" s="111">
        <v>0</v>
      </c>
      <c r="AK149" s="112">
        <v>0</v>
      </c>
      <c r="AL149" s="111">
        <v>0</v>
      </c>
      <c r="AM149" s="112">
        <v>0</v>
      </c>
      <c r="AN149" s="111">
        <v>13</v>
      </c>
      <c r="AO149" s="112">
        <v>100</v>
      </c>
      <c r="AP149" s="111">
        <v>13</v>
      </c>
    </row>
    <row r="150" spans="1:42" ht="15">
      <c r="A150" s="65" t="s">
        <v>445</v>
      </c>
      <c r="B150" s="65" t="s">
        <v>446</v>
      </c>
      <c r="C150" s="66" t="s">
        <v>1613</v>
      </c>
      <c r="D150" s="67">
        <v>3</v>
      </c>
      <c r="E150" s="68"/>
      <c r="F150" s="69">
        <v>40</v>
      </c>
      <c r="G150" s="66"/>
      <c r="H150" s="70"/>
      <c r="I150" s="71"/>
      <c r="J150" s="71"/>
      <c r="K150" s="35" t="s">
        <v>65</v>
      </c>
      <c r="L150" s="79">
        <v>150</v>
      </c>
      <c r="M150" s="79"/>
      <c r="N150" s="73"/>
      <c r="O150" s="81" t="s">
        <v>482</v>
      </c>
      <c r="P150" s="81" t="s">
        <v>484</v>
      </c>
      <c r="Q150" s="84" t="s">
        <v>631</v>
      </c>
      <c r="R150" s="81" t="s">
        <v>445</v>
      </c>
      <c r="S150" s="81" t="s">
        <v>785</v>
      </c>
      <c r="T150" s="86" t="str">
        <f>HYPERLINK("http://www.youtube.com/channel/UCVwViq0CL8a65VDA-kpwchw")</f>
        <v>http://www.youtube.com/channel/UCVwViq0CL8a65VDA-kpwchw</v>
      </c>
      <c r="U150" s="81" t="s">
        <v>836</v>
      </c>
      <c r="V150" s="81" t="s">
        <v>839</v>
      </c>
      <c r="W150" s="86" t="str">
        <f>HYPERLINK("https://www.youtube.com/watch?v=Ci9JYIJstPY")</f>
        <v>https://www.youtube.com/watch?v=Ci9JYIJstPY</v>
      </c>
      <c r="X150" s="81" t="s">
        <v>840</v>
      </c>
      <c r="Y150" s="81">
        <v>0</v>
      </c>
      <c r="Z150" s="88">
        <v>44322.516331018516</v>
      </c>
      <c r="AA150" s="88">
        <v>44322.516331018516</v>
      </c>
      <c r="AB150" s="81"/>
      <c r="AC150" s="81"/>
      <c r="AD150" s="84" t="s">
        <v>843</v>
      </c>
      <c r="AE150" s="82">
        <v>1</v>
      </c>
      <c r="AF150" s="83" t="str">
        <f>REPLACE(INDEX(GroupVertices[Group],MATCH(Edges[[#This Row],[Vertex 1]],GroupVertices[Vertex],0)),1,1,"")</f>
        <v>12</v>
      </c>
      <c r="AG150" s="83" t="str">
        <f>REPLACE(INDEX(GroupVertices[Group],MATCH(Edges[[#This Row],[Vertex 2]],GroupVertices[Vertex],0)),1,1,"")</f>
        <v>12</v>
      </c>
      <c r="AH150" s="111">
        <v>0</v>
      </c>
      <c r="AI150" s="112">
        <v>0</v>
      </c>
      <c r="AJ150" s="111">
        <v>0</v>
      </c>
      <c r="AK150" s="112">
        <v>0</v>
      </c>
      <c r="AL150" s="111">
        <v>0</v>
      </c>
      <c r="AM150" s="112">
        <v>0</v>
      </c>
      <c r="AN150" s="111">
        <v>18</v>
      </c>
      <c r="AO150" s="112">
        <v>100</v>
      </c>
      <c r="AP150" s="111">
        <v>18</v>
      </c>
    </row>
    <row r="151" spans="1:42" ht="15">
      <c r="A151" s="65" t="s">
        <v>446</v>
      </c>
      <c r="B151" s="65" t="s">
        <v>479</v>
      </c>
      <c r="C151" s="66" t="s">
        <v>1613</v>
      </c>
      <c r="D151" s="67">
        <v>3</v>
      </c>
      <c r="E151" s="68"/>
      <c r="F151" s="69">
        <v>40</v>
      </c>
      <c r="G151" s="66"/>
      <c r="H151" s="70"/>
      <c r="I151" s="71"/>
      <c r="J151" s="71"/>
      <c r="K151" s="35" t="s">
        <v>65</v>
      </c>
      <c r="L151" s="79">
        <v>151</v>
      </c>
      <c r="M151" s="79"/>
      <c r="N151" s="73"/>
      <c r="O151" s="81" t="s">
        <v>481</v>
      </c>
      <c r="P151" s="81" t="s">
        <v>314</v>
      </c>
      <c r="Q151" s="84" t="s">
        <v>632</v>
      </c>
      <c r="R151" s="81" t="s">
        <v>446</v>
      </c>
      <c r="S151" s="81" t="s">
        <v>786</v>
      </c>
      <c r="T151" s="86" t="str">
        <f>HYPERLINK("http://www.youtube.com/channel/UCmIOnORoi4RkdOGWPRBErTA")</f>
        <v>http://www.youtube.com/channel/UCmIOnORoi4RkdOGWPRBErTA</v>
      </c>
      <c r="U151" s="81"/>
      <c r="V151" s="81" t="s">
        <v>839</v>
      </c>
      <c r="W151" s="86" t="str">
        <f>HYPERLINK("https://www.youtube.com/watch?v=Ci9JYIJstPY")</f>
        <v>https://www.youtube.com/watch?v=Ci9JYIJstPY</v>
      </c>
      <c r="X151" s="81" t="s">
        <v>840</v>
      </c>
      <c r="Y151" s="81">
        <v>0</v>
      </c>
      <c r="Z151" s="88">
        <v>44322.51180555556</v>
      </c>
      <c r="AA151" s="88">
        <v>44322.51180555556</v>
      </c>
      <c r="AB151" s="81"/>
      <c r="AC151" s="81"/>
      <c r="AD151" s="84" t="s">
        <v>843</v>
      </c>
      <c r="AE151" s="82">
        <v>1</v>
      </c>
      <c r="AF151" s="83" t="str">
        <f>REPLACE(INDEX(GroupVertices[Group],MATCH(Edges[[#This Row],[Vertex 1]],GroupVertices[Vertex],0)),1,1,"")</f>
        <v>12</v>
      </c>
      <c r="AG151" s="83" t="str">
        <f>REPLACE(INDEX(GroupVertices[Group],MATCH(Edges[[#This Row],[Vertex 2]],GroupVertices[Vertex],0)),1,1,"")</f>
        <v>1</v>
      </c>
      <c r="AH151" s="111">
        <v>1</v>
      </c>
      <c r="AI151" s="112">
        <v>16.666666666666668</v>
      </c>
      <c r="AJ151" s="111">
        <v>0</v>
      </c>
      <c r="AK151" s="112">
        <v>0</v>
      </c>
      <c r="AL151" s="111">
        <v>0</v>
      </c>
      <c r="AM151" s="112">
        <v>0</v>
      </c>
      <c r="AN151" s="111">
        <v>5</v>
      </c>
      <c r="AO151" s="112">
        <v>83.33333333333333</v>
      </c>
      <c r="AP151" s="111">
        <v>6</v>
      </c>
    </row>
    <row r="152" spans="1:42" ht="15">
      <c r="A152" s="65" t="s">
        <v>447</v>
      </c>
      <c r="B152" s="65" t="s">
        <v>479</v>
      </c>
      <c r="C152" s="66" t="s">
        <v>1613</v>
      </c>
      <c r="D152" s="67">
        <v>3</v>
      </c>
      <c r="E152" s="68"/>
      <c r="F152" s="69">
        <v>40</v>
      </c>
      <c r="G152" s="66"/>
      <c r="H152" s="70"/>
      <c r="I152" s="71"/>
      <c r="J152" s="71"/>
      <c r="K152" s="35" t="s">
        <v>65</v>
      </c>
      <c r="L152" s="79">
        <v>152</v>
      </c>
      <c r="M152" s="79"/>
      <c r="N152" s="73"/>
      <c r="O152" s="81" t="s">
        <v>481</v>
      </c>
      <c r="P152" s="81" t="s">
        <v>314</v>
      </c>
      <c r="Q152" s="84" t="s">
        <v>633</v>
      </c>
      <c r="R152" s="81" t="s">
        <v>447</v>
      </c>
      <c r="S152" s="81" t="s">
        <v>787</v>
      </c>
      <c r="T152" s="86" t="str">
        <f>HYPERLINK("http://www.youtube.com/channel/UCt3Ukfibp43QrzSg0CA4cGA")</f>
        <v>http://www.youtube.com/channel/UCt3Ukfibp43QrzSg0CA4cGA</v>
      </c>
      <c r="U152" s="81"/>
      <c r="V152" s="81" t="s">
        <v>839</v>
      </c>
      <c r="W152" s="86" t="str">
        <f>HYPERLINK("https://www.youtube.com/watch?v=Ci9JYIJstPY")</f>
        <v>https://www.youtube.com/watch?v=Ci9JYIJstPY</v>
      </c>
      <c r="X152" s="81" t="s">
        <v>840</v>
      </c>
      <c r="Y152" s="81">
        <v>2</v>
      </c>
      <c r="Z152" s="88">
        <v>44322.515231481484</v>
      </c>
      <c r="AA152" s="88">
        <v>44322.515231481484</v>
      </c>
      <c r="AB152" s="81"/>
      <c r="AC152" s="81"/>
      <c r="AD152" s="84" t="s">
        <v>843</v>
      </c>
      <c r="AE152" s="82">
        <v>1</v>
      </c>
      <c r="AF152" s="83" t="str">
        <f>REPLACE(INDEX(GroupVertices[Group],MATCH(Edges[[#This Row],[Vertex 1]],GroupVertices[Vertex],0)),1,1,"")</f>
        <v>1</v>
      </c>
      <c r="AG152" s="83" t="str">
        <f>REPLACE(INDEX(GroupVertices[Group],MATCH(Edges[[#This Row],[Vertex 2]],GroupVertices[Vertex],0)),1,1,"")</f>
        <v>1</v>
      </c>
      <c r="AH152" s="111">
        <v>2</v>
      </c>
      <c r="AI152" s="112">
        <v>3.1746031746031744</v>
      </c>
      <c r="AJ152" s="111">
        <v>2</v>
      </c>
      <c r="AK152" s="112">
        <v>3.1746031746031744</v>
      </c>
      <c r="AL152" s="111">
        <v>0</v>
      </c>
      <c r="AM152" s="112">
        <v>0</v>
      </c>
      <c r="AN152" s="111">
        <v>60</v>
      </c>
      <c r="AO152" s="112">
        <v>95.23809523809524</v>
      </c>
      <c r="AP152" s="111">
        <v>63</v>
      </c>
    </row>
    <row r="153" spans="1:42" ht="15">
      <c r="A153" s="65" t="s">
        <v>448</v>
      </c>
      <c r="B153" s="65" t="s">
        <v>479</v>
      </c>
      <c r="C153" s="66" t="s">
        <v>1613</v>
      </c>
      <c r="D153" s="67">
        <v>3</v>
      </c>
      <c r="E153" s="68"/>
      <c r="F153" s="69">
        <v>40</v>
      </c>
      <c r="G153" s="66"/>
      <c r="H153" s="70"/>
      <c r="I153" s="71"/>
      <c r="J153" s="71"/>
      <c r="K153" s="35" t="s">
        <v>65</v>
      </c>
      <c r="L153" s="79">
        <v>153</v>
      </c>
      <c r="M153" s="79"/>
      <c r="N153" s="73"/>
      <c r="O153" s="81" t="s">
        <v>481</v>
      </c>
      <c r="P153" s="81" t="s">
        <v>314</v>
      </c>
      <c r="Q153" s="84" t="s">
        <v>634</v>
      </c>
      <c r="R153" s="81" t="s">
        <v>448</v>
      </c>
      <c r="S153" s="81" t="s">
        <v>788</v>
      </c>
      <c r="T153" s="86" t="str">
        <f>HYPERLINK("http://www.youtube.com/channel/UCnwayuvfO0Buvpig6t1NHLA")</f>
        <v>http://www.youtube.com/channel/UCnwayuvfO0Buvpig6t1NHLA</v>
      </c>
      <c r="U153" s="81"/>
      <c r="V153" s="81" t="s">
        <v>839</v>
      </c>
      <c r="W153" s="86" t="str">
        <f>HYPERLINK("https://www.youtube.com/watch?v=Ci9JYIJstPY")</f>
        <v>https://www.youtube.com/watch?v=Ci9JYIJstPY</v>
      </c>
      <c r="X153" s="81" t="s">
        <v>840</v>
      </c>
      <c r="Y153" s="81">
        <v>1</v>
      </c>
      <c r="Z153" s="88">
        <v>44322.51912037037</v>
      </c>
      <c r="AA153" s="88">
        <v>44322.51912037037</v>
      </c>
      <c r="AB153" s="81"/>
      <c r="AC153" s="81"/>
      <c r="AD153" s="84" t="s">
        <v>843</v>
      </c>
      <c r="AE153" s="82">
        <v>1</v>
      </c>
      <c r="AF153" s="83" t="str">
        <f>REPLACE(INDEX(GroupVertices[Group],MATCH(Edges[[#This Row],[Vertex 1]],GroupVertices[Vertex],0)),1,1,"")</f>
        <v>1</v>
      </c>
      <c r="AG153" s="83" t="str">
        <f>REPLACE(INDEX(GroupVertices[Group],MATCH(Edges[[#This Row],[Vertex 2]],GroupVertices[Vertex],0)),1,1,"")</f>
        <v>1</v>
      </c>
      <c r="AH153" s="111">
        <v>0</v>
      </c>
      <c r="AI153" s="112">
        <v>0</v>
      </c>
      <c r="AJ153" s="111">
        <v>1</v>
      </c>
      <c r="AK153" s="112">
        <v>20</v>
      </c>
      <c r="AL153" s="111">
        <v>0</v>
      </c>
      <c r="AM153" s="112">
        <v>0</v>
      </c>
      <c r="AN153" s="111">
        <v>4</v>
      </c>
      <c r="AO153" s="112">
        <v>80</v>
      </c>
      <c r="AP153" s="111">
        <v>5</v>
      </c>
    </row>
    <row r="154" spans="1:42" ht="15">
      <c r="A154" s="65" t="s">
        <v>449</v>
      </c>
      <c r="B154" s="65" t="s">
        <v>450</v>
      </c>
      <c r="C154" s="66" t="s">
        <v>1613</v>
      </c>
      <c r="D154" s="67">
        <v>3</v>
      </c>
      <c r="E154" s="68"/>
      <c r="F154" s="69">
        <v>40</v>
      </c>
      <c r="G154" s="66"/>
      <c r="H154" s="70"/>
      <c r="I154" s="71"/>
      <c r="J154" s="71"/>
      <c r="K154" s="35" t="s">
        <v>65</v>
      </c>
      <c r="L154" s="79">
        <v>154</v>
      </c>
      <c r="M154" s="79"/>
      <c r="N154" s="73"/>
      <c r="O154" s="81" t="s">
        <v>482</v>
      </c>
      <c r="P154" s="81" t="s">
        <v>484</v>
      </c>
      <c r="Q154" s="84" t="s">
        <v>635</v>
      </c>
      <c r="R154" s="81" t="s">
        <v>449</v>
      </c>
      <c r="S154" s="81" t="s">
        <v>789</v>
      </c>
      <c r="T154" s="86" t="str">
        <f>HYPERLINK("http://www.youtube.com/channel/UCLjavJHCl9XMdz-1HRSrlAg")</f>
        <v>http://www.youtube.com/channel/UCLjavJHCl9XMdz-1HRSrlAg</v>
      </c>
      <c r="U154" s="81" t="s">
        <v>837</v>
      </c>
      <c r="V154" s="81" t="s">
        <v>839</v>
      </c>
      <c r="W154" s="86" t="str">
        <f>HYPERLINK("https://www.youtube.com/watch?v=Ci9JYIJstPY")</f>
        <v>https://www.youtube.com/watch?v=Ci9JYIJstPY</v>
      </c>
      <c r="X154" s="81" t="s">
        <v>840</v>
      </c>
      <c r="Y154" s="81">
        <v>0</v>
      </c>
      <c r="Z154" s="88">
        <v>44322.54046296296</v>
      </c>
      <c r="AA154" s="88">
        <v>44322.54046296296</v>
      </c>
      <c r="AB154" s="81"/>
      <c r="AC154" s="81"/>
      <c r="AD154" s="84" t="s">
        <v>843</v>
      </c>
      <c r="AE154" s="82">
        <v>1</v>
      </c>
      <c r="AF154" s="83" t="str">
        <f>REPLACE(INDEX(GroupVertices[Group],MATCH(Edges[[#This Row],[Vertex 1]],GroupVertices[Vertex],0)),1,1,"")</f>
        <v>11</v>
      </c>
      <c r="AG154" s="83" t="str">
        <f>REPLACE(INDEX(GroupVertices[Group],MATCH(Edges[[#This Row],[Vertex 2]],GroupVertices[Vertex],0)),1,1,"")</f>
        <v>11</v>
      </c>
      <c r="AH154" s="111">
        <v>0</v>
      </c>
      <c r="AI154" s="112">
        <v>0</v>
      </c>
      <c r="AJ154" s="111">
        <v>0</v>
      </c>
      <c r="AK154" s="112">
        <v>0</v>
      </c>
      <c r="AL154" s="111">
        <v>0</v>
      </c>
      <c r="AM154" s="112">
        <v>0</v>
      </c>
      <c r="AN154" s="111">
        <v>8</v>
      </c>
      <c r="AO154" s="112">
        <v>100</v>
      </c>
      <c r="AP154" s="111">
        <v>8</v>
      </c>
    </row>
    <row r="155" spans="1:42" ht="15">
      <c r="A155" s="65" t="s">
        <v>450</v>
      </c>
      <c r="B155" s="65" t="s">
        <v>479</v>
      </c>
      <c r="C155" s="66" t="s">
        <v>1613</v>
      </c>
      <c r="D155" s="67">
        <v>3</v>
      </c>
      <c r="E155" s="68"/>
      <c r="F155" s="69">
        <v>40</v>
      </c>
      <c r="G155" s="66"/>
      <c r="H155" s="70"/>
      <c r="I155" s="71"/>
      <c r="J155" s="71"/>
      <c r="K155" s="35" t="s">
        <v>65</v>
      </c>
      <c r="L155" s="79">
        <v>155</v>
      </c>
      <c r="M155" s="79"/>
      <c r="N155" s="73"/>
      <c r="O155" s="81" t="s">
        <v>481</v>
      </c>
      <c r="P155" s="81" t="s">
        <v>314</v>
      </c>
      <c r="Q155" s="84" t="s">
        <v>636</v>
      </c>
      <c r="R155" s="81" t="s">
        <v>450</v>
      </c>
      <c r="S155" s="81" t="s">
        <v>790</v>
      </c>
      <c r="T155" s="86" t="str">
        <f>HYPERLINK("http://www.youtube.com/channel/UCkZ1kzcwoKfNEFZDpr-NwMw")</f>
        <v>http://www.youtube.com/channel/UCkZ1kzcwoKfNEFZDpr-NwMw</v>
      </c>
      <c r="U155" s="81"/>
      <c r="V155" s="81" t="s">
        <v>839</v>
      </c>
      <c r="W155" s="86" t="str">
        <f>HYPERLINK("https://www.youtube.com/watch?v=Ci9JYIJstPY")</f>
        <v>https://www.youtube.com/watch?v=Ci9JYIJstPY</v>
      </c>
      <c r="X155" s="81" t="s">
        <v>840</v>
      </c>
      <c r="Y155" s="81">
        <v>0</v>
      </c>
      <c r="Z155" s="88">
        <v>44322.53392361111</v>
      </c>
      <c r="AA155" s="88">
        <v>44322.53392361111</v>
      </c>
      <c r="AB155" s="81"/>
      <c r="AC155" s="81"/>
      <c r="AD155" s="84" t="s">
        <v>843</v>
      </c>
      <c r="AE155" s="82">
        <v>1</v>
      </c>
      <c r="AF155" s="83" t="str">
        <f>REPLACE(INDEX(GroupVertices[Group],MATCH(Edges[[#This Row],[Vertex 1]],GroupVertices[Vertex],0)),1,1,"")</f>
        <v>11</v>
      </c>
      <c r="AG155" s="83" t="str">
        <f>REPLACE(INDEX(GroupVertices[Group],MATCH(Edges[[#This Row],[Vertex 2]],GroupVertices[Vertex],0)),1,1,"")</f>
        <v>1</v>
      </c>
      <c r="AH155" s="111">
        <v>0</v>
      </c>
      <c r="AI155" s="112">
        <v>0</v>
      </c>
      <c r="AJ155" s="111">
        <v>1</v>
      </c>
      <c r="AK155" s="112">
        <v>1.639344262295082</v>
      </c>
      <c r="AL155" s="111">
        <v>0</v>
      </c>
      <c r="AM155" s="112">
        <v>0</v>
      </c>
      <c r="AN155" s="111">
        <v>60</v>
      </c>
      <c r="AO155" s="112">
        <v>98.36065573770492</v>
      </c>
      <c r="AP155" s="111">
        <v>61</v>
      </c>
    </row>
    <row r="156" spans="1:42" ht="15">
      <c r="A156" s="65" t="s">
        <v>451</v>
      </c>
      <c r="B156" s="65" t="s">
        <v>479</v>
      </c>
      <c r="C156" s="66" t="s">
        <v>1613</v>
      </c>
      <c r="D156" s="67">
        <v>3</v>
      </c>
      <c r="E156" s="68"/>
      <c r="F156" s="69">
        <v>40</v>
      </c>
      <c r="G156" s="66"/>
      <c r="H156" s="70"/>
      <c r="I156" s="71"/>
      <c r="J156" s="71"/>
      <c r="K156" s="35" t="s">
        <v>65</v>
      </c>
      <c r="L156" s="79">
        <v>156</v>
      </c>
      <c r="M156" s="79"/>
      <c r="N156" s="73"/>
      <c r="O156" s="81" t="s">
        <v>481</v>
      </c>
      <c r="P156" s="81" t="s">
        <v>314</v>
      </c>
      <c r="Q156" s="84" t="s">
        <v>637</v>
      </c>
      <c r="R156" s="81" t="s">
        <v>451</v>
      </c>
      <c r="S156" s="81" t="s">
        <v>791</v>
      </c>
      <c r="T156" s="86" t="str">
        <f>HYPERLINK("http://www.youtube.com/channel/UC4QyM1zt8sEbSeOFfw63mFA")</f>
        <v>http://www.youtube.com/channel/UC4QyM1zt8sEbSeOFfw63mFA</v>
      </c>
      <c r="U156" s="81"/>
      <c r="V156" s="81" t="s">
        <v>839</v>
      </c>
      <c r="W156" s="86" t="str">
        <f>HYPERLINK("https://www.youtube.com/watch?v=Ci9JYIJstPY")</f>
        <v>https://www.youtube.com/watch?v=Ci9JYIJstPY</v>
      </c>
      <c r="X156" s="81" t="s">
        <v>840</v>
      </c>
      <c r="Y156" s="81">
        <v>0</v>
      </c>
      <c r="Z156" s="88">
        <v>44322.544074074074</v>
      </c>
      <c r="AA156" s="88">
        <v>44322.544074074074</v>
      </c>
      <c r="AB156" s="81"/>
      <c r="AC156" s="81"/>
      <c r="AD156" s="84" t="s">
        <v>843</v>
      </c>
      <c r="AE156" s="82">
        <v>1</v>
      </c>
      <c r="AF156" s="83" t="str">
        <f>REPLACE(INDEX(GroupVertices[Group],MATCH(Edges[[#This Row],[Vertex 1]],GroupVertices[Vertex],0)),1,1,"")</f>
        <v>1</v>
      </c>
      <c r="AG156" s="83" t="str">
        <f>REPLACE(INDEX(GroupVertices[Group],MATCH(Edges[[#This Row],[Vertex 2]],GroupVertices[Vertex],0)),1,1,"")</f>
        <v>1</v>
      </c>
      <c r="AH156" s="111">
        <v>1</v>
      </c>
      <c r="AI156" s="112">
        <v>3.4482758620689653</v>
      </c>
      <c r="AJ156" s="111">
        <v>1</v>
      </c>
      <c r="AK156" s="112">
        <v>3.4482758620689653</v>
      </c>
      <c r="AL156" s="111">
        <v>0</v>
      </c>
      <c r="AM156" s="112">
        <v>0</v>
      </c>
      <c r="AN156" s="111">
        <v>27</v>
      </c>
      <c r="AO156" s="112">
        <v>93.10344827586206</v>
      </c>
      <c r="AP156" s="111">
        <v>29</v>
      </c>
    </row>
    <row r="157" spans="1:42" ht="15">
      <c r="A157" s="65" t="s">
        <v>452</v>
      </c>
      <c r="B157" s="65" t="s">
        <v>479</v>
      </c>
      <c r="C157" s="66" t="s">
        <v>1613</v>
      </c>
      <c r="D157" s="67">
        <v>3</v>
      </c>
      <c r="E157" s="68"/>
      <c r="F157" s="69">
        <v>40</v>
      </c>
      <c r="G157" s="66"/>
      <c r="H157" s="70"/>
      <c r="I157" s="71"/>
      <c r="J157" s="71"/>
      <c r="K157" s="35" t="s">
        <v>65</v>
      </c>
      <c r="L157" s="79">
        <v>157</v>
      </c>
      <c r="M157" s="79"/>
      <c r="N157" s="73"/>
      <c r="O157" s="81" t="s">
        <v>481</v>
      </c>
      <c r="P157" s="81" t="s">
        <v>314</v>
      </c>
      <c r="Q157" s="84" t="s">
        <v>638</v>
      </c>
      <c r="R157" s="81" t="s">
        <v>452</v>
      </c>
      <c r="S157" s="81" t="s">
        <v>792</v>
      </c>
      <c r="T157" s="86" t="str">
        <f>HYPERLINK("http://www.youtube.com/channel/UCpRws4XFaiFQtfmd32lS8Ag")</f>
        <v>http://www.youtube.com/channel/UCpRws4XFaiFQtfmd32lS8Ag</v>
      </c>
      <c r="U157" s="81"/>
      <c r="V157" s="81" t="s">
        <v>839</v>
      </c>
      <c r="W157" s="86" t="str">
        <f>HYPERLINK("https://www.youtube.com/watch?v=Ci9JYIJstPY")</f>
        <v>https://www.youtube.com/watch?v=Ci9JYIJstPY</v>
      </c>
      <c r="X157" s="81" t="s">
        <v>840</v>
      </c>
      <c r="Y157" s="81">
        <v>0</v>
      </c>
      <c r="Z157" s="88">
        <v>44322.58806712963</v>
      </c>
      <c r="AA157" s="88">
        <v>44322.5893287037</v>
      </c>
      <c r="AB157" s="81"/>
      <c r="AC157" s="81"/>
      <c r="AD157" s="84" t="s">
        <v>843</v>
      </c>
      <c r="AE157" s="82">
        <v>1</v>
      </c>
      <c r="AF157" s="83" t="str">
        <f>REPLACE(INDEX(GroupVertices[Group],MATCH(Edges[[#This Row],[Vertex 1]],GroupVertices[Vertex],0)),1,1,"")</f>
        <v>1</v>
      </c>
      <c r="AG157" s="83" t="str">
        <f>REPLACE(INDEX(GroupVertices[Group],MATCH(Edges[[#This Row],[Vertex 2]],GroupVertices[Vertex],0)),1,1,"")</f>
        <v>1</v>
      </c>
      <c r="AH157" s="111">
        <v>9</v>
      </c>
      <c r="AI157" s="112">
        <v>5.325443786982248</v>
      </c>
      <c r="AJ157" s="111">
        <v>15</v>
      </c>
      <c r="AK157" s="112">
        <v>8.875739644970414</v>
      </c>
      <c r="AL157" s="111">
        <v>0</v>
      </c>
      <c r="AM157" s="112">
        <v>0</v>
      </c>
      <c r="AN157" s="111">
        <v>150</v>
      </c>
      <c r="AO157" s="112">
        <v>88.75739644970415</v>
      </c>
      <c r="AP157" s="111">
        <v>169</v>
      </c>
    </row>
    <row r="158" spans="1:42" ht="15">
      <c r="A158" s="65" t="s">
        <v>453</v>
      </c>
      <c r="B158" s="65" t="s">
        <v>479</v>
      </c>
      <c r="C158" s="66" t="s">
        <v>1613</v>
      </c>
      <c r="D158" s="67">
        <v>3</v>
      </c>
      <c r="E158" s="68"/>
      <c r="F158" s="69">
        <v>40</v>
      </c>
      <c r="G158" s="66"/>
      <c r="H158" s="70"/>
      <c r="I158" s="71"/>
      <c r="J158" s="71"/>
      <c r="K158" s="35" t="s">
        <v>65</v>
      </c>
      <c r="L158" s="79">
        <v>158</v>
      </c>
      <c r="M158" s="79"/>
      <c r="N158" s="73"/>
      <c r="O158" s="81" t="s">
        <v>481</v>
      </c>
      <c r="P158" s="81" t="s">
        <v>314</v>
      </c>
      <c r="Q158" s="84" t="s">
        <v>639</v>
      </c>
      <c r="R158" s="81" t="s">
        <v>453</v>
      </c>
      <c r="S158" s="81" t="s">
        <v>793</v>
      </c>
      <c r="T158" s="86" t="str">
        <f>HYPERLINK("http://www.youtube.com/channel/UCQ4_-9ld_2rCwq10BoHWkKg")</f>
        <v>http://www.youtube.com/channel/UCQ4_-9ld_2rCwq10BoHWkKg</v>
      </c>
      <c r="U158" s="81"/>
      <c r="V158" s="81" t="s">
        <v>839</v>
      </c>
      <c r="W158" s="86" t="str">
        <f>HYPERLINK("https://www.youtube.com/watch?v=Ci9JYIJstPY")</f>
        <v>https://www.youtube.com/watch?v=Ci9JYIJstPY</v>
      </c>
      <c r="X158" s="81" t="s">
        <v>840</v>
      </c>
      <c r="Y158" s="81">
        <v>1</v>
      </c>
      <c r="Z158" s="88">
        <v>44322.60633101852</v>
      </c>
      <c r="AA158" s="88">
        <v>44322.60633101852</v>
      </c>
      <c r="AB158" s="81"/>
      <c r="AC158" s="81"/>
      <c r="AD158" s="84" t="s">
        <v>843</v>
      </c>
      <c r="AE158" s="82">
        <v>1</v>
      </c>
      <c r="AF158" s="83" t="str">
        <f>REPLACE(INDEX(GroupVertices[Group],MATCH(Edges[[#This Row],[Vertex 1]],GroupVertices[Vertex],0)),1,1,"")</f>
        <v>1</v>
      </c>
      <c r="AG158" s="83" t="str">
        <f>REPLACE(INDEX(GroupVertices[Group],MATCH(Edges[[#This Row],[Vertex 2]],GroupVertices[Vertex],0)),1,1,"")</f>
        <v>1</v>
      </c>
      <c r="AH158" s="111">
        <v>1</v>
      </c>
      <c r="AI158" s="112">
        <v>3.7037037037037037</v>
      </c>
      <c r="AJ158" s="111">
        <v>0</v>
      </c>
      <c r="AK158" s="112">
        <v>0</v>
      </c>
      <c r="AL158" s="111">
        <v>0</v>
      </c>
      <c r="AM158" s="112">
        <v>0</v>
      </c>
      <c r="AN158" s="111">
        <v>26</v>
      </c>
      <c r="AO158" s="112">
        <v>96.29629629629629</v>
      </c>
      <c r="AP158" s="111">
        <v>27</v>
      </c>
    </row>
    <row r="159" spans="1:42" ht="15">
      <c r="A159" s="65" t="s">
        <v>454</v>
      </c>
      <c r="B159" s="65" t="s">
        <v>479</v>
      </c>
      <c r="C159" s="66" t="s">
        <v>1613</v>
      </c>
      <c r="D159" s="67">
        <v>3</v>
      </c>
      <c r="E159" s="68"/>
      <c r="F159" s="69">
        <v>40</v>
      </c>
      <c r="G159" s="66"/>
      <c r="H159" s="70"/>
      <c r="I159" s="71"/>
      <c r="J159" s="71"/>
      <c r="K159" s="35" t="s">
        <v>65</v>
      </c>
      <c r="L159" s="79">
        <v>159</v>
      </c>
      <c r="M159" s="79"/>
      <c r="N159" s="73"/>
      <c r="O159" s="81" t="s">
        <v>481</v>
      </c>
      <c r="P159" s="81" t="s">
        <v>314</v>
      </c>
      <c r="Q159" s="84" t="s">
        <v>640</v>
      </c>
      <c r="R159" s="81" t="s">
        <v>454</v>
      </c>
      <c r="S159" s="81" t="s">
        <v>794</v>
      </c>
      <c r="T159" s="86" t="str">
        <f>HYPERLINK("http://www.youtube.com/channel/UCUyVTvdsDRbp1j6kpGstRyw")</f>
        <v>http://www.youtube.com/channel/UCUyVTvdsDRbp1j6kpGstRyw</v>
      </c>
      <c r="U159" s="81"/>
      <c r="V159" s="81" t="s">
        <v>839</v>
      </c>
      <c r="W159" s="86" t="str">
        <f>HYPERLINK("https://www.youtube.com/watch?v=Ci9JYIJstPY")</f>
        <v>https://www.youtube.com/watch?v=Ci9JYIJstPY</v>
      </c>
      <c r="X159" s="81" t="s">
        <v>840</v>
      </c>
      <c r="Y159" s="81">
        <v>0</v>
      </c>
      <c r="Z159" s="88">
        <v>44322.63291666667</v>
      </c>
      <c r="AA159" s="88">
        <v>44322.63291666667</v>
      </c>
      <c r="AB159" s="81"/>
      <c r="AC159" s="81"/>
      <c r="AD159" s="84" t="s">
        <v>843</v>
      </c>
      <c r="AE159" s="82">
        <v>1</v>
      </c>
      <c r="AF159" s="83" t="str">
        <f>REPLACE(INDEX(GroupVertices[Group],MATCH(Edges[[#This Row],[Vertex 1]],GroupVertices[Vertex],0)),1,1,"")</f>
        <v>1</v>
      </c>
      <c r="AG159" s="83" t="str">
        <f>REPLACE(INDEX(GroupVertices[Group],MATCH(Edges[[#This Row],[Vertex 2]],GroupVertices[Vertex],0)),1,1,"")</f>
        <v>1</v>
      </c>
      <c r="AH159" s="111">
        <v>0</v>
      </c>
      <c r="AI159" s="112">
        <v>0</v>
      </c>
      <c r="AJ159" s="111">
        <v>1</v>
      </c>
      <c r="AK159" s="112">
        <v>14.285714285714286</v>
      </c>
      <c r="AL159" s="111">
        <v>0</v>
      </c>
      <c r="AM159" s="112">
        <v>0</v>
      </c>
      <c r="AN159" s="111">
        <v>6</v>
      </c>
      <c r="AO159" s="112">
        <v>85.71428571428571</v>
      </c>
      <c r="AP159" s="111">
        <v>7</v>
      </c>
    </row>
    <row r="160" spans="1:42" ht="15">
      <c r="A160" s="65" t="s">
        <v>455</v>
      </c>
      <c r="B160" s="65" t="s">
        <v>479</v>
      </c>
      <c r="C160" s="66" t="s">
        <v>1613</v>
      </c>
      <c r="D160" s="67">
        <v>3</v>
      </c>
      <c r="E160" s="68"/>
      <c r="F160" s="69">
        <v>40</v>
      </c>
      <c r="G160" s="66"/>
      <c r="H160" s="70"/>
      <c r="I160" s="71"/>
      <c r="J160" s="71"/>
      <c r="K160" s="35" t="s">
        <v>65</v>
      </c>
      <c r="L160" s="79">
        <v>160</v>
      </c>
      <c r="M160" s="79"/>
      <c r="N160" s="73"/>
      <c r="O160" s="81" t="s">
        <v>481</v>
      </c>
      <c r="P160" s="81" t="s">
        <v>314</v>
      </c>
      <c r="Q160" s="84" t="s">
        <v>641</v>
      </c>
      <c r="R160" s="81" t="s">
        <v>455</v>
      </c>
      <c r="S160" s="81" t="s">
        <v>795</v>
      </c>
      <c r="T160" s="86" t="str">
        <f>HYPERLINK("http://www.youtube.com/channel/UCWn8vuyfirkkJbPVdGlS5KQ")</f>
        <v>http://www.youtube.com/channel/UCWn8vuyfirkkJbPVdGlS5KQ</v>
      </c>
      <c r="U160" s="81"/>
      <c r="V160" s="81" t="s">
        <v>839</v>
      </c>
      <c r="W160" s="86" t="str">
        <f>HYPERLINK("https://www.youtube.com/watch?v=Ci9JYIJstPY")</f>
        <v>https://www.youtube.com/watch?v=Ci9JYIJstPY</v>
      </c>
      <c r="X160" s="81" t="s">
        <v>840</v>
      </c>
      <c r="Y160" s="81">
        <v>0</v>
      </c>
      <c r="Z160" s="88">
        <v>44322.64612268518</v>
      </c>
      <c r="AA160" s="88">
        <v>44322.64612268518</v>
      </c>
      <c r="AB160" s="81"/>
      <c r="AC160" s="81"/>
      <c r="AD160" s="84" t="s">
        <v>843</v>
      </c>
      <c r="AE160" s="82">
        <v>1</v>
      </c>
      <c r="AF160" s="83" t="str">
        <f>REPLACE(INDEX(GroupVertices[Group],MATCH(Edges[[#This Row],[Vertex 1]],GroupVertices[Vertex],0)),1,1,"")</f>
        <v>1</v>
      </c>
      <c r="AG160" s="83" t="str">
        <f>REPLACE(INDEX(GroupVertices[Group],MATCH(Edges[[#This Row],[Vertex 2]],GroupVertices[Vertex],0)),1,1,"")</f>
        <v>1</v>
      </c>
      <c r="AH160" s="111">
        <v>0</v>
      </c>
      <c r="AI160" s="112">
        <v>0</v>
      </c>
      <c r="AJ160" s="111">
        <v>0</v>
      </c>
      <c r="AK160" s="112">
        <v>0</v>
      </c>
      <c r="AL160" s="111">
        <v>0</v>
      </c>
      <c r="AM160" s="112">
        <v>0</v>
      </c>
      <c r="AN160" s="111">
        <v>15</v>
      </c>
      <c r="AO160" s="112">
        <v>100</v>
      </c>
      <c r="AP160" s="111">
        <v>15</v>
      </c>
    </row>
    <row r="161" spans="1:42" ht="15">
      <c r="A161" s="65" t="s">
        <v>456</v>
      </c>
      <c r="B161" s="65" t="s">
        <v>479</v>
      </c>
      <c r="C161" s="66" t="s">
        <v>1613</v>
      </c>
      <c r="D161" s="67">
        <v>3</v>
      </c>
      <c r="E161" s="68"/>
      <c r="F161" s="69">
        <v>40</v>
      </c>
      <c r="G161" s="66"/>
      <c r="H161" s="70"/>
      <c r="I161" s="71"/>
      <c r="J161" s="71"/>
      <c r="K161" s="35" t="s">
        <v>65</v>
      </c>
      <c r="L161" s="79">
        <v>161</v>
      </c>
      <c r="M161" s="79"/>
      <c r="N161" s="73"/>
      <c r="O161" s="81" t="s">
        <v>481</v>
      </c>
      <c r="P161" s="81" t="s">
        <v>314</v>
      </c>
      <c r="Q161" s="84" t="s">
        <v>642</v>
      </c>
      <c r="R161" s="81" t="s">
        <v>456</v>
      </c>
      <c r="S161" s="81" t="s">
        <v>796</v>
      </c>
      <c r="T161" s="86" t="str">
        <f>HYPERLINK("http://www.youtube.com/channel/UCui6uBSvAYX-Lqjb_wzCBeg")</f>
        <v>http://www.youtube.com/channel/UCui6uBSvAYX-Lqjb_wzCBeg</v>
      </c>
      <c r="U161" s="81"/>
      <c r="V161" s="81" t="s">
        <v>839</v>
      </c>
      <c r="W161" s="86" t="str">
        <f>HYPERLINK("https://www.youtube.com/watch?v=Ci9JYIJstPY")</f>
        <v>https://www.youtube.com/watch?v=Ci9JYIJstPY</v>
      </c>
      <c r="X161" s="81" t="s">
        <v>840</v>
      </c>
      <c r="Y161" s="81">
        <v>0</v>
      </c>
      <c r="Z161" s="88">
        <v>44322.676145833335</v>
      </c>
      <c r="AA161" s="88">
        <v>44322.676145833335</v>
      </c>
      <c r="AB161" s="81"/>
      <c r="AC161" s="81"/>
      <c r="AD161" s="84" t="s">
        <v>843</v>
      </c>
      <c r="AE161" s="82">
        <v>1</v>
      </c>
      <c r="AF161" s="83" t="str">
        <f>REPLACE(INDEX(GroupVertices[Group],MATCH(Edges[[#This Row],[Vertex 1]],GroupVertices[Vertex],0)),1,1,"")</f>
        <v>1</v>
      </c>
      <c r="AG161" s="83" t="str">
        <f>REPLACE(INDEX(GroupVertices[Group],MATCH(Edges[[#This Row],[Vertex 2]],GroupVertices[Vertex],0)),1,1,"")</f>
        <v>1</v>
      </c>
      <c r="AH161" s="111">
        <v>1</v>
      </c>
      <c r="AI161" s="112">
        <v>50</v>
      </c>
      <c r="AJ161" s="111">
        <v>1</v>
      </c>
      <c r="AK161" s="112">
        <v>50</v>
      </c>
      <c r="AL161" s="111">
        <v>0</v>
      </c>
      <c r="AM161" s="112">
        <v>0</v>
      </c>
      <c r="AN161" s="111">
        <v>1</v>
      </c>
      <c r="AO161" s="112">
        <v>50</v>
      </c>
      <c r="AP161" s="111">
        <v>2</v>
      </c>
    </row>
    <row r="162" spans="1:42" ht="15">
      <c r="A162" s="65" t="s">
        <v>457</v>
      </c>
      <c r="B162" s="65" t="s">
        <v>479</v>
      </c>
      <c r="C162" s="66" t="s">
        <v>1613</v>
      </c>
      <c r="D162" s="67">
        <v>3</v>
      </c>
      <c r="E162" s="68"/>
      <c r="F162" s="69">
        <v>40</v>
      </c>
      <c r="G162" s="66"/>
      <c r="H162" s="70"/>
      <c r="I162" s="71"/>
      <c r="J162" s="71"/>
      <c r="K162" s="35" t="s">
        <v>65</v>
      </c>
      <c r="L162" s="79">
        <v>162</v>
      </c>
      <c r="M162" s="79"/>
      <c r="N162" s="73"/>
      <c r="O162" s="81" t="s">
        <v>481</v>
      </c>
      <c r="P162" s="81" t="s">
        <v>314</v>
      </c>
      <c r="Q162" s="84" t="s">
        <v>643</v>
      </c>
      <c r="R162" s="81" t="s">
        <v>457</v>
      </c>
      <c r="S162" s="81" t="s">
        <v>797</v>
      </c>
      <c r="T162" s="86" t="str">
        <f>HYPERLINK("http://www.youtube.com/channel/UCvA1dCycuCB9ohqPmmH9QFA")</f>
        <v>http://www.youtube.com/channel/UCvA1dCycuCB9ohqPmmH9QFA</v>
      </c>
      <c r="U162" s="81"/>
      <c r="V162" s="81" t="s">
        <v>839</v>
      </c>
      <c r="W162" s="86" t="str">
        <f>HYPERLINK("https://www.youtube.com/watch?v=Ci9JYIJstPY")</f>
        <v>https://www.youtube.com/watch?v=Ci9JYIJstPY</v>
      </c>
      <c r="X162" s="81" t="s">
        <v>840</v>
      </c>
      <c r="Y162" s="81">
        <v>0</v>
      </c>
      <c r="Z162" s="88">
        <v>44322.690150462964</v>
      </c>
      <c r="AA162" s="88">
        <v>44322.690150462964</v>
      </c>
      <c r="AB162" s="81"/>
      <c r="AC162" s="81"/>
      <c r="AD162" s="84" t="s">
        <v>843</v>
      </c>
      <c r="AE162" s="82">
        <v>1</v>
      </c>
      <c r="AF162" s="83" t="str">
        <f>REPLACE(INDEX(GroupVertices[Group],MATCH(Edges[[#This Row],[Vertex 1]],GroupVertices[Vertex],0)),1,1,"")</f>
        <v>1</v>
      </c>
      <c r="AG162" s="83" t="str">
        <f>REPLACE(INDEX(GroupVertices[Group],MATCH(Edges[[#This Row],[Vertex 2]],GroupVertices[Vertex],0)),1,1,"")</f>
        <v>1</v>
      </c>
      <c r="AH162" s="111">
        <v>1</v>
      </c>
      <c r="AI162" s="112">
        <v>5</v>
      </c>
      <c r="AJ162" s="111">
        <v>1</v>
      </c>
      <c r="AK162" s="112">
        <v>5</v>
      </c>
      <c r="AL162" s="111">
        <v>0</v>
      </c>
      <c r="AM162" s="112">
        <v>0</v>
      </c>
      <c r="AN162" s="111">
        <v>19</v>
      </c>
      <c r="AO162" s="112">
        <v>95</v>
      </c>
      <c r="AP162" s="111">
        <v>20</v>
      </c>
    </row>
    <row r="163" spans="1:42" ht="15">
      <c r="A163" s="65" t="s">
        <v>458</v>
      </c>
      <c r="B163" s="65" t="s">
        <v>479</v>
      </c>
      <c r="C163" s="66" t="s">
        <v>1613</v>
      </c>
      <c r="D163" s="67">
        <v>3</v>
      </c>
      <c r="E163" s="68"/>
      <c r="F163" s="69">
        <v>40</v>
      </c>
      <c r="G163" s="66"/>
      <c r="H163" s="70"/>
      <c r="I163" s="71"/>
      <c r="J163" s="71"/>
      <c r="K163" s="35" t="s">
        <v>65</v>
      </c>
      <c r="L163" s="79">
        <v>163</v>
      </c>
      <c r="M163" s="79"/>
      <c r="N163" s="73"/>
      <c r="O163" s="81" t="s">
        <v>481</v>
      </c>
      <c r="P163" s="81" t="s">
        <v>314</v>
      </c>
      <c r="Q163" s="84" t="s">
        <v>644</v>
      </c>
      <c r="R163" s="81" t="s">
        <v>458</v>
      </c>
      <c r="S163" s="81" t="s">
        <v>798</v>
      </c>
      <c r="T163" s="86" t="str">
        <f>HYPERLINK("http://www.youtube.com/channel/UCLgsdRpMD0KaJSubRDx_WXA")</f>
        <v>http://www.youtube.com/channel/UCLgsdRpMD0KaJSubRDx_WXA</v>
      </c>
      <c r="U163" s="81"/>
      <c r="V163" s="81" t="s">
        <v>839</v>
      </c>
      <c r="W163" s="86" t="str">
        <f>HYPERLINK("https://www.youtube.com/watch?v=Ci9JYIJstPY")</f>
        <v>https://www.youtube.com/watch?v=Ci9JYIJstPY</v>
      </c>
      <c r="X163" s="81" t="s">
        <v>840</v>
      </c>
      <c r="Y163" s="81">
        <v>0</v>
      </c>
      <c r="Z163" s="88">
        <v>44322.70501157407</v>
      </c>
      <c r="AA163" s="88">
        <v>44322.70501157407</v>
      </c>
      <c r="AB163" s="81"/>
      <c r="AC163" s="81"/>
      <c r="AD163" s="84" t="s">
        <v>843</v>
      </c>
      <c r="AE163" s="82">
        <v>1</v>
      </c>
      <c r="AF163" s="83" t="str">
        <f>REPLACE(INDEX(GroupVertices[Group],MATCH(Edges[[#This Row],[Vertex 1]],GroupVertices[Vertex],0)),1,1,"")</f>
        <v>1</v>
      </c>
      <c r="AG163" s="83" t="str">
        <f>REPLACE(INDEX(GroupVertices[Group],MATCH(Edges[[#This Row],[Vertex 2]],GroupVertices[Vertex],0)),1,1,"")</f>
        <v>1</v>
      </c>
      <c r="AH163" s="111">
        <v>1</v>
      </c>
      <c r="AI163" s="112">
        <v>5.2631578947368425</v>
      </c>
      <c r="AJ163" s="111">
        <v>1</v>
      </c>
      <c r="AK163" s="112">
        <v>5.2631578947368425</v>
      </c>
      <c r="AL163" s="111">
        <v>0</v>
      </c>
      <c r="AM163" s="112">
        <v>0</v>
      </c>
      <c r="AN163" s="111">
        <v>17</v>
      </c>
      <c r="AO163" s="112">
        <v>89.47368421052632</v>
      </c>
      <c r="AP163" s="111">
        <v>19</v>
      </c>
    </row>
    <row r="164" spans="1:42" ht="15">
      <c r="A164" s="65" t="s">
        <v>459</v>
      </c>
      <c r="B164" s="65" t="s">
        <v>479</v>
      </c>
      <c r="C164" s="66" t="s">
        <v>1613</v>
      </c>
      <c r="D164" s="67">
        <v>3</v>
      </c>
      <c r="E164" s="68"/>
      <c r="F164" s="69">
        <v>40</v>
      </c>
      <c r="G164" s="66"/>
      <c r="H164" s="70"/>
      <c r="I164" s="71"/>
      <c r="J164" s="71"/>
      <c r="K164" s="35" t="s">
        <v>65</v>
      </c>
      <c r="L164" s="79">
        <v>164</v>
      </c>
      <c r="M164" s="79"/>
      <c r="N164" s="73"/>
      <c r="O164" s="81" t="s">
        <v>481</v>
      </c>
      <c r="P164" s="81" t="s">
        <v>314</v>
      </c>
      <c r="Q164" s="84" t="s">
        <v>645</v>
      </c>
      <c r="R164" s="81" t="s">
        <v>459</v>
      </c>
      <c r="S164" s="81" t="s">
        <v>799</v>
      </c>
      <c r="T164" s="86" t="str">
        <f>HYPERLINK("http://www.youtube.com/channel/UCj0wgdlwzc_mrRP8aPp9OCA")</f>
        <v>http://www.youtube.com/channel/UCj0wgdlwzc_mrRP8aPp9OCA</v>
      </c>
      <c r="U164" s="81"/>
      <c r="V164" s="81" t="s">
        <v>839</v>
      </c>
      <c r="W164" s="86" t="str">
        <f>HYPERLINK("https://www.youtube.com/watch?v=Ci9JYIJstPY")</f>
        <v>https://www.youtube.com/watch?v=Ci9JYIJstPY</v>
      </c>
      <c r="X164" s="81" t="s">
        <v>840</v>
      </c>
      <c r="Y164" s="81">
        <v>1</v>
      </c>
      <c r="Z164" s="88">
        <v>44322.73525462963</v>
      </c>
      <c r="AA164" s="88">
        <v>44322.73525462963</v>
      </c>
      <c r="AB164" s="81"/>
      <c r="AC164" s="81"/>
      <c r="AD164" s="84" t="s">
        <v>843</v>
      </c>
      <c r="AE164" s="82">
        <v>1</v>
      </c>
      <c r="AF164" s="83" t="str">
        <f>REPLACE(INDEX(GroupVertices[Group],MATCH(Edges[[#This Row],[Vertex 1]],GroupVertices[Vertex],0)),1,1,"")</f>
        <v>1</v>
      </c>
      <c r="AG164" s="83" t="str">
        <f>REPLACE(INDEX(GroupVertices[Group],MATCH(Edges[[#This Row],[Vertex 2]],GroupVertices[Vertex],0)),1,1,"")</f>
        <v>1</v>
      </c>
      <c r="AH164" s="111">
        <v>1</v>
      </c>
      <c r="AI164" s="112">
        <v>33.333333333333336</v>
      </c>
      <c r="AJ164" s="111">
        <v>1</v>
      </c>
      <c r="AK164" s="112">
        <v>33.333333333333336</v>
      </c>
      <c r="AL164" s="111">
        <v>0</v>
      </c>
      <c r="AM164" s="112">
        <v>0</v>
      </c>
      <c r="AN164" s="111">
        <v>2</v>
      </c>
      <c r="AO164" s="112">
        <v>66.66666666666667</v>
      </c>
      <c r="AP164" s="111">
        <v>3</v>
      </c>
    </row>
    <row r="165" spans="1:42" ht="15">
      <c r="A165" s="65" t="s">
        <v>460</v>
      </c>
      <c r="B165" s="65" t="s">
        <v>479</v>
      </c>
      <c r="C165" s="66" t="s">
        <v>1613</v>
      </c>
      <c r="D165" s="67">
        <v>3</v>
      </c>
      <c r="E165" s="68"/>
      <c r="F165" s="69">
        <v>40</v>
      </c>
      <c r="G165" s="66"/>
      <c r="H165" s="70"/>
      <c r="I165" s="71"/>
      <c r="J165" s="71"/>
      <c r="K165" s="35" t="s">
        <v>65</v>
      </c>
      <c r="L165" s="79">
        <v>165</v>
      </c>
      <c r="M165" s="79"/>
      <c r="N165" s="73"/>
      <c r="O165" s="81" t="s">
        <v>481</v>
      </c>
      <c r="P165" s="81" t="s">
        <v>314</v>
      </c>
      <c r="Q165" s="84" t="s">
        <v>646</v>
      </c>
      <c r="R165" s="81" t="s">
        <v>460</v>
      </c>
      <c r="S165" s="81" t="s">
        <v>800</v>
      </c>
      <c r="T165" s="86" t="str">
        <f>HYPERLINK("http://www.youtube.com/channel/UCV6FmOfPwUZc_bPhoUZZWgQ")</f>
        <v>http://www.youtube.com/channel/UCV6FmOfPwUZc_bPhoUZZWgQ</v>
      </c>
      <c r="U165" s="81"/>
      <c r="V165" s="81" t="s">
        <v>839</v>
      </c>
      <c r="W165" s="86" t="str">
        <f>HYPERLINK("https://www.youtube.com/watch?v=Ci9JYIJstPY")</f>
        <v>https://www.youtube.com/watch?v=Ci9JYIJstPY</v>
      </c>
      <c r="X165" s="81" t="s">
        <v>840</v>
      </c>
      <c r="Y165" s="81">
        <v>0</v>
      </c>
      <c r="Z165" s="88">
        <v>44322.7472337963</v>
      </c>
      <c r="AA165" s="88">
        <v>44322.7472337963</v>
      </c>
      <c r="AB165" s="81"/>
      <c r="AC165" s="81"/>
      <c r="AD165" s="84" t="s">
        <v>843</v>
      </c>
      <c r="AE165" s="82">
        <v>1</v>
      </c>
      <c r="AF165" s="83" t="str">
        <f>REPLACE(INDEX(GroupVertices[Group],MATCH(Edges[[#This Row],[Vertex 1]],GroupVertices[Vertex],0)),1,1,"")</f>
        <v>1</v>
      </c>
      <c r="AG165" s="83" t="str">
        <f>REPLACE(INDEX(GroupVertices[Group],MATCH(Edges[[#This Row],[Vertex 2]],GroupVertices[Vertex],0)),1,1,"")</f>
        <v>1</v>
      </c>
      <c r="AH165" s="111">
        <v>1</v>
      </c>
      <c r="AI165" s="112">
        <v>33.333333333333336</v>
      </c>
      <c r="AJ165" s="111">
        <v>0</v>
      </c>
      <c r="AK165" s="112">
        <v>0</v>
      </c>
      <c r="AL165" s="111">
        <v>0</v>
      </c>
      <c r="AM165" s="112">
        <v>0</v>
      </c>
      <c r="AN165" s="111">
        <v>2</v>
      </c>
      <c r="AO165" s="112">
        <v>66.66666666666667</v>
      </c>
      <c r="AP165" s="111">
        <v>3</v>
      </c>
    </row>
    <row r="166" spans="1:42" ht="15">
      <c r="A166" s="65" t="s">
        <v>461</v>
      </c>
      <c r="B166" s="65" t="s">
        <v>479</v>
      </c>
      <c r="C166" s="66" t="s">
        <v>1613</v>
      </c>
      <c r="D166" s="67">
        <v>3</v>
      </c>
      <c r="E166" s="68"/>
      <c r="F166" s="69">
        <v>40</v>
      </c>
      <c r="G166" s="66"/>
      <c r="H166" s="70"/>
      <c r="I166" s="71"/>
      <c r="J166" s="71"/>
      <c r="K166" s="35" t="s">
        <v>65</v>
      </c>
      <c r="L166" s="79">
        <v>166</v>
      </c>
      <c r="M166" s="79"/>
      <c r="N166" s="73"/>
      <c r="O166" s="81" t="s">
        <v>481</v>
      </c>
      <c r="P166" s="81" t="s">
        <v>314</v>
      </c>
      <c r="Q166" s="84" t="s">
        <v>647</v>
      </c>
      <c r="R166" s="81" t="s">
        <v>461</v>
      </c>
      <c r="S166" s="81" t="s">
        <v>801</v>
      </c>
      <c r="T166" s="86" t="str">
        <f>HYPERLINK("http://www.youtube.com/channel/UCIBIS5AepYGOjvOyl5O3JGg")</f>
        <v>http://www.youtube.com/channel/UCIBIS5AepYGOjvOyl5O3JGg</v>
      </c>
      <c r="U166" s="81"/>
      <c r="V166" s="81" t="s">
        <v>839</v>
      </c>
      <c r="W166" s="86" t="str">
        <f>HYPERLINK("https://www.youtube.com/watch?v=Ci9JYIJstPY")</f>
        <v>https://www.youtube.com/watch?v=Ci9JYIJstPY</v>
      </c>
      <c r="X166" s="81" t="s">
        <v>840</v>
      </c>
      <c r="Y166" s="81">
        <v>2</v>
      </c>
      <c r="Z166" s="88">
        <v>44322.75643518518</v>
      </c>
      <c r="AA166" s="88">
        <v>44322.75643518518</v>
      </c>
      <c r="AB166" s="81"/>
      <c r="AC166" s="81"/>
      <c r="AD166" s="84" t="s">
        <v>843</v>
      </c>
      <c r="AE166" s="82">
        <v>1</v>
      </c>
      <c r="AF166" s="83" t="str">
        <f>REPLACE(INDEX(GroupVertices[Group],MATCH(Edges[[#This Row],[Vertex 1]],GroupVertices[Vertex],0)),1,1,"")</f>
        <v>1</v>
      </c>
      <c r="AG166" s="83" t="str">
        <f>REPLACE(INDEX(GroupVertices[Group],MATCH(Edges[[#This Row],[Vertex 2]],GroupVertices[Vertex],0)),1,1,"")</f>
        <v>1</v>
      </c>
      <c r="AH166" s="111">
        <v>3</v>
      </c>
      <c r="AI166" s="112">
        <v>7.5</v>
      </c>
      <c r="AJ166" s="111">
        <v>2</v>
      </c>
      <c r="AK166" s="112">
        <v>5</v>
      </c>
      <c r="AL166" s="111">
        <v>0</v>
      </c>
      <c r="AM166" s="112">
        <v>0</v>
      </c>
      <c r="AN166" s="111">
        <v>37</v>
      </c>
      <c r="AO166" s="112">
        <v>92.5</v>
      </c>
      <c r="AP166" s="111">
        <v>40</v>
      </c>
    </row>
    <row r="167" spans="1:42" ht="15">
      <c r="A167" s="65" t="s">
        <v>462</v>
      </c>
      <c r="B167" s="65" t="s">
        <v>479</v>
      </c>
      <c r="C167" s="66" t="s">
        <v>1613</v>
      </c>
      <c r="D167" s="67">
        <v>3</v>
      </c>
      <c r="E167" s="68"/>
      <c r="F167" s="69">
        <v>40</v>
      </c>
      <c r="G167" s="66"/>
      <c r="H167" s="70"/>
      <c r="I167" s="71"/>
      <c r="J167" s="71"/>
      <c r="K167" s="35" t="s">
        <v>65</v>
      </c>
      <c r="L167" s="79">
        <v>167</v>
      </c>
      <c r="M167" s="79"/>
      <c r="N167" s="73"/>
      <c r="O167" s="81" t="s">
        <v>481</v>
      </c>
      <c r="P167" s="81" t="s">
        <v>314</v>
      </c>
      <c r="Q167" s="84" t="s">
        <v>648</v>
      </c>
      <c r="R167" s="81" t="s">
        <v>462</v>
      </c>
      <c r="S167" s="81" t="s">
        <v>802</v>
      </c>
      <c r="T167" s="86" t="str">
        <f>HYPERLINK("http://www.youtube.com/channel/UCOJa4bpknlhm5hixz0PWSuQ")</f>
        <v>http://www.youtube.com/channel/UCOJa4bpknlhm5hixz0PWSuQ</v>
      </c>
      <c r="U167" s="81"/>
      <c r="V167" s="81" t="s">
        <v>839</v>
      </c>
      <c r="W167" s="86" t="str">
        <f>HYPERLINK("https://www.youtube.com/watch?v=Ci9JYIJstPY")</f>
        <v>https://www.youtube.com/watch?v=Ci9JYIJstPY</v>
      </c>
      <c r="X167" s="81" t="s">
        <v>840</v>
      </c>
      <c r="Y167" s="81">
        <v>0</v>
      </c>
      <c r="Z167" s="88">
        <v>44322.75976851852</v>
      </c>
      <c r="AA167" s="88">
        <v>44322.75976851852</v>
      </c>
      <c r="AB167" s="81"/>
      <c r="AC167" s="81"/>
      <c r="AD167" s="84" t="s">
        <v>843</v>
      </c>
      <c r="AE167" s="82">
        <v>1</v>
      </c>
      <c r="AF167" s="83" t="str">
        <f>REPLACE(INDEX(GroupVertices[Group],MATCH(Edges[[#This Row],[Vertex 1]],GroupVertices[Vertex],0)),1,1,"")</f>
        <v>1</v>
      </c>
      <c r="AG167" s="83" t="str">
        <f>REPLACE(INDEX(GroupVertices[Group],MATCH(Edges[[#This Row],[Vertex 2]],GroupVertices[Vertex],0)),1,1,"")</f>
        <v>1</v>
      </c>
      <c r="AH167" s="111">
        <v>1</v>
      </c>
      <c r="AI167" s="112">
        <v>16.666666666666668</v>
      </c>
      <c r="AJ167" s="111">
        <v>0</v>
      </c>
      <c r="AK167" s="112">
        <v>0</v>
      </c>
      <c r="AL167" s="111">
        <v>0</v>
      </c>
      <c r="AM167" s="112">
        <v>0</v>
      </c>
      <c r="AN167" s="111">
        <v>5</v>
      </c>
      <c r="AO167" s="112">
        <v>83.33333333333333</v>
      </c>
      <c r="AP167" s="111">
        <v>6</v>
      </c>
    </row>
    <row r="168" spans="1:42" ht="15">
      <c r="A168" s="65" t="s">
        <v>463</v>
      </c>
      <c r="B168" s="65" t="s">
        <v>479</v>
      </c>
      <c r="C168" s="66" t="s">
        <v>1613</v>
      </c>
      <c r="D168" s="67">
        <v>3</v>
      </c>
      <c r="E168" s="68"/>
      <c r="F168" s="69">
        <v>40</v>
      </c>
      <c r="G168" s="66"/>
      <c r="H168" s="70"/>
      <c r="I168" s="71"/>
      <c r="J168" s="71"/>
      <c r="K168" s="35" t="s">
        <v>65</v>
      </c>
      <c r="L168" s="79">
        <v>168</v>
      </c>
      <c r="M168" s="79"/>
      <c r="N168" s="73"/>
      <c r="O168" s="81" t="s">
        <v>481</v>
      </c>
      <c r="P168" s="81" t="s">
        <v>314</v>
      </c>
      <c r="Q168" s="84" t="s">
        <v>649</v>
      </c>
      <c r="R168" s="81" t="s">
        <v>463</v>
      </c>
      <c r="S168" s="81" t="s">
        <v>803</v>
      </c>
      <c r="T168" s="86" t="str">
        <f>HYPERLINK("http://www.youtube.com/channel/UCrdc8c0VXEBe6rrzycPhTbg")</f>
        <v>http://www.youtube.com/channel/UCrdc8c0VXEBe6rrzycPhTbg</v>
      </c>
      <c r="U168" s="81"/>
      <c r="V168" s="81" t="s">
        <v>839</v>
      </c>
      <c r="W168" s="86" t="str">
        <f>HYPERLINK("https://www.youtube.com/watch?v=Ci9JYIJstPY")</f>
        <v>https://www.youtube.com/watch?v=Ci9JYIJstPY</v>
      </c>
      <c r="X168" s="81" t="s">
        <v>840</v>
      </c>
      <c r="Y168" s="81">
        <v>0</v>
      </c>
      <c r="Z168" s="88">
        <v>44322.86209490741</v>
      </c>
      <c r="AA168" s="88">
        <v>44322.86209490741</v>
      </c>
      <c r="AB168" s="81"/>
      <c r="AC168" s="81"/>
      <c r="AD168" s="84" t="s">
        <v>843</v>
      </c>
      <c r="AE168" s="82">
        <v>1</v>
      </c>
      <c r="AF168" s="83" t="str">
        <f>REPLACE(INDEX(GroupVertices[Group],MATCH(Edges[[#This Row],[Vertex 1]],GroupVertices[Vertex],0)),1,1,"")</f>
        <v>1</v>
      </c>
      <c r="AG168" s="83" t="str">
        <f>REPLACE(INDEX(GroupVertices[Group],MATCH(Edges[[#This Row],[Vertex 2]],GroupVertices[Vertex],0)),1,1,"")</f>
        <v>1</v>
      </c>
      <c r="AH168" s="111">
        <v>1</v>
      </c>
      <c r="AI168" s="112">
        <v>20</v>
      </c>
      <c r="AJ168" s="111">
        <v>1</v>
      </c>
      <c r="AK168" s="112">
        <v>20</v>
      </c>
      <c r="AL168" s="111">
        <v>0</v>
      </c>
      <c r="AM168" s="112">
        <v>0</v>
      </c>
      <c r="AN168" s="111">
        <v>4</v>
      </c>
      <c r="AO168" s="112">
        <v>80</v>
      </c>
      <c r="AP168" s="111">
        <v>5</v>
      </c>
    </row>
    <row r="169" spans="1:42" ht="15">
      <c r="A169" s="65" t="s">
        <v>464</v>
      </c>
      <c r="B169" s="65" t="s">
        <v>479</v>
      </c>
      <c r="C169" s="66" t="s">
        <v>1613</v>
      </c>
      <c r="D169" s="67">
        <v>3</v>
      </c>
      <c r="E169" s="68"/>
      <c r="F169" s="69">
        <v>40</v>
      </c>
      <c r="G169" s="66"/>
      <c r="H169" s="70"/>
      <c r="I169" s="71"/>
      <c r="J169" s="71"/>
      <c r="K169" s="35" t="s">
        <v>65</v>
      </c>
      <c r="L169" s="79">
        <v>169</v>
      </c>
      <c r="M169" s="79"/>
      <c r="N169" s="73"/>
      <c r="O169" s="81" t="s">
        <v>481</v>
      </c>
      <c r="P169" s="81" t="s">
        <v>314</v>
      </c>
      <c r="Q169" s="84" t="s">
        <v>650</v>
      </c>
      <c r="R169" s="81" t="s">
        <v>464</v>
      </c>
      <c r="S169" s="81" t="s">
        <v>804</v>
      </c>
      <c r="T169" s="86" t="str">
        <f>HYPERLINK("http://www.youtube.com/channel/UC03SwJHbmy-KXKjVWb9mjeg")</f>
        <v>http://www.youtube.com/channel/UC03SwJHbmy-KXKjVWb9mjeg</v>
      </c>
      <c r="U169" s="81"/>
      <c r="V169" s="81" t="s">
        <v>839</v>
      </c>
      <c r="W169" s="86" t="str">
        <f>HYPERLINK("https://www.youtube.com/watch?v=Ci9JYIJstPY")</f>
        <v>https://www.youtube.com/watch?v=Ci9JYIJstPY</v>
      </c>
      <c r="X169" s="81" t="s">
        <v>840</v>
      </c>
      <c r="Y169" s="81">
        <v>0</v>
      </c>
      <c r="Z169" s="88">
        <v>44322.89957175926</v>
      </c>
      <c r="AA169" s="88">
        <v>44322.89957175926</v>
      </c>
      <c r="AB169" s="81"/>
      <c r="AC169" s="81"/>
      <c r="AD169" s="84" t="s">
        <v>843</v>
      </c>
      <c r="AE169" s="82">
        <v>1</v>
      </c>
      <c r="AF169" s="83" t="str">
        <f>REPLACE(INDEX(GroupVertices[Group],MATCH(Edges[[#This Row],[Vertex 1]],GroupVertices[Vertex],0)),1,1,"")</f>
        <v>1</v>
      </c>
      <c r="AG169" s="83" t="str">
        <f>REPLACE(INDEX(GroupVertices[Group],MATCH(Edges[[#This Row],[Vertex 2]],GroupVertices[Vertex],0)),1,1,"")</f>
        <v>1</v>
      </c>
      <c r="AH169" s="111">
        <v>1</v>
      </c>
      <c r="AI169" s="112">
        <v>2.0833333333333335</v>
      </c>
      <c r="AJ169" s="111">
        <v>4</v>
      </c>
      <c r="AK169" s="112">
        <v>8.333333333333334</v>
      </c>
      <c r="AL169" s="111">
        <v>0</v>
      </c>
      <c r="AM169" s="112">
        <v>0</v>
      </c>
      <c r="AN169" s="111">
        <v>44</v>
      </c>
      <c r="AO169" s="112">
        <v>91.66666666666667</v>
      </c>
      <c r="AP169" s="111">
        <v>48</v>
      </c>
    </row>
    <row r="170" spans="1:42" ht="15">
      <c r="A170" s="65" t="s">
        <v>465</v>
      </c>
      <c r="B170" s="65" t="s">
        <v>479</v>
      </c>
      <c r="C170" s="66" t="s">
        <v>1613</v>
      </c>
      <c r="D170" s="67">
        <v>3</v>
      </c>
      <c r="E170" s="68"/>
      <c r="F170" s="69">
        <v>40</v>
      </c>
      <c r="G170" s="66"/>
      <c r="H170" s="70"/>
      <c r="I170" s="71"/>
      <c r="J170" s="71"/>
      <c r="K170" s="35" t="s">
        <v>65</v>
      </c>
      <c r="L170" s="79">
        <v>170</v>
      </c>
      <c r="M170" s="79"/>
      <c r="N170" s="73"/>
      <c r="O170" s="81" t="s">
        <v>481</v>
      </c>
      <c r="P170" s="81" t="s">
        <v>314</v>
      </c>
      <c r="Q170" s="84" t="s">
        <v>651</v>
      </c>
      <c r="R170" s="81" t="s">
        <v>465</v>
      </c>
      <c r="S170" s="81" t="s">
        <v>805</v>
      </c>
      <c r="T170" s="86" t="str">
        <f>HYPERLINK("http://www.youtube.com/channel/UC2_xSCu7RIdq6FunUtp68zw")</f>
        <v>http://www.youtube.com/channel/UC2_xSCu7RIdq6FunUtp68zw</v>
      </c>
      <c r="U170" s="81"/>
      <c r="V170" s="81" t="s">
        <v>839</v>
      </c>
      <c r="W170" s="86" t="str">
        <f>HYPERLINK("https://www.youtube.com/watch?v=Ci9JYIJstPY")</f>
        <v>https://www.youtube.com/watch?v=Ci9JYIJstPY</v>
      </c>
      <c r="X170" s="81" t="s">
        <v>840</v>
      </c>
      <c r="Y170" s="81">
        <v>1</v>
      </c>
      <c r="Z170" s="88">
        <v>44322.93591435185</v>
      </c>
      <c r="AA170" s="88">
        <v>44322.93591435185</v>
      </c>
      <c r="AB170" s="81"/>
      <c r="AC170" s="81"/>
      <c r="AD170" s="84" t="s">
        <v>843</v>
      </c>
      <c r="AE170" s="82">
        <v>1</v>
      </c>
      <c r="AF170" s="83" t="str">
        <f>REPLACE(INDEX(GroupVertices[Group],MATCH(Edges[[#This Row],[Vertex 1]],GroupVertices[Vertex],0)),1,1,"")</f>
        <v>1</v>
      </c>
      <c r="AG170" s="83" t="str">
        <f>REPLACE(INDEX(GroupVertices[Group],MATCH(Edges[[#This Row],[Vertex 2]],GroupVertices[Vertex],0)),1,1,"")</f>
        <v>1</v>
      </c>
      <c r="AH170" s="111">
        <v>1</v>
      </c>
      <c r="AI170" s="112">
        <v>9.090909090909092</v>
      </c>
      <c r="AJ170" s="111">
        <v>0</v>
      </c>
      <c r="AK170" s="112">
        <v>0</v>
      </c>
      <c r="AL170" s="111">
        <v>0</v>
      </c>
      <c r="AM170" s="112">
        <v>0</v>
      </c>
      <c r="AN170" s="111">
        <v>10</v>
      </c>
      <c r="AO170" s="112">
        <v>90.9090909090909</v>
      </c>
      <c r="AP170" s="111">
        <v>11</v>
      </c>
    </row>
    <row r="171" spans="1:42" ht="15">
      <c r="A171" s="65" t="s">
        <v>466</v>
      </c>
      <c r="B171" s="65" t="s">
        <v>479</v>
      </c>
      <c r="C171" s="66" t="s">
        <v>1613</v>
      </c>
      <c r="D171" s="67">
        <v>3</v>
      </c>
      <c r="E171" s="68"/>
      <c r="F171" s="69">
        <v>40</v>
      </c>
      <c r="G171" s="66"/>
      <c r="H171" s="70"/>
      <c r="I171" s="71"/>
      <c r="J171" s="71"/>
      <c r="K171" s="35" t="s">
        <v>65</v>
      </c>
      <c r="L171" s="79">
        <v>171</v>
      </c>
      <c r="M171" s="79"/>
      <c r="N171" s="73"/>
      <c r="O171" s="81" t="s">
        <v>481</v>
      </c>
      <c r="P171" s="81" t="s">
        <v>314</v>
      </c>
      <c r="Q171" s="84" t="s">
        <v>652</v>
      </c>
      <c r="R171" s="81" t="s">
        <v>466</v>
      </c>
      <c r="S171" s="81" t="s">
        <v>806</v>
      </c>
      <c r="T171" s="86" t="str">
        <f>HYPERLINK("http://www.youtube.com/channel/UCN0ynz0wVhfT11DFWCegk1g")</f>
        <v>http://www.youtube.com/channel/UCN0ynz0wVhfT11DFWCegk1g</v>
      </c>
      <c r="U171" s="81"/>
      <c r="V171" s="81" t="s">
        <v>839</v>
      </c>
      <c r="W171" s="86" t="str">
        <f>HYPERLINK("https://www.youtube.com/watch?v=Ci9JYIJstPY")</f>
        <v>https://www.youtube.com/watch?v=Ci9JYIJstPY</v>
      </c>
      <c r="X171" s="81" t="s">
        <v>840</v>
      </c>
      <c r="Y171" s="81">
        <v>2</v>
      </c>
      <c r="Z171" s="88">
        <v>44322.9365625</v>
      </c>
      <c r="AA171" s="88">
        <v>44322.9365625</v>
      </c>
      <c r="AB171" s="81"/>
      <c r="AC171" s="81"/>
      <c r="AD171" s="84" t="s">
        <v>843</v>
      </c>
      <c r="AE171" s="82">
        <v>1</v>
      </c>
      <c r="AF171" s="83" t="str">
        <f>REPLACE(INDEX(GroupVertices[Group],MATCH(Edges[[#This Row],[Vertex 1]],GroupVertices[Vertex],0)),1,1,"")</f>
        <v>1</v>
      </c>
      <c r="AG171" s="83" t="str">
        <f>REPLACE(INDEX(GroupVertices[Group],MATCH(Edges[[#This Row],[Vertex 2]],GroupVertices[Vertex],0)),1,1,"")</f>
        <v>1</v>
      </c>
      <c r="AH171" s="111">
        <v>1</v>
      </c>
      <c r="AI171" s="112">
        <v>5.2631578947368425</v>
      </c>
      <c r="AJ171" s="111">
        <v>2</v>
      </c>
      <c r="AK171" s="112">
        <v>10.526315789473685</v>
      </c>
      <c r="AL171" s="111">
        <v>0</v>
      </c>
      <c r="AM171" s="112">
        <v>0</v>
      </c>
      <c r="AN171" s="111">
        <v>17</v>
      </c>
      <c r="AO171" s="112">
        <v>89.47368421052632</v>
      </c>
      <c r="AP171" s="111">
        <v>19</v>
      </c>
    </row>
    <row r="172" spans="1:42" ht="15">
      <c r="A172" s="65" t="s">
        <v>467</v>
      </c>
      <c r="B172" s="65" t="s">
        <v>479</v>
      </c>
      <c r="C172" s="66" t="s">
        <v>1613</v>
      </c>
      <c r="D172" s="67">
        <v>3</v>
      </c>
      <c r="E172" s="68"/>
      <c r="F172" s="69">
        <v>40</v>
      </c>
      <c r="G172" s="66"/>
      <c r="H172" s="70"/>
      <c r="I172" s="71"/>
      <c r="J172" s="71"/>
      <c r="K172" s="35" t="s">
        <v>65</v>
      </c>
      <c r="L172" s="79">
        <v>172</v>
      </c>
      <c r="M172" s="79"/>
      <c r="N172" s="73"/>
      <c r="O172" s="81" t="s">
        <v>481</v>
      </c>
      <c r="P172" s="81" t="s">
        <v>314</v>
      </c>
      <c r="Q172" s="84" t="s">
        <v>653</v>
      </c>
      <c r="R172" s="81" t="s">
        <v>467</v>
      </c>
      <c r="S172" s="81" t="s">
        <v>807</v>
      </c>
      <c r="T172" s="86" t="str">
        <f>HYPERLINK("http://www.youtube.com/channel/UCfftvwIAhZMDl0PmaDqo_1g")</f>
        <v>http://www.youtube.com/channel/UCfftvwIAhZMDl0PmaDqo_1g</v>
      </c>
      <c r="U172" s="81"/>
      <c r="V172" s="81" t="s">
        <v>839</v>
      </c>
      <c r="W172" s="86" t="str">
        <f>HYPERLINK("https://www.youtube.com/watch?v=Ci9JYIJstPY")</f>
        <v>https://www.youtube.com/watch?v=Ci9JYIJstPY</v>
      </c>
      <c r="X172" s="81" t="s">
        <v>840</v>
      </c>
      <c r="Y172" s="81">
        <v>2</v>
      </c>
      <c r="Z172" s="88">
        <v>44322.93703703704</v>
      </c>
      <c r="AA172" s="88">
        <v>44322.93703703704</v>
      </c>
      <c r="AB172" s="81"/>
      <c r="AC172" s="81"/>
      <c r="AD172" s="84" t="s">
        <v>843</v>
      </c>
      <c r="AE172" s="82">
        <v>1</v>
      </c>
      <c r="AF172" s="83" t="str">
        <f>REPLACE(INDEX(GroupVertices[Group],MATCH(Edges[[#This Row],[Vertex 1]],GroupVertices[Vertex],0)),1,1,"")</f>
        <v>1</v>
      </c>
      <c r="AG172" s="83" t="str">
        <f>REPLACE(INDEX(GroupVertices[Group],MATCH(Edges[[#This Row],[Vertex 2]],GroupVertices[Vertex],0)),1,1,"")</f>
        <v>1</v>
      </c>
      <c r="AH172" s="111">
        <v>2</v>
      </c>
      <c r="AI172" s="112">
        <v>6.25</v>
      </c>
      <c r="AJ172" s="111">
        <v>3</v>
      </c>
      <c r="AK172" s="112">
        <v>9.375</v>
      </c>
      <c r="AL172" s="111">
        <v>0</v>
      </c>
      <c r="AM172" s="112">
        <v>0</v>
      </c>
      <c r="AN172" s="111">
        <v>28</v>
      </c>
      <c r="AO172" s="112">
        <v>87.5</v>
      </c>
      <c r="AP172" s="111">
        <v>32</v>
      </c>
    </row>
    <row r="173" spans="1:42" ht="15">
      <c r="A173" s="65" t="s">
        <v>468</v>
      </c>
      <c r="B173" s="65" t="s">
        <v>479</v>
      </c>
      <c r="C173" s="66" t="s">
        <v>1613</v>
      </c>
      <c r="D173" s="67">
        <v>3</v>
      </c>
      <c r="E173" s="68"/>
      <c r="F173" s="69">
        <v>40</v>
      </c>
      <c r="G173" s="66"/>
      <c r="H173" s="70"/>
      <c r="I173" s="71"/>
      <c r="J173" s="71"/>
      <c r="K173" s="35" t="s">
        <v>65</v>
      </c>
      <c r="L173" s="79">
        <v>173</v>
      </c>
      <c r="M173" s="79"/>
      <c r="N173" s="73"/>
      <c r="O173" s="81" t="s">
        <v>481</v>
      </c>
      <c r="P173" s="81" t="s">
        <v>314</v>
      </c>
      <c r="Q173" s="84" t="s">
        <v>654</v>
      </c>
      <c r="R173" s="81" t="s">
        <v>468</v>
      </c>
      <c r="S173" s="81" t="s">
        <v>808</v>
      </c>
      <c r="T173" s="86" t="str">
        <f>HYPERLINK("http://www.youtube.com/channel/UCbWY2V53qsUHtrLpFy-jaMw")</f>
        <v>http://www.youtube.com/channel/UCbWY2V53qsUHtrLpFy-jaMw</v>
      </c>
      <c r="U173" s="81"/>
      <c r="V173" s="81" t="s">
        <v>839</v>
      </c>
      <c r="W173" s="86" t="str">
        <f>HYPERLINK("https://www.youtube.com/watch?v=Ci9JYIJstPY")</f>
        <v>https://www.youtube.com/watch?v=Ci9JYIJstPY</v>
      </c>
      <c r="X173" s="81" t="s">
        <v>840</v>
      </c>
      <c r="Y173" s="81">
        <v>0</v>
      </c>
      <c r="Z173" s="88">
        <v>44322.96579861111</v>
      </c>
      <c r="AA173" s="88">
        <v>44322.96579861111</v>
      </c>
      <c r="AB173" s="81"/>
      <c r="AC173" s="81"/>
      <c r="AD173" s="84" t="s">
        <v>843</v>
      </c>
      <c r="AE173" s="82">
        <v>1</v>
      </c>
      <c r="AF173" s="83" t="str">
        <f>REPLACE(INDEX(GroupVertices[Group],MATCH(Edges[[#This Row],[Vertex 1]],GroupVertices[Vertex],0)),1,1,"")</f>
        <v>1</v>
      </c>
      <c r="AG173" s="83" t="str">
        <f>REPLACE(INDEX(GroupVertices[Group],MATCH(Edges[[#This Row],[Vertex 2]],GroupVertices[Vertex],0)),1,1,"")</f>
        <v>1</v>
      </c>
      <c r="AH173" s="111">
        <v>1</v>
      </c>
      <c r="AI173" s="112">
        <v>25</v>
      </c>
      <c r="AJ173" s="111">
        <v>1</v>
      </c>
      <c r="AK173" s="112">
        <v>25</v>
      </c>
      <c r="AL173" s="111">
        <v>0</v>
      </c>
      <c r="AM173" s="112">
        <v>0</v>
      </c>
      <c r="AN173" s="111">
        <v>2</v>
      </c>
      <c r="AO173" s="112">
        <v>50</v>
      </c>
      <c r="AP173" s="111">
        <v>4</v>
      </c>
    </row>
    <row r="174" spans="1:42" ht="15">
      <c r="A174" s="65" t="s">
        <v>469</v>
      </c>
      <c r="B174" s="65" t="s">
        <v>479</v>
      </c>
      <c r="C174" s="66" t="s">
        <v>1613</v>
      </c>
      <c r="D174" s="67">
        <v>3</v>
      </c>
      <c r="E174" s="68"/>
      <c r="F174" s="69">
        <v>40</v>
      </c>
      <c r="G174" s="66"/>
      <c r="H174" s="70"/>
      <c r="I174" s="71"/>
      <c r="J174" s="71"/>
      <c r="K174" s="35" t="s">
        <v>65</v>
      </c>
      <c r="L174" s="79">
        <v>174</v>
      </c>
      <c r="M174" s="79"/>
      <c r="N174" s="73"/>
      <c r="O174" s="81" t="s">
        <v>481</v>
      </c>
      <c r="P174" s="81" t="s">
        <v>314</v>
      </c>
      <c r="Q174" s="84" t="s">
        <v>655</v>
      </c>
      <c r="R174" s="81" t="s">
        <v>469</v>
      </c>
      <c r="S174" s="81" t="s">
        <v>809</v>
      </c>
      <c r="T174" s="86" t="str">
        <f>HYPERLINK("http://www.youtube.com/channel/UCbJ9OfieJxOdqubkRtjyuKw")</f>
        <v>http://www.youtube.com/channel/UCbJ9OfieJxOdqubkRtjyuKw</v>
      </c>
      <c r="U174" s="81"/>
      <c r="V174" s="81" t="s">
        <v>839</v>
      </c>
      <c r="W174" s="86" t="str">
        <f>HYPERLINK("https://www.youtube.com/watch?v=Ci9JYIJstPY")</f>
        <v>https://www.youtube.com/watch?v=Ci9JYIJstPY</v>
      </c>
      <c r="X174" s="81" t="s">
        <v>840</v>
      </c>
      <c r="Y174" s="81">
        <v>0</v>
      </c>
      <c r="Z174" s="88">
        <v>44322.969305555554</v>
      </c>
      <c r="AA174" s="88">
        <v>44322.969305555554</v>
      </c>
      <c r="AB174" s="81"/>
      <c r="AC174" s="81"/>
      <c r="AD174" s="84" t="s">
        <v>843</v>
      </c>
      <c r="AE174" s="82">
        <v>1</v>
      </c>
      <c r="AF174" s="83" t="str">
        <f>REPLACE(INDEX(GroupVertices[Group],MATCH(Edges[[#This Row],[Vertex 1]],GroupVertices[Vertex],0)),1,1,"")</f>
        <v>1</v>
      </c>
      <c r="AG174" s="83" t="str">
        <f>REPLACE(INDEX(GroupVertices[Group],MATCH(Edges[[#This Row],[Vertex 2]],GroupVertices[Vertex],0)),1,1,"")</f>
        <v>1</v>
      </c>
      <c r="AH174" s="111">
        <v>1</v>
      </c>
      <c r="AI174" s="112">
        <v>4.761904761904762</v>
      </c>
      <c r="AJ174" s="111">
        <v>1</v>
      </c>
      <c r="AK174" s="112">
        <v>4.761904761904762</v>
      </c>
      <c r="AL174" s="111">
        <v>0</v>
      </c>
      <c r="AM174" s="112">
        <v>0</v>
      </c>
      <c r="AN174" s="111">
        <v>19</v>
      </c>
      <c r="AO174" s="112">
        <v>90.47619047619048</v>
      </c>
      <c r="AP174" s="111">
        <v>21</v>
      </c>
    </row>
    <row r="175" spans="1:42" ht="15">
      <c r="A175" s="65" t="s">
        <v>470</v>
      </c>
      <c r="B175" s="65" t="s">
        <v>479</v>
      </c>
      <c r="C175" s="66" t="s">
        <v>1613</v>
      </c>
      <c r="D175" s="67">
        <v>3</v>
      </c>
      <c r="E175" s="68"/>
      <c r="F175" s="69">
        <v>40</v>
      </c>
      <c r="G175" s="66"/>
      <c r="H175" s="70"/>
      <c r="I175" s="71"/>
      <c r="J175" s="71"/>
      <c r="K175" s="35" t="s">
        <v>65</v>
      </c>
      <c r="L175" s="79">
        <v>175</v>
      </c>
      <c r="M175" s="79"/>
      <c r="N175" s="73"/>
      <c r="O175" s="81" t="s">
        <v>481</v>
      </c>
      <c r="P175" s="81" t="s">
        <v>314</v>
      </c>
      <c r="Q175" s="84" t="s">
        <v>656</v>
      </c>
      <c r="R175" s="81" t="s">
        <v>470</v>
      </c>
      <c r="S175" s="81" t="s">
        <v>810</v>
      </c>
      <c r="T175" s="86" t="str">
        <f>HYPERLINK("http://www.youtube.com/channel/UCU3B6uthFejEFlLALdqaVYw")</f>
        <v>http://www.youtube.com/channel/UCU3B6uthFejEFlLALdqaVYw</v>
      </c>
      <c r="U175" s="81"/>
      <c r="V175" s="81" t="s">
        <v>839</v>
      </c>
      <c r="W175" s="86" t="str">
        <f>HYPERLINK("https://www.youtube.com/watch?v=Ci9JYIJstPY")</f>
        <v>https://www.youtube.com/watch?v=Ci9JYIJstPY</v>
      </c>
      <c r="X175" s="81" t="s">
        <v>840</v>
      </c>
      <c r="Y175" s="81">
        <v>0</v>
      </c>
      <c r="Z175" s="88">
        <v>44322.99961805555</v>
      </c>
      <c r="AA175" s="88">
        <v>44322.99961805555</v>
      </c>
      <c r="AB175" s="81"/>
      <c r="AC175" s="81"/>
      <c r="AD175" s="84" t="s">
        <v>843</v>
      </c>
      <c r="AE175" s="82">
        <v>1</v>
      </c>
      <c r="AF175" s="83" t="str">
        <f>REPLACE(INDEX(GroupVertices[Group],MATCH(Edges[[#This Row],[Vertex 1]],GroupVertices[Vertex],0)),1,1,"")</f>
        <v>1</v>
      </c>
      <c r="AG175" s="83" t="str">
        <f>REPLACE(INDEX(GroupVertices[Group],MATCH(Edges[[#This Row],[Vertex 2]],GroupVertices[Vertex],0)),1,1,"")</f>
        <v>1</v>
      </c>
      <c r="AH175" s="111">
        <v>2</v>
      </c>
      <c r="AI175" s="112">
        <v>15.384615384615385</v>
      </c>
      <c r="AJ175" s="111">
        <v>1</v>
      </c>
      <c r="AK175" s="112">
        <v>7.6923076923076925</v>
      </c>
      <c r="AL175" s="111">
        <v>0</v>
      </c>
      <c r="AM175" s="112">
        <v>0</v>
      </c>
      <c r="AN175" s="111">
        <v>11</v>
      </c>
      <c r="AO175" s="112">
        <v>84.61538461538461</v>
      </c>
      <c r="AP175" s="111">
        <v>13</v>
      </c>
    </row>
    <row r="176" spans="1:42" ht="15">
      <c r="A176" s="65" t="s">
        <v>403</v>
      </c>
      <c r="B176" s="65" t="s">
        <v>479</v>
      </c>
      <c r="C176" s="66" t="s">
        <v>1613</v>
      </c>
      <c r="D176" s="67">
        <v>3</v>
      </c>
      <c r="E176" s="68"/>
      <c r="F176" s="69">
        <v>40</v>
      </c>
      <c r="G176" s="66"/>
      <c r="H176" s="70"/>
      <c r="I176" s="71"/>
      <c r="J176" s="71"/>
      <c r="K176" s="35" t="s">
        <v>65</v>
      </c>
      <c r="L176" s="79">
        <v>176</v>
      </c>
      <c r="M176" s="79"/>
      <c r="N176" s="73"/>
      <c r="O176" s="81" t="s">
        <v>481</v>
      </c>
      <c r="P176" s="81" t="s">
        <v>314</v>
      </c>
      <c r="Q176" s="84" t="s">
        <v>657</v>
      </c>
      <c r="R176" s="81" t="s">
        <v>403</v>
      </c>
      <c r="S176" s="81" t="s">
        <v>743</v>
      </c>
      <c r="T176" s="86" t="str">
        <f>HYPERLINK("http://www.youtube.com/channel/UCishp5q9_MBqughD8R6_7dQ")</f>
        <v>http://www.youtube.com/channel/UCishp5q9_MBqughD8R6_7dQ</v>
      </c>
      <c r="U176" s="81"/>
      <c r="V176" s="81" t="s">
        <v>839</v>
      </c>
      <c r="W176" s="86" t="str">
        <f>HYPERLINK("https://www.youtube.com/watch?v=Ci9JYIJstPY")</f>
        <v>https://www.youtube.com/watch?v=Ci9JYIJstPY</v>
      </c>
      <c r="X176" s="81" t="s">
        <v>840</v>
      </c>
      <c r="Y176" s="81">
        <v>0</v>
      </c>
      <c r="Z176" s="88">
        <v>44323.04787037037</v>
      </c>
      <c r="AA176" s="88">
        <v>44323.04787037037</v>
      </c>
      <c r="AB176" s="81"/>
      <c r="AC176" s="81"/>
      <c r="AD176" s="84" t="s">
        <v>843</v>
      </c>
      <c r="AE176" s="82">
        <v>1</v>
      </c>
      <c r="AF176" s="83" t="str">
        <f>REPLACE(INDEX(GroupVertices[Group],MATCH(Edges[[#This Row],[Vertex 1]],GroupVertices[Vertex],0)),1,1,"")</f>
        <v>15</v>
      </c>
      <c r="AG176" s="83" t="str">
        <f>REPLACE(INDEX(GroupVertices[Group],MATCH(Edges[[#This Row],[Vertex 2]],GroupVertices[Vertex],0)),1,1,"")</f>
        <v>1</v>
      </c>
      <c r="AH176" s="111">
        <v>0</v>
      </c>
      <c r="AI176" s="112">
        <v>0</v>
      </c>
      <c r="AJ176" s="111">
        <v>0</v>
      </c>
      <c r="AK176" s="112">
        <v>0</v>
      </c>
      <c r="AL176" s="111">
        <v>0</v>
      </c>
      <c r="AM176" s="112">
        <v>0</v>
      </c>
      <c r="AN176" s="111">
        <v>0</v>
      </c>
      <c r="AO176" s="112">
        <v>0</v>
      </c>
      <c r="AP176" s="111">
        <v>0</v>
      </c>
    </row>
    <row r="177" spans="1:42" ht="15">
      <c r="A177" s="65" t="s">
        <v>471</v>
      </c>
      <c r="B177" s="65" t="s">
        <v>479</v>
      </c>
      <c r="C177" s="66" t="s">
        <v>1613</v>
      </c>
      <c r="D177" s="67">
        <v>3</v>
      </c>
      <c r="E177" s="68"/>
      <c r="F177" s="69">
        <v>40</v>
      </c>
      <c r="G177" s="66"/>
      <c r="H177" s="70"/>
      <c r="I177" s="71"/>
      <c r="J177" s="71"/>
      <c r="K177" s="35" t="s">
        <v>65</v>
      </c>
      <c r="L177" s="79">
        <v>177</v>
      </c>
      <c r="M177" s="79"/>
      <c r="N177" s="73"/>
      <c r="O177" s="81" t="s">
        <v>481</v>
      </c>
      <c r="P177" s="81" t="s">
        <v>314</v>
      </c>
      <c r="Q177" s="84" t="s">
        <v>658</v>
      </c>
      <c r="R177" s="81" t="s">
        <v>471</v>
      </c>
      <c r="S177" s="81" t="s">
        <v>811</v>
      </c>
      <c r="T177" s="86" t="str">
        <f>HYPERLINK("http://www.youtube.com/channel/UCIwkpHqUeqI0QDxQsKXcvTw")</f>
        <v>http://www.youtube.com/channel/UCIwkpHqUeqI0QDxQsKXcvTw</v>
      </c>
      <c r="U177" s="81"/>
      <c r="V177" s="81" t="s">
        <v>839</v>
      </c>
      <c r="W177" s="86" t="str">
        <f>HYPERLINK("https://www.youtube.com/watch?v=Ci9JYIJstPY")</f>
        <v>https://www.youtube.com/watch?v=Ci9JYIJstPY</v>
      </c>
      <c r="X177" s="81" t="s">
        <v>840</v>
      </c>
      <c r="Y177" s="81">
        <v>0</v>
      </c>
      <c r="Z177" s="88">
        <v>44323.535162037035</v>
      </c>
      <c r="AA177" s="88">
        <v>44323.535162037035</v>
      </c>
      <c r="AB177" s="81"/>
      <c r="AC177" s="81"/>
      <c r="AD177" s="84" t="s">
        <v>843</v>
      </c>
      <c r="AE177" s="82">
        <v>1</v>
      </c>
      <c r="AF177" s="83" t="str">
        <f>REPLACE(INDEX(GroupVertices[Group],MATCH(Edges[[#This Row],[Vertex 1]],GroupVertices[Vertex],0)),1,1,"")</f>
        <v>1</v>
      </c>
      <c r="AG177" s="83" t="str">
        <f>REPLACE(INDEX(GroupVertices[Group],MATCH(Edges[[#This Row],[Vertex 2]],GroupVertices[Vertex],0)),1,1,"")</f>
        <v>1</v>
      </c>
      <c r="AH177" s="111">
        <v>3</v>
      </c>
      <c r="AI177" s="112">
        <v>5.2631578947368425</v>
      </c>
      <c r="AJ177" s="111">
        <v>6</v>
      </c>
      <c r="AK177" s="112">
        <v>10.526315789473685</v>
      </c>
      <c r="AL177" s="111">
        <v>0</v>
      </c>
      <c r="AM177" s="112">
        <v>0</v>
      </c>
      <c r="AN177" s="111">
        <v>50</v>
      </c>
      <c r="AO177" s="112">
        <v>87.71929824561404</v>
      </c>
      <c r="AP177" s="111">
        <v>57</v>
      </c>
    </row>
    <row r="178" spans="1:42" ht="15">
      <c r="A178" s="65" t="s">
        <v>472</v>
      </c>
      <c r="B178" s="65" t="s">
        <v>479</v>
      </c>
      <c r="C178" s="66" t="s">
        <v>1614</v>
      </c>
      <c r="D178" s="67">
        <v>3</v>
      </c>
      <c r="E178" s="68"/>
      <c r="F178" s="69">
        <v>40</v>
      </c>
      <c r="G178" s="66"/>
      <c r="H178" s="70"/>
      <c r="I178" s="71"/>
      <c r="J178" s="71"/>
      <c r="K178" s="35" t="s">
        <v>65</v>
      </c>
      <c r="L178" s="79">
        <v>178</v>
      </c>
      <c r="M178" s="79"/>
      <c r="N178" s="73"/>
      <c r="O178" s="81" t="s">
        <v>481</v>
      </c>
      <c r="P178" s="81" t="s">
        <v>314</v>
      </c>
      <c r="Q178" s="84" t="s">
        <v>659</v>
      </c>
      <c r="R178" s="81" t="s">
        <v>472</v>
      </c>
      <c r="S178" s="81" t="s">
        <v>812</v>
      </c>
      <c r="T178" s="86" t="str">
        <f>HYPERLINK("http://www.youtube.com/channel/UCmUeMZkp5dvd_9XoLdWWdyw")</f>
        <v>http://www.youtube.com/channel/UCmUeMZkp5dvd_9XoLdWWdyw</v>
      </c>
      <c r="U178" s="81"/>
      <c r="V178" s="81" t="s">
        <v>839</v>
      </c>
      <c r="W178" s="86" t="str">
        <f>HYPERLINK("https://www.youtube.com/watch?v=Ci9JYIJstPY")</f>
        <v>https://www.youtube.com/watch?v=Ci9JYIJstPY</v>
      </c>
      <c r="X178" s="81" t="s">
        <v>840</v>
      </c>
      <c r="Y178" s="81">
        <v>0</v>
      </c>
      <c r="Z178" s="88">
        <v>44323.68046296296</v>
      </c>
      <c r="AA178" s="88">
        <v>44323.68046296296</v>
      </c>
      <c r="AB178" s="81"/>
      <c r="AC178" s="81"/>
      <c r="AD178" s="84" t="s">
        <v>843</v>
      </c>
      <c r="AE178" s="82">
        <v>2</v>
      </c>
      <c r="AF178" s="83" t="str">
        <f>REPLACE(INDEX(GroupVertices[Group],MATCH(Edges[[#This Row],[Vertex 1]],GroupVertices[Vertex],0)),1,1,"")</f>
        <v>1</v>
      </c>
      <c r="AG178" s="83" t="str">
        <f>REPLACE(INDEX(GroupVertices[Group],MATCH(Edges[[#This Row],[Vertex 2]],GroupVertices[Vertex],0)),1,1,"")</f>
        <v>1</v>
      </c>
      <c r="AH178" s="111">
        <v>1</v>
      </c>
      <c r="AI178" s="112">
        <v>7.6923076923076925</v>
      </c>
      <c r="AJ178" s="111">
        <v>0</v>
      </c>
      <c r="AK178" s="112">
        <v>0</v>
      </c>
      <c r="AL178" s="111">
        <v>0</v>
      </c>
      <c r="AM178" s="112">
        <v>0</v>
      </c>
      <c r="AN178" s="111">
        <v>12</v>
      </c>
      <c r="AO178" s="112">
        <v>92.3076923076923</v>
      </c>
      <c r="AP178" s="111">
        <v>13</v>
      </c>
    </row>
    <row r="179" spans="1:42" ht="15">
      <c r="A179" s="65" t="s">
        <v>472</v>
      </c>
      <c r="B179" s="65" t="s">
        <v>479</v>
      </c>
      <c r="C179" s="66" t="s">
        <v>1614</v>
      </c>
      <c r="D179" s="67">
        <v>3</v>
      </c>
      <c r="E179" s="68"/>
      <c r="F179" s="69">
        <v>40</v>
      </c>
      <c r="G179" s="66"/>
      <c r="H179" s="70"/>
      <c r="I179" s="71"/>
      <c r="J179" s="71"/>
      <c r="K179" s="35" t="s">
        <v>65</v>
      </c>
      <c r="L179" s="79">
        <v>179</v>
      </c>
      <c r="M179" s="79"/>
      <c r="N179" s="73"/>
      <c r="O179" s="81" t="s">
        <v>481</v>
      </c>
      <c r="P179" s="81" t="s">
        <v>314</v>
      </c>
      <c r="Q179" s="84" t="s">
        <v>660</v>
      </c>
      <c r="R179" s="81" t="s">
        <v>472</v>
      </c>
      <c r="S179" s="81" t="s">
        <v>812</v>
      </c>
      <c r="T179" s="86" t="str">
        <f>HYPERLINK("http://www.youtube.com/channel/UCmUeMZkp5dvd_9XoLdWWdyw")</f>
        <v>http://www.youtube.com/channel/UCmUeMZkp5dvd_9XoLdWWdyw</v>
      </c>
      <c r="U179" s="81"/>
      <c r="V179" s="81" t="s">
        <v>839</v>
      </c>
      <c r="W179" s="86" t="str">
        <f>HYPERLINK("https://www.youtube.com/watch?v=Ci9JYIJstPY")</f>
        <v>https://www.youtube.com/watch?v=Ci9JYIJstPY</v>
      </c>
      <c r="X179" s="81" t="s">
        <v>840</v>
      </c>
      <c r="Y179" s="81">
        <v>0</v>
      </c>
      <c r="Z179" s="88">
        <v>44323.68219907407</v>
      </c>
      <c r="AA179" s="88">
        <v>44323.68219907407</v>
      </c>
      <c r="AB179" s="81"/>
      <c r="AC179" s="81"/>
      <c r="AD179" s="84" t="s">
        <v>843</v>
      </c>
      <c r="AE179" s="82">
        <v>2</v>
      </c>
      <c r="AF179" s="83" t="str">
        <f>REPLACE(INDEX(GroupVertices[Group],MATCH(Edges[[#This Row],[Vertex 1]],GroupVertices[Vertex],0)),1,1,"")</f>
        <v>1</v>
      </c>
      <c r="AG179" s="83" t="str">
        <f>REPLACE(INDEX(GroupVertices[Group],MATCH(Edges[[#This Row],[Vertex 2]],GroupVertices[Vertex],0)),1,1,"")</f>
        <v>1</v>
      </c>
      <c r="AH179" s="111">
        <v>3</v>
      </c>
      <c r="AI179" s="112">
        <v>15</v>
      </c>
      <c r="AJ179" s="111">
        <v>1</v>
      </c>
      <c r="AK179" s="112">
        <v>5</v>
      </c>
      <c r="AL179" s="111">
        <v>0</v>
      </c>
      <c r="AM179" s="112">
        <v>0</v>
      </c>
      <c r="AN179" s="111">
        <v>17</v>
      </c>
      <c r="AO179" s="112">
        <v>85</v>
      </c>
      <c r="AP179" s="111">
        <v>20</v>
      </c>
    </row>
    <row r="180" spans="1:42" ht="15">
      <c r="A180" s="65" t="s">
        <v>473</v>
      </c>
      <c r="B180" s="65" t="s">
        <v>479</v>
      </c>
      <c r="C180" s="66" t="s">
        <v>1613</v>
      </c>
      <c r="D180" s="67">
        <v>3</v>
      </c>
      <c r="E180" s="68"/>
      <c r="F180" s="69">
        <v>40</v>
      </c>
      <c r="G180" s="66"/>
      <c r="H180" s="70"/>
      <c r="I180" s="71"/>
      <c r="J180" s="71"/>
      <c r="K180" s="35" t="s">
        <v>65</v>
      </c>
      <c r="L180" s="79">
        <v>180</v>
      </c>
      <c r="M180" s="79"/>
      <c r="N180" s="73"/>
      <c r="O180" s="81" t="s">
        <v>481</v>
      </c>
      <c r="P180" s="81" t="s">
        <v>314</v>
      </c>
      <c r="Q180" s="84" t="s">
        <v>661</v>
      </c>
      <c r="R180" s="81" t="s">
        <v>473</v>
      </c>
      <c r="S180" s="81" t="s">
        <v>813</v>
      </c>
      <c r="T180" s="86" t="str">
        <f>HYPERLINK("http://www.youtube.com/channel/UC-N5zjle-3v2D2XK501MXfw")</f>
        <v>http://www.youtube.com/channel/UC-N5zjle-3v2D2XK501MXfw</v>
      </c>
      <c r="U180" s="81"/>
      <c r="V180" s="81" t="s">
        <v>839</v>
      </c>
      <c r="W180" s="86" t="str">
        <f>HYPERLINK("https://www.youtube.com/watch?v=Ci9JYIJstPY")</f>
        <v>https://www.youtube.com/watch?v=Ci9JYIJstPY</v>
      </c>
      <c r="X180" s="81" t="s">
        <v>840</v>
      </c>
      <c r="Y180" s="81">
        <v>1</v>
      </c>
      <c r="Z180" s="88">
        <v>44323.84594907407</v>
      </c>
      <c r="AA180" s="88">
        <v>44323.84594907407</v>
      </c>
      <c r="AB180" s="81"/>
      <c r="AC180" s="81"/>
      <c r="AD180" s="84" t="s">
        <v>843</v>
      </c>
      <c r="AE180" s="82">
        <v>1</v>
      </c>
      <c r="AF180" s="83" t="str">
        <f>REPLACE(INDEX(GroupVertices[Group],MATCH(Edges[[#This Row],[Vertex 1]],GroupVertices[Vertex],0)),1,1,"")</f>
        <v>1</v>
      </c>
      <c r="AG180" s="83" t="str">
        <f>REPLACE(INDEX(GroupVertices[Group],MATCH(Edges[[#This Row],[Vertex 2]],GroupVertices[Vertex],0)),1,1,"")</f>
        <v>1</v>
      </c>
      <c r="AH180" s="111">
        <v>2</v>
      </c>
      <c r="AI180" s="112">
        <v>14.285714285714286</v>
      </c>
      <c r="AJ180" s="111">
        <v>1</v>
      </c>
      <c r="AK180" s="112">
        <v>7.142857142857143</v>
      </c>
      <c r="AL180" s="111">
        <v>0</v>
      </c>
      <c r="AM180" s="112">
        <v>0</v>
      </c>
      <c r="AN180" s="111">
        <v>12</v>
      </c>
      <c r="AO180" s="112">
        <v>85.71428571428571</v>
      </c>
      <c r="AP180" s="111">
        <v>14</v>
      </c>
    </row>
    <row r="181" spans="1:42" ht="15">
      <c r="A181" s="65" t="s">
        <v>474</v>
      </c>
      <c r="B181" s="65" t="s">
        <v>479</v>
      </c>
      <c r="C181" s="66" t="s">
        <v>1613</v>
      </c>
      <c r="D181" s="67">
        <v>3</v>
      </c>
      <c r="E181" s="68"/>
      <c r="F181" s="69">
        <v>40</v>
      </c>
      <c r="G181" s="66"/>
      <c r="H181" s="70"/>
      <c r="I181" s="71"/>
      <c r="J181" s="71"/>
      <c r="K181" s="35" t="s">
        <v>65</v>
      </c>
      <c r="L181" s="79">
        <v>181</v>
      </c>
      <c r="M181" s="79"/>
      <c r="N181" s="73"/>
      <c r="O181" s="81" t="s">
        <v>481</v>
      </c>
      <c r="P181" s="81" t="s">
        <v>314</v>
      </c>
      <c r="Q181" s="84" t="s">
        <v>662</v>
      </c>
      <c r="R181" s="81" t="s">
        <v>474</v>
      </c>
      <c r="S181" s="81" t="s">
        <v>814</v>
      </c>
      <c r="T181" s="86" t="str">
        <f>HYPERLINK("http://www.youtube.com/channel/UCeMolquxnK8TDDHkEj-A8Zw")</f>
        <v>http://www.youtube.com/channel/UCeMolquxnK8TDDHkEj-A8Zw</v>
      </c>
      <c r="U181" s="81"/>
      <c r="V181" s="81" t="s">
        <v>839</v>
      </c>
      <c r="W181" s="86" t="str">
        <f>HYPERLINK("https://www.youtube.com/watch?v=Ci9JYIJstPY")</f>
        <v>https://www.youtube.com/watch?v=Ci9JYIJstPY</v>
      </c>
      <c r="X181" s="81" t="s">
        <v>840</v>
      </c>
      <c r="Y181" s="81">
        <v>0</v>
      </c>
      <c r="Z181" s="88">
        <v>44323.91755787037</v>
      </c>
      <c r="AA181" s="88">
        <v>44323.91755787037</v>
      </c>
      <c r="AB181" s="81"/>
      <c r="AC181" s="81"/>
      <c r="AD181" s="84" t="s">
        <v>843</v>
      </c>
      <c r="AE181" s="82">
        <v>1</v>
      </c>
      <c r="AF181" s="83" t="str">
        <f>REPLACE(INDEX(GroupVertices[Group],MATCH(Edges[[#This Row],[Vertex 1]],GroupVertices[Vertex],0)),1,1,"")</f>
        <v>1</v>
      </c>
      <c r="AG181" s="83" t="str">
        <f>REPLACE(INDEX(GroupVertices[Group],MATCH(Edges[[#This Row],[Vertex 2]],GroupVertices[Vertex],0)),1,1,"")</f>
        <v>1</v>
      </c>
      <c r="AH181" s="111">
        <v>1</v>
      </c>
      <c r="AI181" s="112">
        <v>33.333333333333336</v>
      </c>
      <c r="AJ181" s="111">
        <v>0</v>
      </c>
      <c r="AK181" s="112">
        <v>0</v>
      </c>
      <c r="AL181" s="111">
        <v>0</v>
      </c>
      <c r="AM181" s="112">
        <v>0</v>
      </c>
      <c r="AN181" s="111">
        <v>2</v>
      </c>
      <c r="AO181" s="112">
        <v>66.66666666666667</v>
      </c>
      <c r="AP181" s="111">
        <v>3</v>
      </c>
    </row>
    <row r="182" spans="1:42" ht="15">
      <c r="A182" s="65" t="s">
        <v>475</v>
      </c>
      <c r="B182" s="65" t="s">
        <v>479</v>
      </c>
      <c r="C182" s="66" t="s">
        <v>1613</v>
      </c>
      <c r="D182" s="67">
        <v>3</v>
      </c>
      <c r="E182" s="68"/>
      <c r="F182" s="69">
        <v>40</v>
      </c>
      <c r="G182" s="66"/>
      <c r="H182" s="70"/>
      <c r="I182" s="71"/>
      <c r="J182" s="71"/>
      <c r="K182" s="35" t="s">
        <v>65</v>
      </c>
      <c r="L182" s="79">
        <v>182</v>
      </c>
      <c r="M182" s="79"/>
      <c r="N182" s="73"/>
      <c r="O182" s="81" t="s">
        <v>481</v>
      </c>
      <c r="P182" s="81" t="s">
        <v>314</v>
      </c>
      <c r="Q182" s="84" t="s">
        <v>663</v>
      </c>
      <c r="R182" s="81" t="s">
        <v>475</v>
      </c>
      <c r="S182" s="81" t="s">
        <v>815</v>
      </c>
      <c r="T182" s="86" t="str">
        <f>HYPERLINK("http://www.youtube.com/channel/UC7Qdhojel0tnqLB9_hEEByQ")</f>
        <v>http://www.youtube.com/channel/UC7Qdhojel0tnqLB9_hEEByQ</v>
      </c>
      <c r="U182" s="81"/>
      <c r="V182" s="81" t="s">
        <v>839</v>
      </c>
      <c r="W182" s="86" t="str">
        <f>HYPERLINK("https://www.youtube.com/watch?v=Ci9JYIJstPY")</f>
        <v>https://www.youtube.com/watch?v=Ci9JYIJstPY</v>
      </c>
      <c r="X182" s="81" t="s">
        <v>840</v>
      </c>
      <c r="Y182" s="81">
        <v>0</v>
      </c>
      <c r="Z182" s="88">
        <v>44324.930451388886</v>
      </c>
      <c r="AA182" s="88">
        <v>44324.930451388886</v>
      </c>
      <c r="AB182" s="81"/>
      <c r="AC182" s="81"/>
      <c r="AD182" s="84" t="s">
        <v>843</v>
      </c>
      <c r="AE182" s="82">
        <v>1</v>
      </c>
      <c r="AF182" s="83" t="str">
        <f>REPLACE(INDEX(GroupVertices[Group],MATCH(Edges[[#This Row],[Vertex 1]],GroupVertices[Vertex],0)),1,1,"")</f>
        <v>1</v>
      </c>
      <c r="AG182" s="83" t="str">
        <f>REPLACE(INDEX(GroupVertices[Group],MATCH(Edges[[#This Row],[Vertex 2]],GroupVertices[Vertex],0)),1,1,"")</f>
        <v>1</v>
      </c>
      <c r="AH182" s="111">
        <v>2</v>
      </c>
      <c r="AI182" s="112">
        <v>18.181818181818183</v>
      </c>
      <c r="AJ182" s="111">
        <v>1</v>
      </c>
      <c r="AK182" s="112">
        <v>9.090909090909092</v>
      </c>
      <c r="AL182" s="111">
        <v>0</v>
      </c>
      <c r="AM182" s="112">
        <v>0</v>
      </c>
      <c r="AN182" s="111">
        <v>9</v>
      </c>
      <c r="AO182" s="112">
        <v>81.81818181818181</v>
      </c>
      <c r="AP182" s="111">
        <v>11</v>
      </c>
    </row>
    <row r="183" spans="1:42" ht="15">
      <c r="A183" s="65" t="s">
        <v>476</v>
      </c>
      <c r="B183" s="65" t="s">
        <v>479</v>
      </c>
      <c r="C183" s="66" t="s">
        <v>1613</v>
      </c>
      <c r="D183" s="67">
        <v>3</v>
      </c>
      <c r="E183" s="68"/>
      <c r="F183" s="69">
        <v>40</v>
      </c>
      <c r="G183" s="66"/>
      <c r="H183" s="70"/>
      <c r="I183" s="71"/>
      <c r="J183" s="71"/>
      <c r="K183" s="35" t="s">
        <v>65</v>
      </c>
      <c r="L183" s="79">
        <v>183</v>
      </c>
      <c r="M183" s="79"/>
      <c r="N183" s="73"/>
      <c r="O183" s="81" t="s">
        <v>481</v>
      </c>
      <c r="P183" s="81" t="s">
        <v>314</v>
      </c>
      <c r="Q183" s="84" t="s">
        <v>664</v>
      </c>
      <c r="R183" s="81" t="s">
        <v>476</v>
      </c>
      <c r="S183" s="81" t="s">
        <v>816</v>
      </c>
      <c r="T183" s="86" t="str">
        <f>HYPERLINK("http://www.youtube.com/channel/UCTc7z4Q7L2jjfRw0DW1JxlA")</f>
        <v>http://www.youtube.com/channel/UCTc7z4Q7L2jjfRw0DW1JxlA</v>
      </c>
      <c r="U183" s="81"/>
      <c r="V183" s="81" t="s">
        <v>839</v>
      </c>
      <c r="W183" s="86" t="str">
        <f>HYPERLINK("https://www.youtube.com/watch?v=Ci9JYIJstPY")</f>
        <v>https://www.youtube.com/watch?v=Ci9JYIJstPY</v>
      </c>
      <c r="X183" s="81" t="s">
        <v>840</v>
      </c>
      <c r="Y183" s="81">
        <v>0</v>
      </c>
      <c r="Z183" s="88">
        <v>44326.36604166667</v>
      </c>
      <c r="AA183" s="88">
        <v>44326.36604166667</v>
      </c>
      <c r="AB183" s="81"/>
      <c r="AC183" s="81"/>
      <c r="AD183" s="84" t="s">
        <v>843</v>
      </c>
      <c r="AE183" s="82">
        <v>1</v>
      </c>
      <c r="AF183" s="83" t="str">
        <f>REPLACE(INDEX(GroupVertices[Group],MATCH(Edges[[#This Row],[Vertex 1]],GroupVertices[Vertex],0)),1,1,"")</f>
        <v>1</v>
      </c>
      <c r="AG183" s="83" t="str">
        <f>REPLACE(INDEX(GroupVertices[Group],MATCH(Edges[[#This Row],[Vertex 2]],GroupVertices[Vertex],0)),1,1,"")</f>
        <v>1</v>
      </c>
      <c r="AH183" s="111">
        <v>1</v>
      </c>
      <c r="AI183" s="112">
        <v>6.25</v>
      </c>
      <c r="AJ183" s="111">
        <v>0</v>
      </c>
      <c r="AK183" s="112">
        <v>0</v>
      </c>
      <c r="AL183" s="111">
        <v>0</v>
      </c>
      <c r="AM183" s="112">
        <v>0</v>
      </c>
      <c r="AN183" s="111">
        <v>15</v>
      </c>
      <c r="AO183" s="112">
        <v>93.75</v>
      </c>
      <c r="AP183" s="111">
        <v>16</v>
      </c>
    </row>
    <row r="184" spans="1:42" ht="15">
      <c r="A184" s="65" t="s">
        <v>477</v>
      </c>
      <c r="B184" s="65" t="s">
        <v>478</v>
      </c>
      <c r="C184" s="66" t="s">
        <v>1613</v>
      </c>
      <c r="D184" s="67">
        <v>3</v>
      </c>
      <c r="E184" s="68"/>
      <c r="F184" s="69">
        <v>40</v>
      </c>
      <c r="G184" s="66"/>
      <c r="H184" s="70"/>
      <c r="I184" s="71"/>
      <c r="J184" s="71"/>
      <c r="K184" s="35" t="s">
        <v>65</v>
      </c>
      <c r="L184" s="79">
        <v>184</v>
      </c>
      <c r="M184" s="79"/>
      <c r="N184" s="73"/>
      <c r="O184" s="81" t="s">
        <v>482</v>
      </c>
      <c r="P184" s="81" t="s">
        <v>484</v>
      </c>
      <c r="Q184" s="84" t="s">
        <v>665</v>
      </c>
      <c r="R184" s="81" t="s">
        <v>477</v>
      </c>
      <c r="S184" s="81" t="s">
        <v>817</v>
      </c>
      <c r="T184" s="86" t="str">
        <f>HYPERLINK("http://www.youtube.com/channel/UCCpfJjPNtxpHSI3ZBQi6P8w")</f>
        <v>http://www.youtube.com/channel/UCCpfJjPNtxpHSI3ZBQi6P8w</v>
      </c>
      <c r="U184" s="81" t="s">
        <v>838</v>
      </c>
      <c r="V184" s="81" t="s">
        <v>839</v>
      </c>
      <c r="W184" s="86" t="str">
        <f>HYPERLINK("https://www.youtube.com/watch?v=Ci9JYIJstPY")</f>
        <v>https://www.youtube.com/watch?v=Ci9JYIJstPY</v>
      </c>
      <c r="X184" s="81" t="s">
        <v>840</v>
      </c>
      <c r="Y184" s="81">
        <v>5</v>
      </c>
      <c r="Z184" s="88">
        <v>44322.48653935185</v>
      </c>
      <c r="AA184" s="88">
        <v>44322.48653935185</v>
      </c>
      <c r="AB184" s="81"/>
      <c r="AC184" s="81"/>
      <c r="AD184" s="84" t="s">
        <v>843</v>
      </c>
      <c r="AE184" s="82">
        <v>1</v>
      </c>
      <c r="AF184" s="83" t="str">
        <f>REPLACE(INDEX(GroupVertices[Group],MATCH(Edges[[#This Row],[Vertex 1]],GroupVertices[Vertex],0)),1,1,"")</f>
        <v>10</v>
      </c>
      <c r="AG184" s="83" t="str">
        <f>REPLACE(INDEX(GroupVertices[Group],MATCH(Edges[[#This Row],[Vertex 2]],GroupVertices[Vertex],0)),1,1,"")</f>
        <v>10</v>
      </c>
      <c r="AH184" s="111">
        <v>0</v>
      </c>
      <c r="AI184" s="112">
        <v>0</v>
      </c>
      <c r="AJ184" s="111">
        <v>0</v>
      </c>
      <c r="AK184" s="112">
        <v>0</v>
      </c>
      <c r="AL184" s="111">
        <v>0</v>
      </c>
      <c r="AM184" s="112">
        <v>0</v>
      </c>
      <c r="AN184" s="111">
        <v>6</v>
      </c>
      <c r="AO184" s="112">
        <v>100</v>
      </c>
      <c r="AP184" s="111">
        <v>6</v>
      </c>
    </row>
    <row r="185" spans="1:42" ht="15">
      <c r="A185" s="65" t="s">
        <v>478</v>
      </c>
      <c r="B185" s="65" t="s">
        <v>479</v>
      </c>
      <c r="C185" s="66" t="s">
        <v>1613</v>
      </c>
      <c r="D185" s="67">
        <v>3</v>
      </c>
      <c r="E185" s="68"/>
      <c r="F185" s="69">
        <v>40</v>
      </c>
      <c r="G185" s="66"/>
      <c r="H185" s="70"/>
      <c r="I185" s="71"/>
      <c r="J185" s="71"/>
      <c r="K185" s="35" t="s">
        <v>65</v>
      </c>
      <c r="L185" s="79">
        <v>185</v>
      </c>
      <c r="M185" s="79"/>
      <c r="N185" s="73"/>
      <c r="O185" s="81" t="s">
        <v>481</v>
      </c>
      <c r="P185" s="81" t="s">
        <v>314</v>
      </c>
      <c r="Q185" s="84" t="s">
        <v>666</v>
      </c>
      <c r="R185" s="81" t="s">
        <v>478</v>
      </c>
      <c r="S185" s="81" t="s">
        <v>818</v>
      </c>
      <c r="T185" s="86" t="str">
        <f>HYPERLINK("http://www.youtube.com/channel/UCFaJOQg4hhsFxk1Y4ZAmrIg")</f>
        <v>http://www.youtube.com/channel/UCFaJOQg4hhsFxk1Y4ZAmrIg</v>
      </c>
      <c r="U185" s="81"/>
      <c r="V185" s="81" t="s">
        <v>839</v>
      </c>
      <c r="W185" s="86" t="str">
        <f>HYPERLINK("https://www.youtube.com/watch?v=Ci9JYIJstPY")</f>
        <v>https://www.youtube.com/watch?v=Ci9JYIJstPY</v>
      </c>
      <c r="X185" s="81" t="s">
        <v>840</v>
      </c>
      <c r="Y185" s="81">
        <v>41</v>
      </c>
      <c r="Z185" s="88">
        <v>44322.35267361111</v>
      </c>
      <c r="AA185" s="88">
        <v>44322.35267361111</v>
      </c>
      <c r="AB185" s="81"/>
      <c r="AC185" s="81"/>
      <c r="AD185" s="84" t="s">
        <v>843</v>
      </c>
      <c r="AE185" s="82">
        <v>1</v>
      </c>
      <c r="AF185" s="83" t="str">
        <f>REPLACE(INDEX(GroupVertices[Group],MATCH(Edges[[#This Row],[Vertex 1]],GroupVertices[Vertex],0)),1,1,"")</f>
        <v>10</v>
      </c>
      <c r="AG185" s="83" t="str">
        <f>REPLACE(INDEX(GroupVertices[Group],MATCH(Edges[[#This Row],[Vertex 2]],GroupVertices[Vertex],0)),1,1,"")</f>
        <v>1</v>
      </c>
      <c r="AH185" s="111">
        <v>3</v>
      </c>
      <c r="AI185" s="112">
        <v>3.5714285714285716</v>
      </c>
      <c r="AJ185" s="111">
        <v>4</v>
      </c>
      <c r="AK185" s="112">
        <v>4.761904761904762</v>
      </c>
      <c r="AL185" s="111">
        <v>0</v>
      </c>
      <c r="AM185" s="112">
        <v>0</v>
      </c>
      <c r="AN185" s="111">
        <v>79</v>
      </c>
      <c r="AO185" s="112">
        <v>94.04761904761905</v>
      </c>
      <c r="AP185" s="111">
        <v>84</v>
      </c>
    </row>
    <row r="186" spans="1:42" ht="15">
      <c r="A186" s="65" t="s">
        <v>479</v>
      </c>
      <c r="B186" s="65" t="s">
        <v>479</v>
      </c>
      <c r="C186" s="66" t="s">
        <v>1613</v>
      </c>
      <c r="D186" s="67">
        <v>3</v>
      </c>
      <c r="E186" s="68"/>
      <c r="F186" s="69">
        <v>40</v>
      </c>
      <c r="G186" s="66"/>
      <c r="H186" s="70"/>
      <c r="I186" s="71"/>
      <c r="J186" s="71"/>
      <c r="K186" s="35" t="s">
        <v>65</v>
      </c>
      <c r="L186" s="79">
        <v>186</v>
      </c>
      <c r="M186" s="79"/>
      <c r="N186" s="73"/>
      <c r="O186" s="81" t="s">
        <v>483</v>
      </c>
      <c r="P186" s="81"/>
      <c r="Q186" s="81"/>
      <c r="R186" s="81"/>
      <c r="S186" s="81"/>
      <c r="T186" s="81"/>
      <c r="U186" s="81"/>
      <c r="V186" s="81" t="s">
        <v>839</v>
      </c>
      <c r="W186" s="86" t="str">
        <f>HYPERLINK("https://www.youtube.com/watch?v=Ci9JYIJstPY")</f>
        <v>https://www.youtube.com/watch?v=Ci9JYIJstPY</v>
      </c>
      <c r="X186" s="81"/>
      <c r="Y186" s="81"/>
      <c r="Z186" s="88">
        <v>44322.03233796296</v>
      </c>
      <c r="AA186" s="81"/>
      <c r="AB186" s="81"/>
      <c r="AC186" s="81"/>
      <c r="AD186" s="81"/>
      <c r="AE186">
        <v>1</v>
      </c>
      <c r="AF186" s="80" t="str">
        <f>REPLACE(INDEX(GroupVertices[Group],MATCH(Edges[[#This Row],[Vertex 1]],GroupVertices[Vertex],0)),1,1,"")</f>
        <v>1</v>
      </c>
      <c r="AG186" s="80" t="str">
        <f>REPLACE(INDEX(GroupVertices[Group],MATCH(Edges[[#This Row],[Vertex 2]],GroupVertices[Vertex],0)),1,1,"")</f>
        <v>1</v>
      </c>
      <c r="AH186" s="49"/>
      <c r="AI186" s="50"/>
      <c r="AJ186" s="49"/>
      <c r="AK186" s="50"/>
      <c r="AL186" s="49"/>
      <c r="AM186" s="50"/>
      <c r="AN186" s="49"/>
      <c r="AO186" s="50"/>
      <c r="AP18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6"/>
    <dataValidation allowBlank="1" showErrorMessage="1" sqref="N2:N1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6"/>
    <dataValidation allowBlank="1" showInputMessage="1" promptTitle="Edge Color" prompt="To select an optional edge color, right-click and select Select Color on the right-click menu." sqref="C3:C186"/>
    <dataValidation allowBlank="1" showInputMessage="1" promptTitle="Edge Width" prompt="Enter an optional edge width between 1 and 10." errorTitle="Invalid Edge Width" error="The optional edge width must be a whole number between 1 and 10." sqref="D3:D186"/>
    <dataValidation allowBlank="1" showInputMessage="1" promptTitle="Edge Opacity" prompt="Enter an optional edge opacity between 0 (transparent) and 100 (opaque)." errorTitle="Invalid Edge Opacity" error="The optional edge opacity must be a whole number between 0 and 10." sqref="F3:F1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6">
      <formula1>ValidEdgeVisibilities</formula1>
    </dataValidation>
    <dataValidation allowBlank="1" showInputMessage="1" showErrorMessage="1" promptTitle="Vertex 1 Name" prompt="Enter the name of the edge's first vertex." sqref="A3:A186"/>
    <dataValidation allowBlank="1" showInputMessage="1" showErrorMessage="1" promptTitle="Vertex 2 Name" prompt="Enter the name of the edge's second vertex." sqref="B3:B186"/>
    <dataValidation allowBlank="1" showInputMessage="1" showErrorMessage="1" promptTitle="Edge Label" prompt="Enter an optional edge label." errorTitle="Invalid Edge Visibility" error="You have entered an unrecognized edge visibility.  Try selecting from the drop-down list instead." sqref="H3:H1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9EDF3-C762-4D3D-8C00-7791ACF7564D}">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1178</v>
      </c>
      <c r="B2" s="115" t="s">
        <v>1179</v>
      </c>
      <c r="C2" s="54" t="s">
        <v>1180</v>
      </c>
    </row>
    <row r="3" spans="1:3" ht="15">
      <c r="A3" s="114" t="s">
        <v>873</v>
      </c>
      <c r="B3" s="114" t="s">
        <v>873</v>
      </c>
      <c r="C3" s="35">
        <v>111</v>
      </c>
    </row>
    <row r="4" spans="1:3" ht="15">
      <c r="A4" s="114" t="s">
        <v>874</v>
      </c>
      <c r="B4" s="121" t="s">
        <v>873</v>
      </c>
      <c r="C4" s="35">
        <v>4</v>
      </c>
    </row>
    <row r="5" spans="1:3" ht="15">
      <c r="A5" s="114" t="s">
        <v>874</v>
      </c>
      <c r="B5" s="121" t="s">
        <v>874</v>
      </c>
      <c r="C5" s="35">
        <v>7</v>
      </c>
    </row>
    <row r="6" spans="1:3" ht="15">
      <c r="A6" s="114" t="s">
        <v>875</v>
      </c>
      <c r="B6" s="121" t="s">
        <v>873</v>
      </c>
      <c r="C6" s="35">
        <v>3</v>
      </c>
    </row>
    <row r="7" spans="1:3" ht="15">
      <c r="A7" s="114" t="s">
        <v>875</v>
      </c>
      <c r="B7" s="121" t="s">
        <v>875</v>
      </c>
      <c r="C7" s="35">
        <v>5</v>
      </c>
    </row>
    <row r="8" spans="1:3" ht="15">
      <c r="A8" s="114" t="s">
        <v>876</v>
      </c>
      <c r="B8" s="121" t="s">
        <v>873</v>
      </c>
      <c r="C8" s="35">
        <v>2</v>
      </c>
    </row>
    <row r="9" spans="1:3" ht="15">
      <c r="A9" s="114" t="s">
        <v>876</v>
      </c>
      <c r="B9" s="121" t="s">
        <v>876</v>
      </c>
      <c r="C9" s="35">
        <v>9</v>
      </c>
    </row>
    <row r="10" spans="1:3" ht="15">
      <c r="A10" s="114" t="s">
        <v>877</v>
      </c>
      <c r="B10" s="121" t="s">
        <v>873</v>
      </c>
      <c r="C10" s="35">
        <v>1</v>
      </c>
    </row>
    <row r="11" spans="1:3" ht="15">
      <c r="A11" s="114" t="s">
        <v>877</v>
      </c>
      <c r="B11" s="121" t="s">
        <v>877</v>
      </c>
      <c r="C11" s="35">
        <v>4</v>
      </c>
    </row>
    <row r="12" spans="1:3" ht="15">
      <c r="A12" s="114" t="s">
        <v>878</v>
      </c>
      <c r="B12" s="121" t="s">
        <v>873</v>
      </c>
      <c r="C12" s="35">
        <v>1</v>
      </c>
    </row>
    <row r="13" spans="1:3" ht="15">
      <c r="A13" s="114" t="s">
        <v>878</v>
      </c>
      <c r="B13" s="121" t="s">
        <v>878</v>
      </c>
      <c r="C13" s="35">
        <v>2</v>
      </c>
    </row>
    <row r="14" spans="1:3" ht="15">
      <c r="A14" s="114" t="s">
        <v>879</v>
      </c>
      <c r="B14" s="121" t="s">
        <v>873</v>
      </c>
      <c r="C14" s="35">
        <v>1</v>
      </c>
    </row>
    <row r="15" spans="1:3" ht="15">
      <c r="A15" s="114" t="s">
        <v>879</v>
      </c>
      <c r="B15" s="121" t="s">
        <v>879</v>
      </c>
      <c r="C15" s="35">
        <v>7</v>
      </c>
    </row>
    <row r="16" spans="1:3" ht="15">
      <c r="A16" s="114" t="s">
        <v>880</v>
      </c>
      <c r="B16" s="121" t="s">
        <v>873</v>
      </c>
      <c r="C16" s="35">
        <v>1</v>
      </c>
    </row>
    <row r="17" spans="1:3" ht="15">
      <c r="A17" s="114" t="s">
        <v>880</v>
      </c>
      <c r="B17" s="121" t="s">
        <v>880</v>
      </c>
      <c r="C17" s="35">
        <v>2</v>
      </c>
    </row>
    <row r="18" spans="1:3" ht="15">
      <c r="A18" s="114" t="s">
        <v>881</v>
      </c>
      <c r="B18" s="121" t="s">
        <v>873</v>
      </c>
      <c r="C18" s="35">
        <v>1</v>
      </c>
    </row>
    <row r="19" spans="1:3" ht="15">
      <c r="A19" s="114" t="s">
        <v>881</v>
      </c>
      <c r="B19" s="121" t="s">
        <v>881</v>
      </c>
      <c r="C19" s="35">
        <v>2</v>
      </c>
    </row>
    <row r="20" spans="1:3" ht="15">
      <c r="A20" s="114" t="s">
        <v>882</v>
      </c>
      <c r="B20" s="121" t="s">
        <v>873</v>
      </c>
      <c r="C20" s="35">
        <v>1</v>
      </c>
    </row>
    <row r="21" spans="1:3" ht="15">
      <c r="A21" s="114" t="s">
        <v>882</v>
      </c>
      <c r="B21" s="121" t="s">
        <v>882</v>
      </c>
      <c r="C21" s="35">
        <v>1</v>
      </c>
    </row>
    <row r="22" spans="1:3" ht="15">
      <c r="A22" s="114" t="s">
        <v>883</v>
      </c>
      <c r="B22" s="121" t="s">
        <v>873</v>
      </c>
      <c r="C22" s="35">
        <v>1</v>
      </c>
    </row>
    <row r="23" spans="1:3" ht="15">
      <c r="A23" s="114" t="s">
        <v>883</v>
      </c>
      <c r="B23" s="121" t="s">
        <v>883</v>
      </c>
      <c r="C23" s="35">
        <v>1</v>
      </c>
    </row>
    <row r="24" spans="1:3" ht="15">
      <c r="A24" s="114" t="s">
        <v>884</v>
      </c>
      <c r="B24" s="121" t="s">
        <v>873</v>
      </c>
      <c r="C24" s="35">
        <v>1</v>
      </c>
    </row>
    <row r="25" spans="1:3" ht="15">
      <c r="A25" s="114" t="s">
        <v>884</v>
      </c>
      <c r="B25" s="121" t="s">
        <v>884</v>
      </c>
      <c r="C25" s="35">
        <v>1</v>
      </c>
    </row>
    <row r="26" spans="1:3" ht="15">
      <c r="A26" s="114" t="s">
        <v>885</v>
      </c>
      <c r="B26" s="121" t="s">
        <v>873</v>
      </c>
      <c r="C26" s="35">
        <v>1</v>
      </c>
    </row>
    <row r="27" spans="1:3" ht="15">
      <c r="A27" s="114" t="s">
        <v>885</v>
      </c>
      <c r="B27" s="121" t="s">
        <v>885</v>
      </c>
      <c r="C27" s="35">
        <v>2</v>
      </c>
    </row>
    <row r="28" spans="1:3" ht="15">
      <c r="A28" s="114" t="s">
        <v>886</v>
      </c>
      <c r="B28" s="121" t="s">
        <v>873</v>
      </c>
      <c r="C28" s="35">
        <v>1</v>
      </c>
    </row>
    <row r="29" spans="1:3" ht="15">
      <c r="A29" s="114" t="s">
        <v>886</v>
      </c>
      <c r="B29" s="121" t="s">
        <v>886</v>
      </c>
      <c r="C29" s="35">
        <v>1</v>
      </c>
    </row>
    <row r="30" spans="1:3" ht="15">
      <c r="A30" s="114" t="s">
        <v>887</v>
      </c>
      <c r="B30" s="121" t="s">
        <v>873</v>
      </c>
      <c r="C30" s="35">
        <v>2</v>
      </c>
    </row>
    <row r="31" spans="1:3" ht="15">
      <c r="A31" s="114" t="s">
        <v>887</v>
      </c>
      <c r="B31" s="121" t="s">
        <v>887</v>
      </c>
      <c r="C31" s="35">
        <v>1</v>
      </c>
    </row>
    <row r="32" spans="1:3" ht="15">
      <c r="A32" s="114" t="s">
        <v>888</v>
      </c>
      <c r="B32" s="121" t="s">
        <v>873</v>
      </c>
      <c r="C32" s="35">
        <v>1</v>
      </c>
    </row>
    <row r="33" spans="1:3" ht="15">
      <c r="A33" s="114" t="s">
        <v>888</v>
      </c>
      <c r="B33" s="121" t="s">
        <v>888</v>
      </c>
      <c r="C33" s="35">
        <v>2</v>
      </c>
    </row>
    <row r="34" spans="1:3" ht="15">
      <c r="A34" s="114" t="s">
        <v>889</v>
      </c>
      <c r="B34" s="121" t="s">
        <v>873</v>
      </c>
      <c r="C34" s="35">
        <v>2</v>
      </c>
    </row>
    <row r="35" spans="1:3" ht="15">
      <c r="A35" s="122" t="s">
        <v>889</v>
      </c>
      <c r="B35" s="121" t="s">
        <v>889</v>
      </c>
      <c r="C35"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9DF5A-38DE-41FF-A7F6-4EA5BB41FF9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1199</v>
      </c>
      <c r="B1" s="13" t="s">
        <v>17</v>
      </c>
    </row>
    <row r="2" spans="1:2" ht="15">
      <c r="A2" s="80" t="s">
        <v>1200</v>
      </c>
      <c r="B2" s="80" t="s">
        <v>1206</v>
      </c>
    </row>
    <row r="3" spans="1:2" ht="15">
      <c r="A3" s="81" t="s">
        <v>1201</v>
      </c>
      <c r="B3" s="80" t="s">
        <v>1207</v>
      </c>
    </row>
    <row r="4" spans="1:2" ht="15">
      <c r="A4" s="81" t="s">
        <v>1202</v>
      </c>
      <c r="B4" s="80" t="s">
        <v>1208</v>
      </c>
    </row>
    <row r="5" spans="1:2" ht="15">
      <c r="A5" s="81" t="s">
        <v>1203</v>
      </c>
      <c r="B5" s="80" t="s">
        <v>1209</v>
      </c>
    </row>
    <row r="6" spans="1:2" ht="15">
      <c r="A6" s="81" t="s">
        <v>1204</v>
      </c>
      <c r="B6" s="80" t="s">
        <v>1210</v>
      </c>
    </row>
    <row r="7" spans="1:2" ht="15">
      <c r="A7" s="81" t="s">
        <v>1205</v>
      </c>
      <c r="B7" s="80" t="s">
        <v>1211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BF4C1-A1E9-41C8-A085-B4BF31AEB9F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1212</v>
      </c>
      <c r="B1" s="13" t="s">
        <v>34</v>
      </c>
    </row>
    <row r="2" spans="1:2" ht="15">
      <c r="A2" s="105" t="s">
        <v>479</v>
      </c>
      <c r="B2" s="80">
        <v>22819</v>
      </c>
    </row>
    <row r="3" spans="1:2" ht="15">
      <c r="A3" s="108" t="s">
        <v>338</v>
      </c>
      <c r="B3" s="80">
        <v>1196</v>
      </c>
    </row>
    <row r="4" spans="1:2" ht="15">
      <c r="A4" s="108" t="s">
        <v>407</v>
      </c>
      <c r="B4" s="80">
        <v>749</v>
      </c>
    </row>
    <row r="5" spans="1:2" ht="15">
      <c r="A5" s="108" t="s">
        <v>396</v>
      </c>
      <c r="B5" s="80">
        <v>602</v>
      </c>
    </row>
    <row r="6" spans="1:2" ht="15">
      <c r="A6" s="108" t="s">
        <v>357</v>
      </c>
      <c r="B6" s="80">
        <v>602</v>
      </c>
    </row>
    <row r="7" spans="1:2" ht="15">
      <c r="A7" s="108" t="s">
        <v>348</v>
      </c>
      <c r="B7" s="80">
        <v>602</v>
      </c>
    </row>
    <row r="8" spans="1:2" ht="15">
      <c r="A8" s="108" t="s">
        <v>435</v>
      </c>
      <c r="B8" s="80">
        <v>602</v>
      </c>
    </row>
    <row r="9" spans="1:2" ht="15">
      <c r="A9" s="108" t="s">
        <v>343</v>
      </c>
      <c r="B9" s="80">
        <v>452</v>
      </c>
    </row>
    <row r="10" spans="1:2" ht="15">
      <c r="A10" s="108" t="s">
        <v>341</v>
      </c>
      <c r="B10" s="80">
        <v>452</v>
      </c>
    </row>
    <row r="11" spans="1:2" ht="15">
      <c r="A11" s="108" t="s">
        <v>417</v>
      </c>
      <c r="B11" s="80">
        <v>450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60EE4-D016-479A-929B-843417AB3912}">
  <dimension ref="A1:V35"/>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1213</v>
      </c>
      <c r="B1" s="13" t="s">
        <v>1215</v>
      </c>
      <c r="C1" s="13" t="s">
        <v>1216</v>
      </c>
      <c r="D1" s="13" t="s">
        <v>1218</v>
      </c>
      <c r="E1" s="80" t="s">
        <v>1217</v>
      </c>
      <c r="F1" s="80" t="s">
        <v>1220</v>
      </c>
      <c r="G1" s="80" t="s">
        <v>1219</v>
      </c>
      <c r="H1" s="80" t="s">
        <v>1222</v>
      </c>
      <c r="I1" s="80" t="s">
        <v>1221</v>
      </c>
      <c r="J1" s="80" t="s">
        <v>1224</v>
      </c>
      <c r="K1" s="80" t="s">
        <v>1223</v>
      </c>
      <c r="L1" s="80" t="s">
        <v>1226</v>
      </c>
      <c r="M1" s="80" t="s">
        <v>1225</v>
      </c>
      <c r="N1" s="80" t="s">
        <v>1228</v>
      </c>
      <c r="O1" s="80" t="s">
        <v>1227</v>
      </c>
      <c r="P1" s="80" t="s">
        <v>1230</v>
      </c>
      <c r="Q1" s="80" t="s">
        <v>1229</v>
      </c>
      <c r="R1" s="80" t="s">
        <v>1232</v>
      </c>
      <c r="S1" s="80" t="s">
        <v>1231</v>
      </c>
      <c r="T1" s="80" t="s">
        <v>1234</v>
      </c>
      <c r="U1" s="80" t="s">
        <v>1233</v>
      </c>
      <c r="V1" s="80" t="s">
        <v>1235</v>
      </c>
    </row>
    <row r="2" spans="1:22" ht="15">
      <c r="A2" s="85" t="s">
        <v>1214</v>
      </c>
      <c r="B2" s="80">
        <v>1</v>
      </c>
      <c r="C2" s="85" t="s">
        <v>1214</v>
      </c>
      <c r="D2" s="80">
        <v>1</v>
      </c>
      <c r="E2" s="80"/>
      <c r="F2" s="80"/>
      <c r="G2" s="80"/>
      <c r="H2" s="80"/>
      <c r="I2" s="80"/>
      <c r="J2" s="80"/>
      <c r="K2" s="80"/>
      <c r="L2" s="80"/>
      <c r="M2" s="80"/>
      <c r="N2" s="80"/>
      <c r="O2" s="80"/>
      <c r="P2" s="80"/>
      <c r="Q2" s="80"/>
      <c r="R2" s="80"/>
      <c r="S2" s="80"/>
      <c r="T2" s="80"/>
      <c r="U2" s="80"/>
      <c r="V2" s="80"/>
    </row>
    <row r="5" spans="1:22" ht="15" customHeight="1">
      <c r="A5" s="13" t="s">
        <v>1237</v>
      </c>
      <c r="B5" s="13" t="s">
        <v>1215</v>
      </c>
      <c r="C5" s="13" t="s">
        <v>1238</v>
      </c>
      <c r="D5" s="13" t="s">
        <v>1218</v>
      </c>
      <c r="E5" s="80" t="s">
        <v>1239</v>
      </c>
      <c r="F5" s="80" t="s">
        <v>1220</v>
      </c>
      <c r="G5" s="80" t="s">
        <v>1240</v>
      </c>
      <c r="H5" s="80" t="s">
        <v>1222</v>
      </c>
      <c r="I5" s="80" t="s">
        <v>1241</v>
      </c>
      <c r="J5" s="80" t="s">
        <v>1224</v>
      </c>
      <c r="K5" s="80" t="s">
        <v>1242</v>
      </c>
      <c r="L5" s="80" t="s">
        <v>1226</v>
      </c>
      <c r="M5" s="80" t="s">
        <v>1243</v>
      </c>
      <c r="N5" s="80" t="s">
        <v>1228</v>
      </c>
      <c r="O5" s="80" t="s">
        <v>1244</v>
      </c>
      <c r="P5" s="80" t="s">
        <v>1230</v>
      </c>
      <c r="Q5" s="80" t="s">
        <v>1245</v>
      </c>
      <c r="R5" s="80" t="s">
        <v>1232</v>
      </c>
      <c r="S5" s="80" t="s">
        <v>1246</v>
      </c>
      <c r="T5" s="80" t="s">
        <v>1234</v>
      </c>
      <c r="U5" s="80" t="s">
        <v>1247</v>
      </c>
      <c r="V5" s="80" t="s">
        <v>1235</v>
      </c>
    </row>
    <row r="6" spans="1:22" ht="15">
      <c r="A6" s="80" t="s">
        <v>842</v>
      </c>
      <c r="B6" s="80">
        <v>1</v>
      </c>
      <c r="C6" s="80" t="s">
        <v>842</v>
      </c>
      <c r="D6" s="80">
        <v>1</v>
      </c>
      <c r="E6" s="80"/>
      <c r="F6" s="80"/>
      <c r="G6" s="80"/>
      <c r="H6" s="80"/>
      <c r="I6" s="80"/>
      <c r="J6" s="80"/>
      <c r="K6" s="80"/>
      <c r="L6" s="80"/>
      <c r="M6" s="80"/>
      <c r="N6" s="80"/>
      <c r="O6" s="80"/>
      <c r="P6" s="80"/>
      <c r="Q6" s="80"/>
      <c r="R6" s="80"/>
      <c r="S6" s="80"/>
      <c r="T6" s="80"/>
      <c r="U6" s="80"/>
      <c r="V6" s="80"/>
    </row>
    <row r="9" spans="1:22" ht="15" customHeight="1">
      <c r="A9" s="80" t="s">
        <v>1249</v>
      </c>
      <c r="B9" s="80" t="s">
        <v>1215</v>
      </c>
      <c r="C9" s="80" t="s">
        <v>1250</v>
      </c>
      <c r="D9" s="80" t="s">
        <v>1218</v>
      </c>
      <c r="E9" s="80" t="s">
        <v>1251</v>
      </c>
      <c r="F9" s="80" t="s">
        <v>1220</v>
      </c>
      <c r="G9" s="80" t="s">
        <v>1252</v>
      </c>
      <c r="H9" s="80" t="s">
        <v>1222</v>
      </c>
      <c r="I9" s="80" t="s">
        <v>1253</v>
      </c>
      <c r="J9" s="80" t="s">
        <v>1224</v>
      </c>
      <c r="K9" s="80" t="s">
        <v>1254</v>
      </c>
      <c r="L9" s="80" t="s">
        <v>1226</v>
      </c>
      <c r="M9" s="80" t="s">
        <v>1255</v>
      </c>
      <c r="N9" s="80" t="s">
        <v>1228</v>
      </c>
      <c r="O9" s="80" t="s">
        <v>1256</v>
      </c>
      <c r="P9" s="80" t="s">
        <v>1230</v>
      </c>
      <c r="Q9" s="80" t="s">
        <v>1257</v>
      </c>
      <c r="R9" s="80" t="s">
        <v>1232</v>
      </c>
      <c r="S9" s="80" t="s">
        <v>1258</v>
      </c>
      <c r="T9" s="80" t="s">
        <v>1234</v>
      </c>
      <c r="U9" s="80" t="s">
        <v>1259</v>
      </c>
      <c r="V9" s="80" t="s">
        <v>1235</v>
      </c>
    </row>
    <row r="10" spans="1:22" ht="15">
      <c r="A10" s="80"/>
      <c r="B10" s="80"/>
      <c r="C10" s="80"/>
      <c r="D10" s="80"/>
      <c r="E10" s="80"/>
      <c r="F10" s="80"/>
      <c r="G10" s="80"/>
      <c r="H10" s="80"/>
      <c r="I10" s="80"/>
      <c r="J10" s="80"/>
      <c r="K10" s="80"/>
      <c r="L10" s="80"/>
      <c r="M10" s="80"/>
      <c r="N10" s="80"/>
      <c r="O10" s="80"/>
      <c r="P10" s="80"/>
      <c r="Q10" s="80"/>
      <c r="R10" s="80"/>
      <c r="S10" s="80"/>
      <c r="T10" s="80"/>
      <c r="U10" s="80"/>
      <c r="V10" s="80"/>
    </row>
    <row r="12" spans="1:22" ht="15" customHeight="1">
      <c r="A12" s="13" t="s">
        <v>1261</v>
      </c>
      <c r="B12" s="13" t="s">
        <v>1215</v>
      </c>
      <c r="C12" s="13" t="s">
        <v>1262</v>
      </c>
      <c r="D12" s="13" t="s">
        <v>1218</v>
      </c>
      <c r="E12" s="13" t="s">
        <v>1263</v>
      </c>
      <c r="F12" s="13" t="s">
        <v>1220</v>
      </c>
      <c r="G12" s="13" t="s">
        <v>1264</v>
      </c>
      <c r="H12" s="13" t="s">
        <v>1222</v>
      </c>
      <c r="I12" s="13" t="s">
        <v>1265</v>
      </c>
      <c r="J12" s="13" t="s">
        <v>1224</v>
      </c>
      <c r="K12" s="80" t="s">
        <v>1266</v>
      </c>
      <c r="L12" s="80" t="s">
        <v>1226</v>
      </c>
      <c r="M12" s="13" t="s">
        <v>1267</v>
      </c>
      <c r="N12" s="13" t="s">
        <v>1228</v>
      </c>
      <c r="O12" s="13" t="s">
        <v>1268</v>
      </c>
      <c r="P12" s="13" t="s">
        <v>1230</v>
      </c>
      <c r="Q12" s="13" t="s">
        <v>1269</v>
      </c>
      <c r="R12" s="13" t="s">
        <v>1232</v>
      </c>
      <c r="S12" s="80" t="s">
        <v>1270</v>
      </c>
      <c r="T12" s="80" t="s">
        <v>1234</v>
      </c>
      <c r="U12" s="13" t="s">
        <v>1271</v>
      </c>
      <c r="V12" s="13" t="s">
        <v>1235</v>
      </c>
    </row>
    <row r="13" spans="1:22" ht="15">
      <c r="A13" s="83" t="s">
        <v>914</v>
      </c>
      <c r="B13" s="83">
        <v>47</v>
      </c>
      <c r="C13" s="83" t="s">
        <v>914</v>
      </c>
      <c r="D13" s="83">
        <v>33</v>
      </c>
      <c r="E13" s="83" t="s">
        <v>926</v>
      </c>
      <c r="F13" s="83">
        <v>8</v>
      </c>
      <c r="G13" s="83" t="s">
        <v>917</v>
      </c>
      <c r="H13" s="83">
        <v>4</v>
      </c>
      <c r="I13" s="83" t="s">
        <v>917</v>
      </c>
      <c r="J13" s="83">
        <v>6</v>
      </c>
      <c r="K13" s="83"/>
      <c r="L13" s="83"/>
      <c r="M13" s="83" t="s">
        <v>915</v>
      </c>
      <c r="N13" s="83">
        <v>2</v>
      </c>
      <c r="O13" s="83" t="s">
        <v>1013</v>
      </c>
      <c r="P13" s="83">
        <v>3</v>
      </c>
      <c r="Q13" s="83" t="s">
        <v>1145</v>
      </c>
      <c r="R13" s="83">
        <v>2</v>
      </c>
      <c r="S13" s="83"/>
      <c r="T13" s="83"/>
      <c r="U13" s="83" t="s">
        <v>914</v>
      </c>
      <c r="V13" s="83">
        <v>2</v>
      </c>
    </row>
    <row r="14" spans="1:22" ht="15">
      <c r="A14" s="84" t="s">
        <v>915</v>
      </c>
      <c r="B14" s="83">
        <v>36</v>
      </c>
      <c r="C14" s="83" t="s">
        <v>915</v>
      </c>
      <c r="D14" s="83">
        <v>26</v>
      </c>
      <c r="E14" s="83" t="s">
        <v>932</v>
      </c>
      <c r="F14" s="83">
        <v>7</v>
      </c>
      <c r="G14" s="83" t="s">
        <v>931</v>
      </c>
      <c r="H14" s="83">
        <v>3</v>
      </c>
      <c r="I14" s="83" t="s">
        <v>945</v>
      </c>
      <c r="J14" s="83">
        <v>5</v>
      </c>
      <c r="K14" s="83"/>
      <c r="L14" s="83"/>
      <c r="M14" s="83" t="s">
        <v>914</v>
      </c>
      <c r="N14" s="83">
        <v>2</v>
      </c>
      <c r="O14" s="83" t="s">
        <v>1014</v>
      </c>
      <c r="P14" s="83">
        <v>3</v>
      </c>
      <c r="Q14" s="83"/>
      <c r="R14" s="83"/>
      <c r="S14" s="83"/>
      <c r="T14" s="83"/>
      <c r="U14" s="83"/>
      <c r="V14" s="83"/>
    </row>
    <row r="15" spans="1:22" ht="15">
      <c r="A15" s="84" t="s">
        <v>916</v>
      </c>
      <c r="B15" s="83">
        <v>20</v>
      </c>
      <c r="C15" s="83" t="s">
        <v>919</v>
      </c>
      <c r="D15" s="83">
        <v>12</v>
      </c>
      <c r="E15" s="83" t="s">
        <v>968</v>
      </c>
      <c r="F15" s="83">
        <v>3</v>
      </c>
      <c r="G15" s="83" t="s">
        <v>1011</v>
      </c>
      <c r="H15" s="83">
        <v>3</v>
      </c>
      <c r="I15" s="83" t="s">
        <v>934</v>
      </c>
      <c r="J15" s="83">
        <v>5</v>
      </c>
      <c r="K15" s="83"/>
      <c r="L15" s="83"/>
      <c r="M15" s="83"/>
      <c r="N15" s="83"/>
      <c r="O15" s="83" t="s">
        <v>1129</v>
      </c>
      <c r="P15" s="83">
        <v>2</v>
      </c>
      <c r="Q15" s="83"/>
      <c r="R15" s="83"/>
      <c r="S15" s="83"/>
      <c r="T15" s="83"/>
      <c r="U15" s="83"/>
      <c r="V15" s="83"/>
    </row>
    <row r="16" spans="1:22" ht="15">
      <c r="A16" s="84" t="s">
        <v>917</v>
      </c>
      <c r="B16" s="83">
        <v>18</v>
      </c>
      <c r="C16" s="83" t="s">
        <v>916</v>
      </c>
      <c r="D16" s="83">
        <v>12</v>
      </c>
      <c r="E16" s="83" t="s">
        <v>931</v>
      </c>
      <c r="F16" s="83">
        <v>2</v>
      </c>
      <c r="G16" s="83" t="s">
        <v>918</v>
      </c>
      <c r="H16" s="83">
        <v>3</v>
      </c>
      <c r="I16" s="83" t="s">
        <v>918</v>
      </c>
      <c r="J16" s="83">
        <v>4</v>
      </c>
      <c r="K16" s="83"/>
      <c r="L16" s="83"/>
      <c r="M16" s="83"/>
      <c r="N16" s="83"/>
      <c r="O16" s="83" t="s">
        <v>1130</v>
      </c>
      <c r="P16" s="83">
        <v>2</v>
      </c>
      <c r="Q16" s="83"/>
      <c r="R16" s="83"/>
      <c r="S16" s="83"/>
      <c r="T16" s="83"/>
      <c r="U16" s="83"/>
      <c r="V16" s="83"/>
    </row>
    <row r="17" spans="1:22" ht="15">
      <c r="A17" s="84" t="s">
        <v>918</v>
      </c>
      <c r="B17" s="83">
        <v>15</v>
      </c>
      <c r="C17" s="83" t="s">
        <v>920</v>
      </c>
      <c r="D17" s="83">
        <v>8</v>
      </c>
      <c r="E17" s="83" t="s">
        <v>964</v>
      </c>
      <c r="F17" s="83">
        <v>2</v>
      </c>
      <c r="G17" s="83" t="s">
        <v>1119</v>
      </c>
      <c r="H17" s="83">
        <v>2</v>
      </c>
      <c r="I17" s="83" t="s">
        <v>969</v>
      </c>
      <c r="J17" s="83">
        <v>4</v>
      </c>
      <c r="K17" s="83"/>
      <c r="L17" s="83"/>
      <c r="M17" s="83"/>
      <c r="N17" s="83"/>
      <c r="O17" s="83" t="s">
        <v>1131</v>
      </c>
      <c r="P17" s="83">
        <v>2</v>
      </c>
      <c r="Q17" s="83"/>
      <c r="R17" s="83"/>
      <c r="S17" s="83"/>
      <c r="T17" s="83"/>
      <c r="U17" s="83"/>
      <c r="V17" s="83"/>
    </row>
    <row r="18" spans="1:22" ht="15">
      <c r="A18" s="84" t="s">
        <v>919</v>
      </c>
      <c r="B18" s="83">
        <v>14</v>
      </c>
      <c r="C18" s="83" t="s">
        <v>924</v>
      </c>
      <c r="D18" s="83">
        <v>7</v>
      </c>
      <c r="E18" s="83" t="s">
        <v>967</v>
      </c>
      <c r="F18" s="83">
        <v>2</v>
      </c>
      <c r="G18" s="83" t="s">
        <v>939</v>
      </c>
      <c r="H18" s="83">
        <v>2</v>
      </c>
      <c r="I18" s="83" t="s">
        <v>920</v>
      </c>
      <c r="J18" s="83">
        <v>4</v>
      </c>
      <c r="K18" s="83"/>
      <c r="L18" s="83"/>
      <c r="M18" s="83"/>
      <c r="N18" s="83"/>
      <c r="O18" s="83" t="s">
        <v>1132</v>
      </c>
      <c r="P18" s="83">
        <v>2</v>
      </c>
      <c r="Q18" s="83"/>
      <c r="R18" s="83"/>
      <c r="S18" s="83"/>
      <c r="T18" s="83"/>
      <c r="U18" s="83"/>
      <c r="V18" s="83"/>
    </row>
    <row r="19" spans="1:22" ht="15">
      <c r="A19" s="84" t="s">
        <v>920</v>
      </c>
      <c r="B19" s="83">
        <v>13</v>
      </c>
      <c r="C19" s="83" t="s">
        <v>928</v>
      </c>
      <c r="D19" s="83">
        <v>7</v>
      </c>
      <c r="E19" s="83" t="s">
        <v>1146</v>
      </c>
      <c r="F19" s="83">
        <v>2</v>
      </c>
      <c r="G19" s="83" t="s">
        <v>1122</v>
      </c>
      <c r="H19" s="83">
        <v>2</v>
      </c>
      <c r="I19" s="83" t="s">
        <v>961</v>
      </c>
      <c r="J19" s="83">
        <v>3</v>
      </c>
      <c r="K19" s="83"/>
      <c r="L19" s="83"/>
      <c r="M19" s="83"/>
      <c r="N19" s="83"/>
      <c r="O19" s="83"/>
      <c r="P19" s="83"/>
      <c r="Q19" s="83"/>
      <c r="R19" s="83"/>
      <c r="S19" s="83"/>
      <c r="T19" s="83"/>
      <c r="U19" s="83"/>
      <c r="V19" s="83"/>
    </row>
    <row r="20" spans="1:22" ht="15">
      <c r="A20" s="84" t="s">
        <v>921</v>
      </c>
      <c r="B20" s="83">
        <v>12</v>
      </c>
      <c r="C20" s="83" t="s">
        <v>933</v>
      </c>
      <c r="D20" s="83">
        <v>7</v>
      </c>
      <c r="E20" s="83" t="s">
        <v>974</v>
      </c>
      <c r="F20" s="83">
        <v>2</v>
      </c>
      <c r="G20" s="83" t="s">
        <v>921</v>
      </c>
      <c r="H20" s="83">
        <v>2</v>
      </c>
      <c r="I20" s="83" t="s">
        <v>1008</v>
      </c>
      <c r="J20" s="83">
        <v>3</v>
      </c>
      <c r="K20" s="83"/>
      <c r="L20" s="83"/>
      <c r="M20" s="83"/>
      <c r="N20" s="83"/>
      <c r="O20" s="83"/>
      <c r="P20" s="83"/>
      <c r="Q20" s="83"/>
      <c r="R20" s="83"/>
      <c r="S20" s="83"/>
      <c r="T20" s="83"/>
      <c r="U20" s="83"/>
      <c r="V20" s="83"/>
    </row>
    <row r="21" spans="1:22" ht="15">
      <c r="A21" s="84" t="s">
        <v>922</v>
      </c>
      <c r="B21" s="83">
        <v>12</v>
      </c>
      <c r="C21" s="83" t="s">
        <v>921</v>
      </c>
      <c r="D21" s="83">
        <v>7</v>
      </c>
      <c r="E21" s="83" t="s">
        <v>1147</v>
      </c>
      <c r="F21" s="83">
        <v>2</v>
      </c>
      <c r="G21" s="83" t="s">
        <v>922</v>
      </c>
      <c r="H21" s="83">
        <v>2</v>
      </c>
      <c r="I21" s="83" t="s">
        <v>1009</v>
      </c>
      <c r="J21" s="83">
        <v>3</v>
      </c>
      <c r="K21" s="83"/>
      <c r="L21" s="83"/>
      <c r="M21" s="83"/>
      <c r="N21" s="83"/>
      <c r="O21" s="83"/>
      <c r="P21" s="83"/>
      <c r="Q21" s="83"/>
      <c r="R21" s="83"/>
      <c r="S21" s="83"/>
      <c r="T21" s="83"/>
      <c r="U21" s="83"/>
      <c r="V21" s="83"/>
    </row>
    <row r="22" spans="1:22" ht="15">
      <c r="A22" s="84" t="s">
        <v>923</v>
      </c>
      <c r="B22" s="83">
        <v>11</v>
      </c>
      <c r="C22" s="83" t="s">
        <v>922</v>
      </c>
      <c r="D22" s="83">
        <v>7</v>
      </c>
      <c r="E22" s="83"/>
      <c r="F22" s="83"/>
      <c r="G22" s="83" t="s">
        <v>923</v>
      </c>
      <c r="H22" s="83">
        <v>2</v>
      </c>
      <c r="I22" s="83" t="s">
        <v>1010</v>
      </c>
      <c r="J22" s="83">
        <v>3</v>
      </c>
      <c r="K22" s="83"/>
      <c r="L22" s="83"/>
      <c r="M22" s="83"/>
      <c r="N22" s="83"/>
      <c r="O22" s="83"/>
      <c r="P22" s="83"/>
      <c r="Q22" s="83"/>
      <c r="R22" s="83"/>
      <c r="S22" s="83"/>
      <c r="T22" s="83"/>
      <c r="U22" s="83"/>
      <c r="V22" s="83"/>
    </row>
    <row r="25" spans="1:22" ht="15" customHeight="1">
      <c r="A25" s="13" t="s">
        <v>1275</v>
      </c>
      <c r="B25" s="13" t="s">
        <v>1215</v>
      </c>
      <c r="C25" s="13" t="s">
        <v>1282</v>
      </c>
      <c r="D25" s="13" t="s">
        <v>1218</v>
      </c>
      <c r="E25" s="13" t="s">
        <v>1284</v>
      </c>
      <c r="F25" s="13" t="s">
        <v>1220</v>
      </c>
      <c r="G25" s="13" t="s">
        <v>1285</v>
      </c>
      <c r="H25" s="13" t="s">
        <v>1222</v>
      </c>
      <c r="I25" s="13" t="s">
        <v>1287</v>
      </c>
      <c r="J25" s="13" t="s">
        <v>1224</v>
      </c>
      <c r="K25" s="80" t="s">
        <v>1292</v>
      </c>
      <c r="L25" s="80" t="s">
        <v>1226</v>
      </c>
      <c r="M25" s="13" t="s">
        <v>1293</v>
      </c>
      <c r="N25" s="13" t="s">
        <v>1228</v>
      </c>
      <c r="O25" s="13" t="s">
        <v>1294</v>
      </c>
      <c r="P25" s="13" t="s">
        <v>1230</v>
      </c>
      <c r="Q25" s="80" t="s">
        <v>1298</v>
      </c>
      <c r="R25" s="80" t="s">
        <v>1232</v>
      </c>
      <c r="S25" s="80" t="s">
        <v>1299</v>
      </c>
      <c r="T25" s="80" t="s">
        <v>1234</v>
      </c>
      <c r="U25" s="80" t="s">
        <v>1300</v>
      </c>
      <c r="V25" s="80" t="s">
        <v>1235</v>
      </c>
    </row>
    <row r="26" spans="1:22" ht="15">
      <c r="A26" s="83" t="s">
        <v>1276</v>
      </c>
      <c r="B26" s="83">
        <v>33</v>
      </c>
      <c r="C26" s="83" t="s">
        <v>1276</v>
      </c>
      <c r="D26" s="83">
        <v>23</v>
      </c>
      <c r="E26" s="83" t="s">
        <v>1481</v>
      </c>
      <c r="F26" s="83">
        <v>2</v>
      </c>
      <c r="G26" s="83" t="s">
        <v>1286</v>
      </c>
      <c r="H26" s="83">
        <v>2</v>
      </c>
      <c r="I26" s="83" t="s">
        <v>1288</v>
      </c>
      <c r="J26" s="83">
        <v>3</v>
      </c>
      <c r="K26" s="83"/>
      <c r="L26" s="83"/>
      <c r="M26" s="83" t="s">
        <v>1276</v>
      </c>
      <c r="N26" s="83">
        <v>2</v>
      </c>
      <c r="O26" s="83" t="s">
        <v>1295</v>
      </c>
      <c r="P26" s="83">
        <v>3</v>
      </c>
      <c r="Q26" s="83"/>
      <c r="R26" s="83"/>
      <c r="S26" s="83"/>
      <c r="T26" s="83"/>
      <c r="U26" s="83"/>
      <c r="V26" s="83"/>
    </row>
    <row r="27" spans="1:22" ht="15">
      <c r="A27" s="84" t="s">
        <v>1277</v>
      </c>
      <c r="B27" s="83">
        <v>10</v>
      </c>
      <c r="C27" s="83" t="s">
        <v>1277</v>
      </c>
      <c r="D27" s="83">
        <v>7</v>
      </c>
      <c r="E27" s="83"/>
      <c r="F27" s="83"/>
      <c r="G27" s="83"/>
      <c r="H27" s="83"/>
      <c r="I27" s="83" t="s">
        <v>1289</v>
      </c>
      <c r="J27" s="83">
        <v>2</v>
      </c>
      <c r="K27" s="83"/>
      <c r="L27" s="83"/>
      <c r="M27" s="83"/>
      <c r="N27" s="83"/>
      <c r="O27" s="83" t="s">
        <v>1296</v>
      </c>
      <c r="P27" s="83">
        <v>2</v>
      </c>
      <c r="Q27" s="83"/>
      <c r="R27" s="83"/>
      <c r="S27" s="83"/>
      <c r="T27" s="83"/>
      <c r="U27" s="83"/>
      <c r="V27" s="83"/>
    </row>
    <row r="28" spans="1:22" ht="15">
      <c r="A28" s="84" t="s">
        <v>1278</v>
      </c>
      <c r="B28" s="83">
        <v>8</v>
      </c>
      <c r="C28" s="83" t="s">
        <v>1283</v>
      </c>
      <c r="D28" s="83">
        <v>5</v>
      </c>
      <c r="E28" s="83"/>
      <c r="F28" s="83"/>
      <c r="G28" s="83"/>
      <c r="H28" s="83"/>
      <c r="I28" s="83" t="s">
        <v>1290</v>
      </c>
      <c r="J28" s="83">
        <v>2</v>
      </c>
      <c r="K28" s="83"/>
      <c r="L28" s="83"/>
      <c r="M28" s="83"/>
      <c r="N28" s="83"/>
      <c r="O28" s="83" t="s">
        <v>1297</v>
      </c>
      <c r="P28" s="83">
        <v>2</v>
      </c>
      <c r="Q28" s="83"/>
      <c r="R28" s="83"/>
      <c r="S28" s="83"/>
      <c r="T28" s="83"/>
      <c r="U28" s="83"/>
      <c r="V28" s="83"/>
    </row>
    <row r="29" spans="1:22" ht="15">
      <c r="A29" s="84" t="s">
        <v>1279</v>
      </c>
      <c r="B29" s="83">
        <v>7</v>
      </c>
      <c r="C29" s="83" t="s">
        <v>1279</v>
      </c>
      <c r="D29" s="83">
        <v>5</v>
      </c>
      <c r="E29" s="83"/>
      <c r="F29" s="83"/>
      <c r="G29" s="83"/>
      <c r="H29" s="83"/>
      <c r="I29" s="83" t="s">
        <v>1291</v>
      </c>
      <c r="J29" s="83">
        <v>2</v>
      </c>
      <c r="K29" s="83"/>
      <c r="L29" s="83"/>
      <c r="M29" s="83"/>
      <c r="N29" s="83"/>
      <c r="O29" s="83"/>
      <c r="P29" s="83"/>
      <c r="Q29" s="83"/>
      <c r="R29" s="83"/>
      <c r="S29" s="83"/>
      <c r="T29" s="83"/>
      <c r="U29" s="83"/>
      <c r="V29" s="83"/>
    </row>
    <row r="30" spans="1:22" ht="15">
      <c r="A30" s="84" t="s">
        <v>1281</v>
      </c>
      <c r="B30" s="83">
        <v>6</v>
      </c>
      <c r="C30" s="83" t="s">
        <v>1281</v>
      </c>
      <c r="D30" s="83">
        <v>4</v>
      </c>
      <c r="E30" s="83"/>
      <c r="F30" s="83"/>
      <c r="G30" s="83"/>
      <c r="H30" s="83"/>
      <c r="I30" s="83"/>
      <c r="J30" s="83"/>
      <c r="K30" s="83"/>
      <c r="L30" s="83"/>
      <c r="M30" s="83"/>
      <c r="N30" s="83"/>
      <c r="O30" s="83"/>
      <c r="P30" s="83"/>
      <c r="Q30" s="83"/>
      <c r="R30" s="83"/>
      <c r="S30" s="83"/>
      <c r="T30" s="83"/>
      <c r="U30" s="83"/>
      <c r="V30" s="83"/>
    </row>
    <row r="31" spans="1:22" ht="15">
      <c r="A31" s="84" t="s">
        <v>1478</v>
      </c>
      <c r="B31" s="83">
        <v>6</v>
      </c>
      <c r="C31" s="83" t="s">
        <v>1278</v>
      </c>
      <c r="D31" s="83">
        <v>4</v>
      </c>
      <c r="E31" s="83"/>
      <c r="F31" s="83"/>
      <c r="G31" s="83"/>
      <c r="H31" s="83"/>
      <c r="I31" s="83"/>
      <c r="J31" s="83"/>
      <c r="K31" s="83"/>
      <c r="L31" s="83"/>
      <c r="M31" s="83"/>
      <c r="N31" s="83"/>
      <c r="O31" s="83"/>
      <c r="P31" s="83"/>
      <c r="Q31" s="83"/>
      <c r="R31" s="83"/>
      <c r="S31" s="83"/>
      <c r="T31" s="83"/>
      <c r="U31" s="83"/>
      <c r="V31" s="83"/>
    </row>
    <row r="32" spans="1:22" ht="15">
      <c r="A32" s="84" t="s">
        <v>1280</v>
      </c>
      <c r="B32" s="83">
        <v>5</v>
      </c>
      <c r="C32" s="83" t="s">
        <v>1478</v>
      </c>
      <c r="D32" s="83">
        <v>4</v>
      </c>
      <c r="E32" s="83"/>
      <c r="F32" s="83"/>
      <c r="G32" s="83"/>
      <c r="H32" s="83"/>
      <c r="I32" s="83"/>
      <c r="J32" s="83"/>
      <c r="K32" s="83"/>
      <c r="L32" s="83"/>
      <c r="M32" s="83"/>
      <c r="N32" s="83"/>
      <c r="O32" s="83"/>
      <c r="P32" s="83"/>
      <c r="Q32" s="83"/>
      <c r="R32" s="83"/>
      <c r="S32" s="83"/>
      <c r="T32" s="83"/>
      <c r="U32" s="83"/>
      <c r="V32" s="83"/>
    </row>
    <row r="33" spans="1:22" ht="15">
      <c r="A33" s="84" t="s">
        <v>1283</v>
      </c>
      <c r="B33" s="83">
        <v>5</v>
      </c>
      <c r="C33" s="83" t="s">
        <v>1479</v>
      </c>
      <c r="D33" s="83">
        <v>4</v>
      </c>
      <c r="E33" s="83"/>
      <c r="F33" s="83"/>
      <c r="G33" s="83"/>
      <c r="H33" s="83"/>
      <c r="I33" s="83"/>
      <c r="J33" s="83"/>
      <c r="K33" s="83"/>
      <c r="L33" s="83"/>
      <c r="M33" s="83"/>
      <c r="N33" s="83"/>
      <c r="O33" s="83"/>
      <c r="P33" s="83"/>
      <c r="Q33" s="83"/>
      <c r="R33" s="83"/>
      <c r="S33" s="83"/>
      <c r="T33" s="83"/>
      <c r="U33" s="83"/>
      <c r="V33" s="83"/>
    </row>
    <row r="34" spans="1:22" ht="15">
      <c r="A34" s="84" t="s">
        <v>1286</v>
      </c>
      <c r="B34" s="83">
        <v>4</v>
      </c>
      <c r="C34" s="83" t="s">
        <v>1280</v>
      </c>
      <c r="D34" s="83">
        <v>3</v>
      </c>
      <c r="E34" s="83"/>
      <c r="F34" s="83"/>
      <c r="G34" s="83"/>
      <c r="H34" s="83"/>
      <c r="I34" s="83"/>
      <c r="J34" s="83"/>
      <c r="K34" s="83"/>
      <c r="L34" s="83"/>
      <c r="M34" s="83"/>
      <c r="N34" s="83"/>
      <c r="O34" s="83"/>
      <c r="P34" s="83"/>
      <c r="Q34" s="83"/>
      <c r="R34" s="83"/>
      <c r="S34" s="83"/>
      <c r="T34" s="83"/>
      <c r="U34" s="83"/>
      <c r="V34" s="83"/>
    </row>
    <row r="35" spans="1:22" ht="15">
      <c r="A35" s="84" t="s">
        <v>1479</v>
      </c>
      <c r="B35" s="83">
        <v>4</v>
      </c>
      <c r="C35" s="83" t="s">
        <v>1480</v>
      </c>
      <c r="D35" s="83">
        <v>3</v>
      </c>
      <c r="E35" s="83"/>
      <c r="F35" s="83"/>
      <c r="G35" s="83"/>
      <c r="H35" s="83"/>
      <c r="I35" s="83"/>
      <c r="J35" s="83"/>
      <c r="K35" s="83"/>
      <c r="L35" s="83"/>
      <c r="M35" s="83"/>
      <c r="N35" s="83"/>
      <c r="O35" s="83"/>
      <c r="P35" s="83"/>
      <c r="Q35" s="83"/>
      <c r="R35" s="83"/>
      <c r="S35" s="83"/>
      <c r="T35" s="83"/>
      <c r="U35" s="83"/>
      <c r="V35" s="83"/>
    </row>
  </sheetData>
  <hyperlinks>
    <hyperlink ref="A2" r:id="rId1" display="http://www.youtube.com/results?search_query=%23rgps"/>
    <hyperlink ref="C2" r:id="rId2" display="http://www.youtube.com/results?search_query=%23rgps"/>
  </hyperlinks>
  <printOptions/>
  <pageMargins left="0.7" right="0.7" top="0.75" bottom="0.75" header="0.3" footer="0.3"/>
  <pageSetup orientation="portrait" paperSize="9"/>
  <tableParts>
    <tablePart r:id="rId7"/>
    <tablePart r:id="rId6"/>
    <tablePart r:id="rId5"/>
    <tablePart r:id="rId4"/>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AA3D2-E711-45F2-9B62-2F05C86252DE}">
  <dimension ref="A25:B32"/>
  <sheetViews>
    <sheetView tabSelected="1" workbookViewId="0" topLeftCell="A1"/>
  </sheetViews>
  <sheetFormatPr defaultColWidth="9.140625" defaultRowHeight="15"/>
  <cols>
    <col min="1" max="1" width="13.140625" style="0" bestFit="1" customWidth="1"/>
    <col min="2" max="2" width="20.57421875" style="0" bestFit="1" customWidth="1"/>
  </cols>
  <sheetData>
    <row r="25" spans="1:2" ht="15">
      <c r="A25" s="117" t="s">
        <v>1448</v>
      </c>
      <c r="B25" t="s">
        <v>1447</v>
      </c>
    </row>
    <row r="26" spans="1:2" ht="15">
      <c r="A26" s="118" t="s">
        <v>1450</v>
      </c>
      <c r="B26" s="3">
        <v>184</v>
      </c>
    </row>
    <row r="27" spans="1:2" ht="15">
      <c r="A27" s="119" t="s">
        <v>1451</v>
      </c>
      <c r="B27" s="3">
        <v>184</v>
      </c>
    </row>
    <row r="28" spans="1:2" ht="15">
      <c r="A28" s="120" t="s">
        <v>1452</v>
      </c>
      <c r="B28" s="3">
        <v>171</v>
      </c>
    </row>
    <row r="29" spans="1:2" ht="15">
      <c r="A29" s="120" t="s">
        <v>1453</v>
      </c>
      <c r="B29" s="3">
        <v>11</v>
      </c>
    </row>
    <row r="30" spans="1:2" ht="15">
      <c r="A30" s="120" t="s">
        <v>1454</v>
      </c>
      <c r="B30" s="3">
        <v>1</v>
      </c>
    </row>
    <row r="31" spans="1:2" ht="15">
      <c r="A31" s="120" t="s">
        <v>1455</v>
      </c>
      <c r="B31" s="3">
        <v>1</v>
      </c>
    </row>
    <row r="32" spans="1:2" ht="15">
      <c r="A32" s="118" t="s">
        <v>1449</v>
      </c>
      <c r="B32" s="3">
        <v>184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1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28125" style="0" bestFit="1" customWidth="1"/>
    <col min="48" max="48" width="19.140625" style="0" bestFit="1" customWidth="1"/>
    <col min="49" max="49" width="23.8515625" style="0" bestFit="1" customWidth="1"/>
    <col min="50" max="50" width="19.140625" style="0" bestFit="1" customWidth="1"/>
    <col min="51" max="51" width="23.8515625" style="0" bestFit="1" customWidth="1"/>
    <col min="52" max="52" width="19.140625" style="0" bestFit="1" customWidth="1"/>
    <col min="53" max="53" width="23.8515625" style="0" bestFit="1" customWidth="1"/>
    <col min="54" max="54" width="18.140625" style="0" bestFit="1" customWidth="1"/>
    <col min="55" max="55" width="22.28125" style="0" bestFit="1" customWidth="1"/>
    <col min="56" max="56" width="17.00390625" style="0" bestFit="1" customWidth="1"/>
    <col min="57" max="58" width="18.8515625" style="0" bestFit="1" customWidth="1"/>
    <col min="59" max="59" width="20.57421875" style="0" bestFit="1" customWidth="1"/>
    <col min="60" max="60" width="22.57421875" style="0" bestFit="1" customWidth="1"/>
    <col min="61" max="61" width="20.57421875" style="0" bestFit="1" customWidth="1"/>
    <col min="62" max="62" width="22.7109375" style="0" bestFit="1" customWidth="1"/>
    <col min="63" max="63" width="20.57421875" style="0" bestFit="1" customWidth="1"/>
    <col min="64" max="64" width="22.71093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844</v>
      </c>
      <c r="AE2" s="13" t="s">
        <v>845</v>
      </c>
      <c r="AF2" s="13" t="s">
        <v>315</v>
      </c>
      <c r="AG2" s="13" t="s">
        <v>316</v>
      </c>
      <c r="AH2" s="13" t="s">
        <v>317</v>
      </c>
      <c r="AI2" s="13" t="s">
        <v>846</v>
      </c>
      <c r="AJ2" s="13" t="s">
        <v>323</v>
      </c>
      <c r="AK2" s="13" t="s">
        <v>847</v>
      </c>
      <c r="AL2" s="13" t="s">
        <v>848</v>
      </c>
      <c r="AM2" s="13" t="s">
        <v>849</v>
      </c>
      <c r="AN2" s="13" t="s">
        <v>850</v>
      </c>
      <c r="AO2" s="13" t="s">
        <v>851</v>
      </c>
      <c r="AP2" s="13" t="s">
        <v>852</v>
      </c>
      <c r="AQ2" s="13" t="s">
        <v>853</v>
      </c>
      <c r="AR2" s="13" t="s">
        <v>854</v>
      </c>
      <c r="AS2" s="13" t="s">
        <v>855</v>
      </c>
      <c r="AT2" s="13" t="s">
        <v>856</v>
      </c>
      <c r="AU2" s="13" t="s">
        <v>902</v>
      </c>
      <c r="AV2" s="113" t="s">
        <v>1167</v>
      </c>
      <c r="AW2" s="113" t="s">
        <v>1168</v>
      </c>
      <c r="AX2" s="113" t="s">
        <v>1169</v>
      </c>
      <c r="AY2" s="113" t="s">
        <v>1170</v>
      </c>
      <c r="AZ2" s="113" t="s">
        <v>1171</v>
      </c>
      <c r="BA2" s="113" t="s">
        <v>1172</v>
      </c>
      <c r="BB2" s="113" t="s">
        <v>1173</v>
      </c>
      <c r="BC2" s="113" t="s">
        <v>1174</v>
      </c>
      <c r="BD2" s="113" t="s">
        <v>1176</v>
      </c>
      <c r="BE2" s="113" t="s">
        <v>1304</v>
      </c>
      <c r="BF2" s="113" t="s">
        <v>1305</v>
      </c>
      <c r="BG2" s="113" t="s">
        <v>1306</v>
      </c>
      <c r="BH2" s="113" t="s">
        <v>1307</v>
      </c>
      <c r="BI2" s="113" t="s">
        <v>1308</v>
      </c>
      <c r="BJ2" s="113" t="s">
        <v>1309</v>
      </c>
      <c r="BK2" s="113" t="s">
        <v>1310</v>
      </c>
      <c r="BL2" s="113" t="s">
        <v>1372</v>
      </c>
      <c r="BM2" s="113" t="s">
        <v>1380</v>
      </c>
      <c r="BN2" s="113" t="s">
        <v>1444</v>
      </c>
      <c r="BO2" s="3"/>
      <c r="BP2" s="3"/>
    </row>
    <row r="3" spans="1:68" ht="15" customHeight="1">
      <c r="A3" s="65" t="s">
        <v>480</v>
      </c>
      <c r="B3" s="66"/>
      <c r="C3" s="66"/>
      <c r="D3" s="67">
        <v>150</v>
      </c>
      <c r="E3" s="69"/>
      <c r="F3" s="103" t="str">
        <f>HYPERLINK("https://yt3.ggpht.com/ytc/AAUvwnjjJDqoEW7P7CTCiEtgyhwUePNqZbjTAdLqKL8=s88-c-k-c0x00ffffff-no-rj")</f>
        <v>https://yt3.ggpht.com/ytc/AAUvwnjjJDqoEW7P7CTCiEtgyhwUePNqZbjTAdLqKL8=s88-c-k-c0x00ffffff-no-rj</v>
      </c>
      <c r="G3" s="66"/>
      <c r="H3" s="70" t="s">
        <v>819</v>
      </c>
      <c r="I3" s="71"/>
      <c r="J3" s="71" t="s">
        <v>159</v>
      </c>
      <c r="K3" s="70" t="s">
        <v>819</v>
      </c>
      <c r="L3" s="74">
        <v>1</v>
      </c>
      <c r="M3" s="75">
        <v>5891.02294921875</v>
      </c>
      <c r="N3" s="75">
        <v>1869.4609375</v>
      </c>
      <c r="O3" s="76"/>
      <c r="P3" s="77"/>
      <c r="Q3" s="77"/>
      <c r="R3" s="49"/>
      <c r="S3" s="49">
        <v>0</v>
      </c>
      <c r="T3" s="49">
        <v>1</v>
      </c>
      <c r="U3" s="50">
        <v>0</v>
      </c>
      <c r="V3" s="50">
        <v>0.003021</v>
      </c>
      <c r="W3" s="50">
        <v>0.007133</v>
      </c>
      <c r="X3" s="50">
        <v>0.515381</v>
      </c>
      <c r="Y3" s="50">
        <v>0</v>
      </c>
      <c r="Z3" s="50">
        <v>0</v>
      </c>
      <c r="AA3" s="72">
        <v>3</v>
      </c>
      <c r="AB3" s="72"/>
      <c r="AC3" s="73"/>
      <c r="AD3" s="80" t="s">
        <v>819</v>
      </c>
      <c r="AE3" s="80"/>
      <c r="AF3" s="80"/>
      <c r="AG3" s="80"/>
      <c r="AH3" s="80"/>
      <c r="AI3" s="80"/>
      <c r="AJ3" s="87">
        <v>44159.21040509259</v>
      </c>
      <c r="AK3" s="85" t="str">
        <f>HYPERLINK("https://yt3.ggpht.com/ytc/AAUvwnjjJDqoEW7P7CTCiEtgyhwUePNqZbjTAdLqKL8=s88-c-k-c0x00ffffff-no-rj")</f>
        <v>https://yt3.ggpht.com/ytc/AAUvwnjjJDqoEW7P7CTCiEtgyhwUePNqZbjTAdLqKL8=s88-c-k-c0x00ffffff-no-rj</v>
      </c>
      <c r="AL3" s="80">
        <v>143</v>
      </c>
      <c r="AM3" s="80">
        <v>0</v>
      </c>
      <c r="AN3" s="80">
        <v>48</v>
      </c>
      <c r="AO3" s="80" t="b">
        <v>0</v>
      </c>
      <c r="AP3" s="80">
        <v>1</v>
      </c>
      <c r="AQ3" s="80"/>
      <c r="AR3" s="80"/>
      <c r="AS3" s="80" t="s">
        <v>871</v>
      </c>
      <c r="AT3" s="85" t="str">
        <f>HYPERLINK("https://www.youtube.com/channel/UC1W6BV2qFMEWnMBbCN5txMg")</f>
        <v>https://www.youtube.com/channel/UC1W6BV2qFMEWnMBbCN5txMg</v>
      </c>
      <c r="AU3" s="80" t="str">
        <f>REPLACE(INDEX(GroupVertices[Group],MATCH(Vertices[[#This Row],[Vertex]],GroupVertices[Vertex],0)),1,1,"")</f>
        <v>1</v>
      </c>
      <c r="AV3" s="49">
        <v>0</v>
      </c>
      <c r="AW3" s="50">
        <v>0</v>
      </c>
      <c r="AX3" s="49">
        <v>0</v>
      </c>
      <c r="AY3" s="50">
        <v>0</v>
      </c>
      <c r="AZ3" s="49">
        <v>0</v>
      </c>
      <c r="BA3" s="50">
        <v>0</v>
      </c>
      <c r="BB3" s="49">
        <v>6</v>
      </c>
      <c r="BC3" s="50">
        <v>100</v>
      </c>
      <c r="BD3" s="49">
        <v>6</v>
      </c>
      <c r="BE3" s="49"/>
      <c r="BF3" s="49"/>
      <c r="BG3" s="49"/>
      <c r="BH3" s="49"/>
      <c r="BI3" s="49"/>
      <c r="BJ3" s="49"/>
      <c r="BK3" s="111" t="s">
        <v>1311</v>
      </c>
      <c r="BL3" s="111" t="s">
        <v>1311</v>
      </c>
      <c r="BM3" s="111" t="s">
        <v>1381</v>
      </c>
      <c r="BN3" s="111" t="s">
        <v>1381</v>
      </c>
      <c r="BO3" s="3"/>
      <c r="BP3" s="3"/>
    </row>
    <row r="4" spans="1:71" ht="15">
      <c r="A4" s="65" t="s">
        <v>479</v>
      </c>
      <c r="B4" s="66"/>
      <c r="C4" s="66"/>
      <c r="D4" s="67">
        <v>1000</v>
      </c>
      <c r="E4" s="69"/>
      <c r="F4" s="103" t="str">
        <f>HYPERLINK("https://yt3.ggpht.com/ytc/AAUvwngzSk0As0XMnnkEsEMnFPRVPmm1-6k2W3lfzOAv=s88-c-k-c0x00ffffff-no-rj")</f>
        <v>https://yt3.ggpht.com/ytc/AAUvwngzSk0As0XMnnkEsEMnFPRVPmm1-6k2W3lfzOAv=s88-c-k-c0x00ffffff-no-rj</v>
      </c>
      <c r="G4" s="66"/>
      <c r="H4" s="70" t="s">
        <v>857</v>
      </c>
      <c r="I4" s="71"/>
      <c r="J4" s="71" t="s">
        <v>75</v>
      </c>
      <c r="K4" s="70" t="s">
        <v>857</v>
      </c>
      <c r="L4" s="74">
        <v>9999</v>
      </c>
      <c r="M4" s="75">
        <v>3376.796875</v>
      </c>
      <c r="N4" s="75">
        <v>4979.02685546875</v>
      </c>
      <c r="O4" s="76"/>
      <c r="P4" s="77"/>
      <c r="Q4" s="77"/>
      <c r="R4" s="89"/>
      <c r="S4" s="49">
        <v>125</v>
      </c>
      <c r="T4" s="49">
        <v>1</v>
      </c>
      <c r="U4" s="50">
        <v>22819</v>
      </c>
      <c r="V4" s="50">
        <v>0.005556</v>
      </c>
      <c r="W4" s="50">
        <v>0.083598</v>
      </c>
      <c r="X4" s="50">
        <v>53.732509</v>
      </c>
      <c r="Y4" s="50">
        <v>0.00032782585890375033</v>
      </c>
      <c r="Z4" s="50">
        <v>0</v>
      </c>
      <c r="AA4" s="72">
        <v>4</v>
      </c>
      <c r="AB4" s="72"/>
      <c r="AC4" s="73"/>
      <c r="AD4" s="80" t="s">
        <v>857</v>
      </c>
      <c r="AE4" s="80" t="s">
        <v>858</v>
      </c>
      <c r="AF4" s="80"/>
      <c r="AG4" s="80"/>
      <c r="AH4" s="80"/>
      <c r="AI4" s="80"/>
      <c r="AJ4" s="87">
        <v>43984.57802083333</v>
      </c>
      <c r="AK4" s="85" t="str">
        <f>HYPERLINK("https://yt3.ggpht.com/ytc/AAUvwngzSk0As0XMnnkEsEMnFPRVPmm1-6k2W3lfzOAv=s88-c-k-c0x00ffffff-no-rj")</f>
        <v>https://yt3.ggpht.com/ytc/AAUvwngzSk0As0XMnnkEsEMnFPRVPmm1-6k2W3lfzOAv=s88-c-k-c0x00ffffff-no-rj</v>
      </c>
      <c r="AL4" s="80">
        <v>71581438</v>
      </c>
      <c r="AM4" s="80">
        <v>0</v>
      </c>
      <c r="AN4" s="80">
        <v>338000</v>
      </c>
      <c r="AO4" s="80" t="b">
        <v>0</v>
      </c>
      <c r="AP4" s="80">
        <v>425</v>
      </c>
      <c r="AQ4" s="80"/>
      <c r="AR4" s="80"/>
      <c r="AS4" s="80" t="s">
        <v>871</v>
      </c>
      <c r="AT4" s="85" t="str">
        <f>HYPERLINK("https://www.youtube.com/channel/UCrrFW5ckKRfBEOBxH3k9anQ")</f>
        <v>https://www.youtube.com/channel/UCrrFW5ckKRfBEOBxH3k9anQ</v>
      </c>
      <c r="AU4" s="80" t="str">
        <f>REPLACE(INDEX(GroupVertices[Group],MATCH(Vertices[[#This Row],[Vertex]],GroupVertices[Vertex],0)),1,1,"")</f>
        <v>1</v>
      </c>
      <c r="AV4" s="49"/>
      <c r="AW4" s="50"/>
      <c r="AX4" s="49"/>
      <c r="AY4" s="50"/>
      <c r="AZ4" s="49"/>
      <c r="BA4" s="50"/>
      <c r="BB4" s="49"/>
      <c r="BC4" s="50"/>
      <c r="BD4" s="49"/>
      <c r="BE4" s="49"/>
      <c r="BF4" s="49"/>
      <c r="BG4" s="49"/>
      <c r="BH4" s="49"/>
      <c r="BI4" s="49"/>
      <c r="BJ4" s="49"/>
      <c r="BK4" s="111" t="s">
        <v>843</v>
      </c>
      <c r="BL4" s="111" t="s">
        <v>843</v>
      </c>
      <c r="BM4" s="111" t="s">
        <v>843</v>
      </c>
      <c r="BN4" s="111" t="s">
        <v>843</v>
      </c>
      <c r="BO4" s="2"/>
      <c r="BP4" s="3"/>
      <c r="BQ4" s="3"/>
      <c r="BR4" s="3"/>
      <c r="BS4" s="3"/>
    </row>
    <row r="5" spans="1:71" ht="15">
      <c r="A5" s="65" t="s">
        <v>328</v>
      </c>
      <c r="B5" s="66"/>
      <c r="C5" s="66"/>
      <c r="D5" s="67">
        <v>150</v>
      </c>
      <c r="E5" s="69"/>
      <c r="F5" s="103" t="str">
        <f>HYPERLINK("https://yt3.ggpht.com/ytc/AAUvwnjSEy5Y_8hE_sSAGpi6IK_eqt0G7sZ4fRnPpg=s88-c-k-c0x00ffffff-no-rj")</f>
        <v>https://yt3.ggpht.com/ytc/AAUvwnjSEy5Y_8hE_sSAGpi6IK_eqt0G7sZ4fRnPpg=s88-c-k-c0x00ffffff-no-rj</v>
      </c>
      <c r="G5" s="66"/>
      <c r="H5" s="70" t="s">
        <v>668</v>
      </c>
      <c r="I5" s="71"/>
      <c r="J5" s="71" t="s">
        <v>159</v>
      </c>
      <c r="K5" s="70" t="s">
        <v>668</v>
      </c>
      <c r="L5" s="74">
        <v>1</v>
      </c>
      <c r="M5" s="75">
        <v>4373.41943359375</v>
      </c>
      <c r="N5" s="75">
        <v>2135.67041015625</v>
      </c>
      <c r="O5" s="76"/>
      <c r="P5" s="77"/>
      <c r="Q5" s="77"/>
      <c r="R5" s="89"/>
      <c r="S5" s="49">
        <v>0</v>
      </c>
      <c r="T5" s="49">
        <v>1</v>
      </c>
      <c r="U5" s="50">
        <v>0</v>
      </c>
      <c r="V5" s="50">
        <v>0.003021</v>
      </c>
      <c r="W5" s="50">
        <v>0.007133</v>
      </c>
      <c r="X5" s="50">
        <v>0.515381</v>
      </c>
      <c r="Y5" s="50">
        <v>0</v>
      </c>
      <c r="Z5" s="50">
        <v>0</v>
      </c>
      <c r="AA5" s="72">
        <v>5</v>
      </c>
      <c r="AB5" s="72"/>
      <c r="AC5" s="73"/>
      <c r="AD5" s="80" t="s">
        <v>668</v>
      </c>
      <c r="AE5" s="80"/>
      <c r="AF5" s="80"/>
      <c r="AG5" s="80"/>
      <c r="AH5" s="80"/>
      <c r="AI5" s="80"/>
      <c r="AJ5" s="87">
        <v>44274.070127314815</v>
      </c>
      <c r="AK5" s="85" t="str">
        <f>HYPERLINK("https://yt3.ggpht.com/ytc/AAUvwnjSEy5Y_8hE_sSAGpi6IK_eqt0G7sZ4fRnPpg=s88-c-k-c0x00ffffff-no-rj")</f>
        <v>https://yt3.ggpht.com/ytc/AAUvwnjSEy5Y_8hE_sSAGpi6IK_eqt0G7sZ4fRnPpg=s88-c-k-c0x00ffffff-no-rj</v>
      </c>
      <c r="AL5" s="80">
        <v>0</v>
      </c>
      <c r="AM5" s="80">
        <v>0</v>
      </c>
      <c r="AN5" s="80">
        <v>0</v>
      </c>
      <c r="AO5" s="80" t="b">
        <v>0</v>
      </c>
      <c r="AP5" s="80">
        <v>0</v>
      </c>
      <c r="AQ5" s="80"/>
      <c r="AR5" s="80"/>
      <c r="AS5" s="80" t="s">
        <v>871</v>
      </c>
      <c r="AT5" s="85" t="str">
        <f>HYPERLINK("https://www.youtube.com/channel/UCJeHiMICYm6RdaqvukoCR2A")</f>
        <v>https://www.youtube.com/channel/UCJeHiMICYm6RdaqvukoCR2A</v>
      </c>
      <c r="AU5" s="80" t="str">
        <f>REPLACE(INDEX(GroupVertices[Group],MATCH(Vertices[[#This Row],[Vertex]],GroupVertices[Vertex],0)),1,1,"")</f>
        <v>1</v>
      </c>
      <c r="AV5" s="49">
        <v>0</v>
      </c>
      <c r="AW5" s="50">
        <v>0</v>
      </c>
      <c r="AX5" s="49">
        <v>0</v>
      </c>
      <c r="AY5" s="50">
        <v>0</v>
      </c>
      <c r="AZ5" s="49">
        <v>0</v>
      </c>
      <c r="BA5" s="50">
        <v>0</v>
      </c>
      <c r="BB5" s="49">
        <v>3</v>
      </c>
      <c r="BC5" s="50">
        <v>100</v>
      </c>
      <c r="BD5" s="49">
        <v>3</v>
      </c>
      <c r="BE5" s="49"/>
      <c r="BF5" s="49"/>
      <c r="BG5" s="49"/>
      <c r="BH5" s="49"/>
      <c r="BI5" s="49"/>
      <c r="BJ5" s="49"/>
      <c r="BK5" s="111" t="s">
        <v>843</v>
      </c>
      <c r="BL5" s="111" t="s">
        <v>843</v>
      </c>
      <c r="BM5" s="111" t="s">
        <v>843</v>
      </c>
      <c r="BN5" s="111" t="s">
        <v>843</v>
      </c>
      <c r="BO5" s="2"/>
      <c r="BP5" s="3"/>
      <c r="BQ5" s="3"/>
      <c r="BR5" s="3"/>
      <c r="BS5" s="3"/>
    </row>
    <row r="6" spans="1:71" ht="15">
      <c r="A6" s="65" t="s">
        <v>329</v>
      </c>
      <c r="B6" s="66"/>
      <c r="C6" s="66"/>
      <c r="D6" s="67">
        <v>150</v>
      </c>
      <c r="E6" s="69"/>
      <c r="F6" s="103" t="str">
        <f>HYPERLINK("https://yt3.ggpht.com/ytc/AAUvwnh4JWNyVLBYZLe95A1D8sb0rIOys_0hmTQ52A=s88-c-k-c0x00ffffff-no-rj")</f>
        <v>https://yt3.ggpht.com/ytc/AAUvwnh4JWNyVLBYZLe95A1D8sb0rIOys_0hmTQ52A=s88-c-k-c0x00ffffff-no-rj</v>
      </c>
      <c r="G6" s="66"/>
      <c r="H6" s="70" t="s">
        <v>669</v>
      </c>
      <c r="I6" s="71"/>
      <c r="J6" s="71" t="s">
        <v>159</v>
      </c>
      <c r="K6" s="70" t="s">
        <v>669</v>
      </c>
      <c r="L6" s="74">
        <v>1</v>
      </c>
      <c r="M6" s="75">
        <v>3419.006591796875</v>
      </c>
      <c r="N6" s="75">
        <v>1745.50048828125</v>
      </c>
      <c r="O6" s="76"/>
      <c r="P6" s="77"/>
      <c r="Q6" s="77"/>
      <c r="R6" s="89"/>
      <c r="S6" s="49">
        <v>0</v>
      </c>
      <c r="T6" s="49">
        <v>1</v>
      </c>
      <c r="U6" s="50">
        <v>0</v>
      </c>
      <c r="V6" s="50">
        <v>0.003021</v>
      </c>
      <c r="W6" s="50">
        <v>0.007133</v>
      </c>
      <c r="X6" s="50">
        <v>0.515381</v>
      </c>
      <c r="Y6" s="50">
        <v>0</v>
      </c>
      <c r="Z6" s="50">
        <v>0</v>
      </c>
      <c r="AA6" s="72">
        <v>6</v>
      </c>
      <c r="AB6" s="72"/>
      <c r="AC6" s="73"/>
      <c r="AD6" s="80" t="s">
        <v>669</v>
      </c>
      <c r="AE6" s="80"/>
      <c r="AF6" s="80"/>
      <c r="AG6" s="80"/>
      <c r="AH6" s="80"/>
      <c r="AI6" s="80"/>
      <c r="AJ6" s="87">
        <v>44271.50533564815</v>
      </c>
      <c r="AK6" s="85" t="str">
        <f>HYPERLINK("https://yt3.ggpht.com/ytc/AAUvwnh4JWNyVLBYZLe95A1D8sb0rIOys_0hmTQ52A=s88-c-k-c0x00ffffff-no-rj")</f>
        <v>https://yt3.ggpht.com/ytc/AAUvwnh4JWNyVLBYZLe95A1D8sb0rIOys_0hmTQ52A=s88-c-k-c0x00ffffff-no-rj</v>
      </c>
      <c r="AL6" s="80">
        <v>0</v>
      </c>
      <c r="AM6" s="80">
        <v>0</v>
      </c>
      <c r="AN6" s="80">
        <v>0</v>
      </c>
      <c r="AO6" s="80" t="b">
        <v>0</v>
      </c>
      <c r="AP6" s="80">
        <v>0</v>
      </c>
      <c r="AQ6" s="80"/>
      <c r="AR6" s="80"/>
      <c r="AS6" s="80" t="s">
        <v>871</v>
      </c>
      <c r="AT6" s="85" t="str">
        <f>HYPERLINK("https://www.youtube.com/channel/UCOMPKGVxY-2Mklt0Ccuy2EA")</f>
        <v>https://www.youtube.com/channel/UCOMPKGVxY-2Mklt0Ccuy2EA</v>
      </c>
      <c r="AU6" s="80" t="str">
        <f>REPLACE(INDEX(GroupVertices[Group],MATCH(Vertices[[#This Row],[Vertex]],GroupVertices[Vertex],0)),1,1,"")</f>
        <v>1</v>
      </c>
      <c r="AV6" s="49">
        <v>1</v>
      </c>
      <c r="AW6" s="50">
        <v>14.285714285714286</v>
      </c>
      <c r="AX6" s="49">
        <v>1</v>
      </c>
      <c r="AY6" s="50">
        <v>14.285714285714286</v>
      </c>
      <c r="AZ6" s="49">
        <v>0</v>
      </c>
      <c r="BA6" s="50">
        <v>0</v>
      </c>
      <c r="BB6" s="49">
        <v>6</v>
      </c>
      <c r="BC6" s="50">
        <v>85.71428571428571</v>
      </c>
      <c r="BD6" s="49">
        <v>7</v>
      </c>
      <c r="BE6" s="49"/>
      <c r="BF6" s="49"/>
      <c r="BG6" s="49"/>
      <c r="BH6" s="49"/>
      <c r="BI6" s="49"/>
      <c r="BJ6" s="49"/>
      <c r="BK6" s="111" t="s">
        <v>1312</v>
      </c>
      <c r="BL6" s="111" t="s">
        <v>1312</v>
      </c>
      <c r="BM6" s="111" t="s">
        <v>1382</v>
      </c>
      <c r="BN6" s="111" t="s">
        <v>1382</v>
      </c>
      <c r="BO6" s="2"/>
      <c r="BP6" s="3"/>
      <c r="BQ6" s="3"/>
      <c r="BR6" s="3"/>
      <c r="BS6" s="3"/>
    </row>
    <row r="7" spans="1:71" ht="15">
      <c r="A7" s="65" t="s">
        <v>330</v>
      </c>
      <c r="B7" s="66"/>
      <c r="C7" s="66"/>
      <c r="D7" s="67">
        <v>150</v>
      </c>
      <c r="E7" s="69"/>
      <c r="F7" s="103" t="str">
        <f>HYPERLINK("https://yt3.ggpht.com/ytc/AAUvwngTRCsWb1FxHBo0OVG0RVHu1Za2njqU2ErJ9g=s88-c-k-c0x00ffffff-no-rj")</f>
        <v>https://yt3.ggpht.com/ytc/AAUvwngTRCsWb1FxHBo0OVG0RVHu1Za2njqU2ErJ9g=s88-c-k-c0x00ffffff-no-rj</v>
      </c>
      <c r="G7" s="66"/>
      <c r="H7" s="70" t="s">
        <v>670</v>
      </c>
      <c r="I7" s="71"/>
      <c r="J7" s="71" t="s">
        <v>159</v>
      </c>
      <c r="K7" s="70" t="s">
        <v>670</v>
      </c>
      <c r="L7" s="74">
        <v>1</v>
      </c>
      <c r="M7" s="75">
        <v>541.0921630859375</v>
      </c>
      <c r="N7" s="75">
        <v>2656.500732421875</v>
      </c>
      <c r="O7" s="76"/>
      <c r="P7" s="77"/>
      <c r="Q7" s="77"/>
      <c r="R7" s="89"/>
      <c r="S7" s="49">
        <v>0</v>
      </c>
      <c r="T7" s="49">
        <v>1</v>
      </c>
      <c r="U7" s="50">
        <v>0</v>
      </c>
      <c r="V7" s="50">
        <v>0.003021</v>
      </c>
      <c r="W7" s="50">
        <v>0.007133</v>
      </c>
      <c r="X7" s="50">
        <v>0.515381</v>
      </c>
      <c r="Y7" s="50">
        <v>0</v>
      </c>
      <c r="Z7" s="50">
        <v>0</v>
      </c>
      <c r="AA7" s="72">
        <v>7</v>
      </c>
      <c r="AB7" s="72"/>
      <c r="AC7" s="73"/>
      <c r="AD7" s="80" t="s">
        <v>670</v>
      </c>
      <c r="AE7" s="80"/>
      <c r="AF7" s="80"/>
      <c r="AG7" s="80"/>
      <c r="AH7" s="80"/>
      <c r="AI7" s="80"/>
      <c r="AJ7" s="87">
        <v>43994.386099537034</v>
      </c>
      <c r="AK7" s="85" t="str">
        <f>HYPERLINK("https://yt3.ggpht.com/ytc/AAUvwngTRCsWb1FxHBo0OVG0RVHu1Za2njqU2ErJ9g=s88-c-k-c0x00ffffff-no-rj")</f>
        <v>https://yt3.ggpht.com/ytc/AAUvwngTRCsWb1FxHBo0OVG0RVHu1Za2njqU2ErJ9g=s88-c-k-c0x00ffffff-no-rj</v>
      </c>
      <c r="AL7" s="80">
        <v>0</v>
      </c>
      <c r="AM7" s="80">
        <v>0</v>
      </c>
      <c r="AN7" s="80">
        <v>0</v>
      </c>
      <c r="AO7" s="80" t="b">
        <v>0</v>
      </c>
      <c r="AP7" s="80">
        <v>0</v>
      </c>
      <c r="AQ7" s="80"/>
      <c r="AR7" s="80"/>
      <c r="AS7" s="80" t="s">
        <v>871</v>
      </c>
      <c r="AT7" s="85" t="str">
        <f>HYPERLINK("https://www.youtube.com/channel/UClzPVk0jQBCao2obuQboocQ")</f>
        <v>https://www.youtube.com/channel/UClzPVk0jQBCao2obuQboocQ</v>
      </c>
      <c r="AU7" s="80" t="str">
        <f>REPLACE(INDEX(GroupVertices[Group],MATCH(Vertices[[#This Row],[Vertex]],GroupVertices[Vertex],0)),1,1,"")</f>
        <v>1</v>
      </c>
      <c r="AV7" s="49">
        <v>1</v>
      </c>
      <c r="AW7" s="50">
        <v>50</v>
      </c>
      <c r="AX7" s="49">
        <v>1</v>
      </c>
      <c r="AY7" s="50">
        <v>50</v>
      </c>
      <c r="AZ7" s="49">
        <v>0</v>
      </c>
      <c r="BA7" s="50">
        <v>0</v>
      </c>
      <c r="BB7" s="49">
        <v>1</v>
      </c>
      <c r="BC7" s="50">
        <v>50</v>
      </c>
      <c r="BD7" s="49">
        <v>2</v>
      </c>
      <c r="BE7" s="49"/>
      <c r="BF7" s="49"/>
      <c r="BG7" s="49"/>
      <c r="BH7" s="49"/>
      <c r="BI7" s="49"/>
      <c r="BJ7" s="49"/>
      <c r="BK7" s="111" t="s">
        <v>1313</v>
      </c>
      <c r="BL7" s="111" t="s">
        <v>1313</v>
      </c>
      <c r="BM7" s="111" t="s">
        <v>1383</v>
      </c>
      <c r="BN7" s="111" t="s">
        <v>1383</v>
      </c>
      <c r="BO7" s="2"/>
      <c r="BP7" s="3"/>
      <c r="BQ7" s="3"/>
      <c r="BR7" s="3"/>
      <c r="BS7" s="3"/>
    </row>
    <row r="8" spans="1:71" ht="15">
      <c r="A8" s="65" t="s">
        <v>331</v>
      </c>
      <c r="B8" s="66"/>
      <c r="C8" s="66"/>
      <c r="D8" s="67">
        <v>150</v>
      </c>
      <c r="E8" s="69"/>
      <c r="F8" s="103" t="str">
        <f>HYPERLINK("https://yt3.ggpht.com/ytc/AAUvwngiga4tukv-orh4-jZmCdRfYBpML1xFyb84RA=s88-c-k-c0x00ffffff-no-rj")</f>
        <v>https://yt3.ggpht.com/ytc/AAUvwngiga4tukv-orh4-jZmCdRfYBpML1xFyb84RA=s88-c-k-c0x00ffffff-no-rj</v>
      </c>
      <c r="G8" s="66"/>
      <c r="H8" s="70" t="s">
        <v>671</v>
      </c>
      <c r="I8" s="71"/>
      <c r="J8" s="71" t="s">
        <v>159</v>
      </c>
      <c r="K8" s="70" t="s">
        <v>671</v>
      </c>
      <c r="L8" s="74">
        <v>1</v>
      </c>
      <c r="M8" s="75">
        <v>3092.65283203125</v>
      </c>
      <c r="N8" s="75">
        <v>6091.95361328125</v>
      </c>
      <c r="O8" s="76"/>
      <c r="P8" s="77"/>
      <c r="Q8" s="77"/>
      <c r="R8" s="89"/>
      <c r="S8" s="49">
        <v>0</v>
      </c>
      <c r="T8" s="49">
        <v>1</v>
      </c>
      <c r="U8" s="50">
        <v>0</v>
      </c>
      <c r="V8" s="50">
        <v>0.003021</v>
      </c>
      <c r="W8" s="50">
        <v>0.007133</v>
      </c>
      <c r="X8" s="50">
        <v>0.515381</v>
      </c>
      <c r="Y8" s="50">
        <v>0</v>
      </c>
      <c r="Z8" s="50">
        <v>0</v>
      </c>
      <c r="AA8" s="72">
        <v>8</v>
      </c>
      <c r="AB8" s="72"/>
      <c r="AC8" s="73"/>
      <c r="AD8" s="80" t="s">
        <v>671</v>
      </c>
      <c r="AE8" s="80"/>
      <c r="AF8" s="80"/>
      <c r="AG8" s="80"/>
      <c r="AH8" s="80"/>
      <c r="AI8" s="80"/>
      <c r="AJ8" s="87">
        <v>43920.99490740741</v>
      </c>
      <c r="AK8" s="85" t="str">
        <f>HYPERLINK("https://yt3.ggpht.com/ytc/AAUvwngiga4tukv-orh4-jZmCdRfYBpML1xFyb84RA=s88-c-k-c0x00ffffff-no-rj")</f>
        <v>https://yt3.ggpht.com/ytc/AAUvwngiga4tukv-orh4-jZmCdRfYBpML1xFyb84RA=s88-c-k-c0x00ffffff-no-rj</v>
      </c>
      <c r="AL8" s="80">
        <v>2</v>
      </c>
      <c r="AM8" s="80">
        <v>0</v>
      </c>
      <c r="AN8" s="80">
        <v>1</v>
      </c>
      <c r="AO8" s="80" t="b">
        <v>0</v>
      </c>
      <c r="AP8" s="80">
        <v>1</v>
      </c>
      <c r="AQ8" s="80"/>
      <c r="AR8" s="80"/>
      <c r="AS8" s="80" t="s">
        <v>871</v>
      </c>
      <c r="AT8" s="85" t="str">
        <f>HYPERLINK("https://www.youtube.com/channel/UCHU71QXv1P91-ohYiBaaoaQ")</f>
        <v>https://www.youtube.com/channel/UCHU71QXv1P91-ohYiBaaoaQ</v>
      </c>
      <c r="AU8" s="80" t="str">
        <f>REPLACE(INDEX(GroupVertices[Group],MATCH(Vertices[[#This Row],[Vertex]],GroupVertices[Vertex],0)),1,1,"")</f>
        <v>1</v>
      </c>
      <c r="AV8" s="49">
        <v>0</v>
      </c>
      <c r="AW8" s="50">
        <v>0</v>
      </c>
      <c r="AX8" s="49">
        <v>0</v>
      </c>
      <c r="AY8" s="50">
        <v>0</v>
      </c>
      <c r="AZ8" s="49">
        <v>0</v>
      </c>
      <c r="BA8" s="50">
        <v>0</v>
      </c>
      <c r="BB8" s="49">
        <v>6</v>
      </c>
      <c r="BC8" s="50">
        <v>100</v>
      </c>
      <c r="BD8" s="49">
        <v>6</v>
      </c>
      <c r="BE8" s="49"/>
      <c r="BF8" s="49"/>
      <c r="BG8" s="49"/>
      <c r="BH8" s="49"/>
      <c r="BI8" s="49"/>
      <c r="BJ8" s="49"/>
      <c r="BK8" s="111" t="s">
        <v>1314</v>
      </c>
      <c r="BL8" s="111" t="s">
        <v>1314</v>
      </c>
      <c r="BM8" s="111" t="s">
        <v>1384</v>
      </c>
      <c r="BN8" s="111" t="s">
        <v>1384</v>
      </c>
      <c r="BO8" s="2"/>
      <c r="BP8" s="3"/>
      <c r="BQ8" s="3"/>
      <c r="BR8" s="3"/>
      <c r="BS8" s="3"/>
    </row>
    <row r="9" spans="1:71" ht="15">
      <c r="A9" s="65" t="s">
        <v>332</v>
      </c>
      <c r="B9" s="66"/>
      <c r="C9" s="66"/>
      <c r="D9" s="67">
        <v>150</v>
      </c>
      <c r="E9" s="69"/>
      <c r="F9" s="103" t="str">
        <f>HYPERLINK("https://yt3.ggpht.com/ytc/AAUvwnh2LqqbHjNaq5oDtkhvSk3Cwpe-_ggTmcHQ4Q=s88-c-k-c0x00ffffff-no-rj")</f>
        <v>https://yt3.ggpht.com/ytc/AAUvwnh2LqqbHjNaq5oDtkhvSk3Cwpe-_ggTmcHQ4Q=s88-c-k-c0x00ffffff-no-rj</v>
      </c>
      <c r="G9" s="66"/>
      <c r="H9" s="70" t="s">
        <v>672</v>
      </c>
      <c r="I9" s="71"/>
      <c r="J9" s="71" t="s">
        <v>159</v>
      </c>
      <c r="K9" s="70" t="s">
        <v>672</v>
      </c>
      <c r="L9" s="74">
        <v>1</v>
      </c>
      <c r="M9" s="75">
        <v>1054.1041259765625</v>
      </c>
      <c r="N9" s="75">
        <v>1623.8551025390625</v>
      </c>
      <c r="O9" s="76"/>
      <c r="P9" s="77"/>
      <c r="Q9" s="77"/>
      <c r="R9" s="89"/>
      <c r="S9" s="49">
        <v>0</v>
      </c>
      <c r="T9" s="49">
        <v>1</v>
      </c>
      <c r="U9" s="50">
        <v>0</v>
      </c>
      <c r="V9" s="50">
        <v>0.003021</v>
      </c>
      <c r="W9" s="50">
        <v>0.007133</v>
      </c>
      <c r="X9" s="50">
        <v>0.515381</v>
      </c>
      <c r="Y9" s="50">
        <v>0</v>
      </c>
      <c r="Z9" s="50">
        <v>0</v>
      </c>
      <c r="AA9" s="72">
        <v>9</v>
      </c>
      <c r="AB9" s="72"/>
      <c r="AC9" s="73"/>
      <c r="AD9" s="80" t="s">
        <v>672</v>
      </c>
      <c r="AE9" s="80"/>
      <c r="AF9" s="80"/>
      <c r="AG9" s="80"/>
      <c r="AH9" s="80"/>
      <c r="AI9" s="80"/>
      <c r="AJ9" s="87">
        <v>44267.75623842593</v>
      </c>
      <c r="AK9" s="85" t="str">
        <f>HYPERLINK("https://yt3.ggpht.com/ytc/AAUvwnh2LqqbHjNaq5oDtkhvSk3Cwpe-_ggTmcHQ4Q=s88-c-k-c0x00ffffff-no-rj")</f>
        <v>https://yt3.ggpht.com/ytc/AAUvwnh2LqqbHjNaq5oDtkhvSk3Cwpe-_ggTmcHQ4Q=s88-c-k-c0x00ffffff-no-rj</v>
      </c>
      <c r="AL9" s="80">
        <v>0</v>
      </c>
      <c r="AM9" s="80">
        <v>0</v>
      </c>
      <c r="AN9" s="80">
        <v>0</v>
      </c>
      <c r="AO9" s="80" t="b">
        <v>0</v>
      </c>
      <c r="AP9" s="80">
        <v>0</v>
      </c>
      <c r="AQ9" s="80"/>
      <c r="AR9" s="80"/>
      <c r="AS9" s="80" t="s">
        <v>871</v>
      </c>
      <c r="AT9" s="85" t="str">
        <f>HYPERLINK("https://www.youtube.com/channel/UCNdwsLhhuDuBep5DVHzqZeQ")</f>
        <v>https://www.youtube.com/channel/UCNdwsLhhuDuBep5DVHzqZeQ</v>
      </c>
      <c r="AU9" s="80" t="str">
        <f>REPLACE(INDEX(GroupVertices[Group],MATCH(Vertices[[#This Row],[Vertex]],GroupVertices[Vertex],0)),1,1,"")</f>
        <v>1</v>
      </c>
      <c r="AV9" s="49">
        <v>0</v>
      </c>
      <c r="AW9" s="50">
        <v>0</v>
      </c>
      <c r="AX9" s="49">
        <v>0</v>
      </c>
      <c r="AY9" s="50">
        <v>0</v>
      </c>
      <c r="AZ9" s="49">
        <v>0</v>
      </c>
      <c r="BA9" s="50">
        <v>0</v>
      </c>
      <c r="BB9" s="49">
        <v>3</v>
      </c>
      <c r="BC9" s="50">
        <v>100</v>
      </c>
      <c r="BD9" s="49">
        <v>3</v>
      </c>
      <c r="BE9" s="49"/>
      <c r="BF9" s="49"/>
      <c r="BG9" s="49"/>
      <c r="BH9" s="49"/>
      <c r="BI9" s="49"/>
      <c r="BJ9" s="49"/>
      <c r="BK9" s="111" t="s">
        <v>1315</v>
      </c>
      <c r="BL9" s="111" t="s">
        <v>1315</v>
      </c>
      <c r="BM9" s="111" t="s">
        <v>1385</v>
      </c>
      <c r="BN9" s="111" t="s">
        <v>1385</v>
      </c>
      <c r="BO9" s="2"/>
      <c r="BP9" s="3"/>
      <c r="BQ9" s="3"/>
      <c r="BR9" s="3"/>
      <c r="BS9" s="3"/>
    </row>
    <row r="10" spans="1:71" ht="15">
      <c r="A10" s="65" t="s">
        <v>333</v>
      </c>
      <c r="B10" s="66"/>
      <c r="C10" s="66"/>
      <c r="D10" s="67">
        <v>150</v>
      </c>
      <c r="E10" s="69"/>
      <c r="F10" s="103" t="str">
        <f>HYPERLINK("https://yt3.ggpht.com/ytc/AAUvwniFueFxhF40kM-_ICz_AL1-E_Mb3-h70s__ZQ=s88-c-k-c0x00ffffff-no-rj")</f>
        <v>https://yt3.ggpht.com/ytc/AAUvwniFueFxhF40kM-_ICz_AL1-E_Mb3-h70s__ZQ=s88-c-k-c0x00ffffff-no-rj</v>
      </c>
      <c r="G10" s="66"/>
      <c r="H10" s="70" t="s">
        <v>673</v>
      </c>
      <c r="I10" s="71"/>
      <c r="J10" s="71" t="s">
        <v>159</v>
      </c>
      <c r="K10" s="70" t="s">
        <v>673</v>
      </c>
      <c r="L10" s="74">
        <v>1</v>
      </c>
      <c r="M10" s="75">
        <v>5265.9912109375</v>
      </c>
      <c r="N10" s="75">
        <v>4102.48291015625</v>
      </c>
      <c r="O10" s="76"/>
      <c r="P10" s="77"/>
      <c r="Q10" s="77"/>
      <c r="R10" s="89"/>
      <c r="S10" s="49">
        <v>0</v>
      </c>
      <c r="T10" s="49">
        <v>1</v>
      </c>
      <c r="U10" s="50">
        <v>0</v>
      </c>
      <c r="V10" s="50">
        <v>0.003021</v>
      </c>
      <c r="W10" s="50">
        <v>0.007133</v>
      </c>
      <c r="X10" s="50">
        <v>0.515381</v>
      </c>
      <c r="Y10" s="50">
        <v>0</v>
      </c>
      <c r="Z10" s="50">
        <v>0</v>
      </c>
      <c r="AA10" s="72">
        <v>10</v>
      </c>
      <c r="AB10" s="72"/>
      <c r="AC10" s="73"/>
      <c r="AD10" s="80" t="s">
        <v>673</v>
      </c>
      <c r="AE10" s="80"/>
      <c r="AF10" s="80"/>
      <c r="AG10" s="80"/>
      <c r="AH10" s="80"/>
      <c r="AI10" s="80"/>
      <c r="AJ10" s="87">
        <v>43851.51327546296</v>
      </c>
      <c r="AK10" s="85" t="str">
        <f>HYPERLINK("https://yt3.ggpht.com/ytc/AAUvwniFueFxhF40kM-_ICz_AL1-E_Mb3-h70s__ZQ=s88-c-k-c0x00ffffff-no-rj")</f>
        <v>https://yt3.ggpht.com/ytc/AAUvwniFueFxhF40kM-_ICz_AL1-E_Mb3-h70s__ZQ=s88-c-k-c0x00ffffff-no-rj</v>
      </c>
      <c r="AL10" s="80">
        <v>0</v>
      </c>
      <c r="AM10" s="80">
        <v>0</v>
      </c>
      <c r="AN10" s="80">
        <v>0</v>
      </c>
      <c r="AO10" s="80" t="b">
        <v>0</v>
      </c>
      <c r="AP10" s="80">
        <v>0</v>
      </c>
      <c r="AQ10" s="80"/>
      <c r="AR10" s="80"/>
      <c r="AS10" s="80" t="s">
        <v>871</v>
      </c>
      <c r="AT10" s="85" t="str">
        <f>HYPERLINK("https://www.youtube.com/channel/UCPv4RA_MIqx_Wa9HNUAO4vw")</f>
        <v>https://www.youtube.com/channel/UCPv4RA_MIqx_Wa9HNUAO4vw</v>
      </c>
      <c r="AU10" s="80" t="str">
        <f>REPLACE(INDEX(GroupVertices[Group],MATCH(Vertices[[#This Row],[Vertex]],GroupVertices[Vertex],0)),1,1,"")</f>
        <v>1</v>
      </c>
      <c r="AV10" s="49">
        <v>2</v>
      </c>
      <c r="AW10" s="50">
        <v>12.5</v>
      </c>
      <c r="AX10" s="49">
        <v>1</v>
      </c>
      <c r="AY10" s="50">
        <v>6.25</v>
      </c>
      <c r="AZ10" s="49">
        <v>0</v>
      </c>
      <c r="BA10" s="50">
        <v>0</v>
      </c>
      <c r="BB10" s="49">
        <v>14</v>
      </c>
      <c r="BC10" s="50">
        <v>87.5</v>
      </c>
      <c r="BD10" s="49">
        <v>16</v>
      </c>
      <c r="BE10" s="49"/>
      <c r="BF10" s="49"/>
      <c r="BG10" s="49"/>
      <c r="BH10" s="49"/>
      <c r="BI10" s="49"/>
      <c r="BJ10" s="49"/>
      <c r="BK10" s="111" t="s">
        <v>1484</v>
      </c>
      <c r="BL10" s="111" t="s">
        <v>1484</v>
      </c>
      <c r="BM10" s="111" t="s">
        <v>1550</v>
      </c>
      <c r="BN10" s="111" t="s">
        <v>1550</v>
      </c>
      <c r="BO10" s="2"/>
      <c r="BP10" s="3"/>
      <c r="BQ10" s="3"/>
      <c r="BR10" s="3"/>
      <c r="BS10" s="3"/>
    </row>
    <row r="11" spans="1:71" ht="15">
      <c r="A11" s="65" t="s">
        <v>334</v>
      </c>
      <c r="B11" s="66"/>
      <c r="C11" s="66"/>
      <c r="D11" s="67">
        <v>150</v>
      </c>
      <c r="E11" s="69"/>
      <c r="F11" s="103" t="str">
        <f>HYPERLINK("https://yt3.ggpht.com/ytc/AAUvwngPrs1VWgm97EkxImZ-z8p7Y_pGdIc2WGIg1A=s88-c-k-c0x00ffffff-no-rj")</f>
        <v>https://yt3.ggpht.com/ytc/AAUvwngPrs1VWgm97EkxImZ-z8p7Y_pGdIc2WGIg1A=s88-c-k-c0x00ffffff-no-rj</v>
      </c>
      <c r="G11" s="66"/>
      <c r="H11" s="70" t="s">
        <v>674</v>
      </c>
      <c r="I11" s="71"/>
      <c r="J11" s="71" t="s">
        <v>159</v>
      </c>
      <c r="K11" s="70" t="s">
        <v>674</v>
      </c>
      <c r="L11" s="74">
        <v>1</v>
      </c>
      <c r="M11" s="75">
        <v>8196.5068359375</v>
      </c>
      <c r="N11" s="75">
        <v>7340.30615234375</v>
      </c>
      <c r="O11" s="76"/>
      <c r="P11" s="77"/>
      <c r="Q11" s="77"/>
      <c r="R11" s="89"/>
      <c r="S11" s="49">
        <v>0</v>
      </c>
      <c r="T11" s="49">
        <v>1</v>
      </c>
      <c r="U11" s="50">
        <v>0</v>
      </c>
      <c r="V11" s="50">
        <v>0.00211</v>
      </c>
      <c r="W11" s="50">
        <v>0.000627</v>
      </c>
      <c r="X11" s="50">
        <v>0.563067</v>
      </c>
      <c r="Y11" s="50">
        <v>0</v>
      </c>
      <c r="Z11" s="50">
        <v>0</v>
      </c>
      <c r="AA11" s="72">
        <v>11</v>
      </c>
      <c r="AB11" s="72"/>
      <c r="AC11" s="73"/>
      <c r="AD11" s="80" t="s">
        <v>674</v>
      </c>
      <c r="AE11" s="80"/>
      <c r="AF11" s="80"/>
      <c r="AG11" s="80"/>
      <c r="AH11" s="80"/>
      <c r="AI11" s="80"/>
      <c r="AJ11" s="87">
        <v>43646.035046296296</v>
      </c>
      <c r="AK11" s="85" t="str">
        <f>HYPERLINK("https://yt3.ggpht.com/ytc/AAUvwngPrs1VWgm97EkxImZ-z8p7Y_pGdIc2WGIg1A=s88-c-k-c0x00ffffff-no-rj")</f>
        <v>https://yt3.ggpht.com/ytc/AAUvwngPrs1VWgm97EkxImZ-z8p7Y_pGdIc2WGIg1A=s88-c-k-c0x00ffffff-no-rj</v>
      </c>
      <c r="AL11" s="80">
        <v>0</v>
      </c>
      <c r="AM11" s="80">
        <v>0</v>
      </c>
      <c r="AN11" s="80">
        <v>2</v>
      </c>
      <c r="AO11" s="80" t="b">
        <v>0</v>
      </c>
      <c r="AP11" s="80">
        <v>0</v>
      </c>
      <c r="AQ11" s="80"/>
      <c r="AR11" s="80"/>
      <c r="AS11" s="80" t="s">
        <v>871</v>
      </c>
      <c r="AT11" s="85" t="str">
        <f>HYPERLINK("https://www.youtube.com/channel/UCnZQzTqGBNRA4_HEODkRwEw")</f>
        <v>https://www.youtube.com/channel/UCnZQzTqGBNRA4_HEODkRwEw</v>
      </c>
      <c r="AU11" s="80" t="str">
        <f>REPLACE(INDEX(GroupVertices[Group],MATCH(Vertices[[#This Row],[Vertex]],GroupVertices[Vertex],0)),1,1,"")</f>
        <v>5</v>
      </c>
      <c r="AV11" s="49">
        <v>0</v>
      </c>
      <c r="AW11" s="50">
        <v>0</v>
      </c>
      <c r="AX11" s="49">
        <v>0</v>
      </c>
      <c r="AY11" s="50">
        <v>0</v>
      </c>
      <c r="AZ11" s="49">
        <v>0</v>
      </c>
      <c r="BA11" s="50">
        <v>0</v>
      </c>
      <c r="BB11" s="49">
        <v>0</v>
      </c>
      <c r="BC11" s="50">
        <v>0</v>
      </c>
      <c r="BD11" s="49">
        <v>0</v>
      </c>
      <c r="BE11" s="49"/>
      <c r="BF11" s="49"/>
      <c r="BG11" s="49"/>
      <c r="BH11" s="49"/>
      <c r="BI11" s="49"/>
      <c r="BJ11" s="49"/>
      <c r="BK11" s="111" t="s">
        <v>843</v>
      </c>
      <c r="BL11" s="111" t="s">
        <v>843</v>
      </c>
      <c r="BM11" s="111" t="s">
        <v>843</v>
      </c>
      <c r="BN11" s="111" t="s">
        <v>843</v>
      </c>
      <c r="BO11" s="2"/>
      <c r="BP11" s="3"/>
      <c r="BQ11" s="3"/>
      <c r="BR11" s="3"/>
      <c r="BS11" s="3"/>
    </row>
    <row r="12" spans="1:71" ht="15">
      <c r="A12" s="65" t="s">
        <v>338</v>
      </c>
      <c r="B12" s="66"/>
      <c r="C12" s="66"/>
      <c r="D12" s="67">
        <v>1000</v>
      </c>
      <c r="E12" s="69"/>
      <c r="F12" s="103" t="str">
        <f>HYPERLINK("https://yt3.ggpht.com/ytc/AAUvwni7UtpDBuwThXcnSYWA_19hMqny2EQ2WniXUWO9Sw=s88-c-k-c0x00ffffff-no-rj")</f>
        <v>https://yt3.ggpht.com/ytc/AAUvwni7UtpDBuwThXcnSYWA_19hMqny2EQ2WniXUWO9Sw=s88-c-k-c0x00ffffff-no-rj</v>
      </c>
      <c r="G12" s="66"/>
      <c r="H12" s="70" t="s">
        <v>678</v>
      </c>
      <c r="I12" s="71"/>
      <c r="J12" s="71" t="s">
        <v>159</v>
      </c>
      <c r="K12" s="70" t="s">
        <v>678</v>
      </c>
      <c r="L12" s="74">
        <v>320.936</v>
      </c>
      <c r="M12" s="75">
        <v>7472.71435546875</v>
      </c>
      <c r="N12" s="75">
        <v>6444.44140625</v>
      </c>
      <c r="O12" s="76"/>
      <c r="P12" s="77"/>
      <c r="Q12" s="77"/>
      <c r="R12" s="89"/>
      <c r="S12" s="49">
        <v>4</v>
      </c>
      <c r="T12" s="49">
        <v>1</v>
      </c>
      <c r="U12" s="50">
        <v>1196</v>
      </c>
      <c r="V12" s="50">
        <v>0.003096</v>
      </c>
      <c r="W12" s="50">
        <v>0.007347</v>
      </c>
      <c r="X12" s="50">
        <v>2.429808</v>
      </c>
      <c r="Y12" s="50">
        <v>0</v>
      </c>
      <c r="Z12" s="50">
        <v>0</v>
      </c>
      <c r="AA12" s="72">
        <v>12</v>
      </c>
      <c r="AB12" s="72"/>
      <c r="AC12" s="73"/>
      <c r="AD12" s="80" t="s">
        <v>678</v>
      </c>
      <c r="AE12" s="80" t="s">
        <v>859</v>
      </c>
      <c r="AF12" s="80"/>
      <c r="AG12" s="80"/>
      <c r="AH12" s="80"/>
      <c r="AI12" s="80"/>
      <c r="AJ12" s="87">
        <v>41514.10290509259</v>
      </c>
      <c r="AK12" s="85" t="str">
        <f>HYPERLINK("https://yt3.ggpht.com/ytc/AAUvwni7UtpDBuwThXcnSYWA_19hMqny2EQ2WniXUWO9Sw=s88-c-k-c0x00ffffff-no-rj")</f>
        <v>https://yt3.ggpht.com/ytc/AAUvwni7UtpDBuwThXcnSYWA_19hMqny2EQ2WniXUWO9Sw=s88-c-k-c0x00ffffff-no-rj</v>
      </c>
      <c r="AL12" s="80">
        <v>0</v>
      </c>
      <c r="AM12" s="80">
        <v>0</v>
      </c>
      <c r="AN12" s="80">
        <v>2</v>
      </c>
      <c r="AO12" s="80" t="b">
        <v>0</v>
      </c>
      <c r="AP12" s="80">
        <v>0</v>
      </c>
      <c r="AQ12" s="80"/>
      <c r="AR12" s="80"/>
      <c r="AS12" s="80" t="s">
        <v>871</v>
      </c>
      <c r="AT12" s="85" t="str">
        <f>HYPERLINK("https://www.youtube.com/channel/UC3TmlkyMLVtPRgucjAx0Ltg")</f>
        <v>https://www.youtube.com/channel/UC3TmlkyMLVtPRgucjAx0Ltg</v>
      </c>
      <c r="AU12" s="80" t="str">
        <f>REPLACE(INDEX(GroupVertices[Group],MATCH(Vertices[[#This Row],[Vertex]],GroupVertices[Vertex],0)),1,1,"")</f>
        <v>5</v>
      </c>
      <c r="AV12" s="49">
        <v>2</v>
      </c>
      <c r="AW12" s="50">
        <v>9.090909090909092</v>
      </c>
      <c r="AX12" s="49">
        <v>1</v>
      </c>
      <c r="AY12" s="50">
        <v>4.545454545454546</v>
      </c>
      <c r="AZ12" s="49">
        <v>0</v>
      </c>
      <c r="BA12" s="50">
        <v>0</v>
      </c>
      <c r="BB12" s="49">
        <v>20</v>
      </c>
      <c r="BC12" s="50">
        <v>90.9090909090909</v>
      </c>
      <c r="BD12" s="49">
        <v>22</v>
      </c>
      <c r="BE12" s="49"/>
      <c r="BF12" s="49"/>
      <c r="BG12" s="49"/>
      <c r="BH12" s="49"/>
      <c r="BI12" s="49"/>
      <c r="BJ12" s="49"/>
      <c r="BK12" s="111" t="s">
        <v>1316</v>
      </c>
      <c r="BL12" s="111" t="s">
        <v>1316</v>
      </c>
      <c r="BM12" s="111" t="s">
        <v>1386</v>
      </c>
      <c r="BN12" s="111" t="s">
        <v>1386</v>
      </c>
      <c r="BO12" s="2"/>
      <c r="BP12" s="3"/>
      <c r="BQ12" s="3"/>
      <c r="BR12" s="3"/>
      <c r="BS12" s="3"/>
    </row>
    <row r="13" spans="1:71" ht="15">
      <c r="A13" s="65" t="s">
        <v>335</v>
      </c>
      <c r="B13" s="66"/>
      <c r="C13" s="66"/>
      <c r="D13" s="67">
        <v>150</v>
      </c>
      <c r="E13" s="69"/>
      <c r="F13" s="103" t="str">
        <f>HYPERLINK("https://yt3.ggpht.com/ytc/AAUvwnjZJGfsAwMJ_TA4OHCb_WWDsSfsEdQLO7ICxxv0=s88-c-k-c0x00ffffff-no-rj")</f>
        <v>https://yt3.ggpht.com/ytc/AAUvwnjZJGfsAwMJ_TA4OHCb_WWDsSfsEdQLO7ICxxv0=s88-c-k-c0x00ffffff-no-rj</v>
      </c>
      <c r="G13" s="66"/>
      <c r="H13" s="70" t="s">
        <v>675</v>
      </c>
      <c r="I13" s="71"/>
      <c r="J13" s="71" t="s">
        <v>159</v>
      </c>
      <c r="K13" s="70" t="s">
        <v>675</v>
      </c>
      <c r="L13" s="74">
        <v>1</v>
      </c>
      <c r="M13" s="75">
        <v>6697.84375</v>
      </c>
      <c r="N13" s="75">
        <v>7281.25634765625</v>
      </c>
      <c r="O13" s="76"/>
      <c r="P13" s="77"/>
      <c r="Q13" s="77"/>
      <c r="R13" s="89"/>
      <c r="S13" s="49">
        <v>0</v>
      </c>
      <c r="T13" s="49">
        <v>1</v>
      </c>
      <c r="U13" s="50">
        <v>0</v>
      </c>
      <c r="V13" s="50">
        <v>0.00211</v>
      </c>
      <c r="W13" s="50">
        <v>0.000627</v>
      </c>
      <c r="X13" s="50">
        <v>0.563067</v>
      </c>
      <c r="Y13" s="50">
        <v>0</v>
      </c>
      <c r="Z13" s="50">
        <v>0</v>
      </c>
      <c r="AA13" s="72">
        <v>13</v>
      </c>
      <c r="AB13" s="72"/>
      <c r="AC13" s="73"/>
      <c r="AD13" s="80" t="s">
        <v>675</v>
      </c>
      <c r="AE13" s="80"/>
      <c r="AF13" s="80"/>
      <c r="AG13" s="80"/>
      <c r="AH13" s="80"/>
      <c r="AI13" s="80"/>
      <c r="AJ13" s="87">
        <v>44271.53034722222</v>
      </c>
      <c r="AK13" s="85" t="str">
        <f>HYPERLINK("https://yt3.ggpht.com/ytc/AAUvwnjZJGfsAwMJ_TA4OHCb_WWDsSfsEdQLO7ICxxv0=s88-c-k-c0x00ffffff-no-rj")</f>
        <v>https://yt3.ggpht.com/ytc/AAUvwnjZJGfsAwMJ_TA4OHCb_WWDsSfsEdQLO7ICxxv0=s88-c-k-c0x00ffffff-no-rj</v>
      </c>
      <c r="AL13" s="80">
        <v>0</v>
      </c>
      <c r="AM13" s="80">
        <v>0</v>
      </c>
      <c r="AN13" s="80">
        <v>0</v>
      </c>
      <c r="AO13" s="80" t="b">
        <v>0</v>
      </c>
      <c r="AP13" s="80">
        <v>0</v>
      </c>
      <c r="AQ13" s="80"/>
      <c r="AR13" s="80"/>
      <c r="AS13" s="80" t="s">
        <v>871</v>
      </c>
      <c r="AT13" s="85" t="str">
        <f>HYPERLINK("https://www.youtube.com/channel/UCEUXal6BPmfaBlXDUgBxYKw")</f>
        <v>https://www.youtube.com/channel/UCEUXal6BPmfaBlXDUgBxYKw</v>
      </c>
      <c r="AU13" s="80" t="str">
        <f>REPLACE(INDEX(GroupVertices[Group],MATCH(Vertices[[#This Row],[Vertex]],GroupVertices[Vertex],0)),1,1,"")</f>
        <v>5</v>
      </c>
      <c r="AV13" s="49">
        <v>0</v>
      </c>
      <c r="AW13" s="50">
        <v>0</v>
      </c>
      <c r="AX13" s="49">
        <v>1</v>
      </c>
      <c r="AY13" s="50">
        <v>100</v>
      </c>
      <c r="AZ13" s="49">
        <v>0</v>
      </c>
      <c r="BA13" s="50">
        <v>0</v>
      </c>
      <c r="BB13" s="49">
        <v>0</v>
      </c>
      <c r="BC13" s="50">
        <v>0</v>
      </c>
      <c r="BD13" s="49">
        <v>1</v>
      </c>
      <c r="BE13" s="49"/>
      <c r="BF13" s="49"/>
      <c r="BG13" s="49"/>
      <c r="BH13" s="49"/>
      <c r="BI13" s="49"/>
      <c r="BJ13" s="49"/>
      <c r="BK13" s="111" t="s">
        <v>929</v>
      </c>
      <c r="BL13" s="111" t="s">
        <v>929</v>
      </c>
      <c r="BM13" s="111" t="s">
        <v>843</v>
      </c>
      <c r="BN13" s="111" t="s">
        <v>843</v>
      </c>
      <c r="BO13" s="2"/>
      <c r="BP13" s="3"/>
      <c r="BQ13" s="3"/>
      <c r="BR13" s="3"/>
      <c r="BS13" s="3"/>
    </row>
    <row r="14" spans="1:71" ht="15">
      <c r="A14" s="65" t="s">
        <v>336</v>
      </c>
      <c r="B14" s="66"/>
      <c r="C14" s="66"/>
      <c r="D14" s="67">
        <v>150</v>
      </c>
      <c r="E14" s="69"/>
      <c r="F14" s="103" t="str">
        <f>HYPERLINK("https://yt3.ggpht.com/ytc/AAUvwnhIFtEHqsNVptxZJ1B0vnpmYHP89sqoGazZRQ=s88-c-k-c0x00ffffff-no-rj")</f>
        <v>https://yt3.ggpht.com/ytc/AAUvwnhIFtEHqsNVptxZJ1B0vnpmYHP89sqoGazZRQ=s88-c-k-c0x00ffffff-no-rj</v>
      </c>
      <c r="G14" s="66"/>
      <c r="H14" s="70" t="s">
        <v>676</v>
      </c>
      <c r="I14" s="71"/>
      <c r="J14" s="71" t="s">
        <v>159</v>
      </c>
      <c r="K14" s="70" t="s">
        <v>676</v>
      </c>
      <c r="L14" s="74">
        <v>1</v>
      </c>
      <c r="M14" s="75">
        <v>8247.5830078125</v>
      </c>
      <c r="N14" s="75">
        <v>5607.62890625</v>
      </c>
      <c r="O14" s="76"/>
      <c r="P14" s="77"/>
      <c r="Q14" s="77"/>
      <c r="R14" s="89"/>
      <c r="S14" s="49">
        <v>0</v>
      </c>
      <c r="T14" s="49">
        <v>1</v>
      </c>
      <c r="U14" s="50">
        <v>0</v>
      </c>
      <c r="V14" s="50">
        <v>0.00211</v>
      </c>
      <c r="W14" s="50">
        <v>0.000627</v>
      </c>
      <c r="X14" s="50">
        <v>0.563067</v>
      </c>
      <c r="Y14" s="50">
        <v>0</v>
      </c>
      <c r="Z14" s="50">
        <v>0</v>
      </c>
      <c r="AA14" s="72">
        <v>14</v>
      </c>
      <c r="AB14" s="72"/>
      <c r="AC14" s="73"/>
      <c r="AD14" s="80" t="s">
        <v>676</v>
      </c>
      <c r="AE14" s="80"/>
      <c r="AF14" s="80"/>
      <c r="AG14" s="80"/>
      <c r="AH14" s="80"/>
      <c r="AI14" s="80"/>
      <c r="AJ14" s="87">
        <v>43767.49171296296</v>
      </c>
      <c r="AK14" s="85" t="str">
        <f>HYPERLINK("https://yt3.ggpht.com/ytc/AAUvwnhIFtEHqsNVptxZJ1B0vnpmYHP89sqoGazZRQ=s88-c-k-c0x00ffffff-no-rj")</f>
        <v>https://yt3.ggpht.com/ytc/AAUvwnhIFtEHqsNVptxZJ1B0vnpmYHP89sqoGazZRQ=s88-c-k-c0x00ffffff-no-rj</v>
      </c>
      <c r="AL14" s="80">
        <v>0</v>
      </c>
      <c r="AM14" s="80">
        <v>0</v>
      </c>
      <c r="AN14" s="80">
        <v>2</v>
      </c>
      <c r="AO14" s="80" t="b">
        <v>0</v>
      </c>
      <c r="AP14" s="80">
        <v>0</v>
      </c>
      <c r="AQ14" s="80"/>
      <c r="AR14" s="80"/>
      <c r="AS14" s="80" t="s">
        <v>871</v>
      </c>
      <c r="AT14" s="85" t="str">
        <f>HYPERLINK("https://www.youtube.com/channel/UCeyiDSEDNrGph88osV5u9ww")</f>
        <v>https://www.youtube.com/channel/UCeyiDSEDNrGph88osV5u9ww</v>
      </c>
      <c r="AU14" s="80" t="str">
        <f>REPLACE(INDEX(GroupVertices[Group],MATCH(Vertices[[#This Row],[Vertex]],GroupVertices[Vertex],0)),1,1,"")</f>
        <v>5</v>
      </c>
      <c r="AV14" s="49">
        <v>1</v>
      </c>
      <c r="AW14" s="50">
        <v>16.666666666666668</v>
      </c>
      <c r="AX14" s="49">
        <v>1</v>
      </c>
      <c r="AY14" s="50">
        <v>16.666666666666668</v>
      </c>
      <c r="AZ14" s="49">
        <v>0</v>
      </c>
      <c r="BA14" s="50">
        <v>0</v>
      </c>
      <c r="BB14" s="49">
        <v>5</v>
      </c>
      <c r="BC14" s="50">
        <v>83.33333333333333</v>
      </c>
      <c r="BD14" s="49">
        <v>6</v>
      </c>
      <c r="BE14" s="49"/>
      <c r="BF14" s="49"/>
      <c r="BG14" s="49"/>
      <c r="BH14" s="49"/>
      <c r="BI14" s="49"/>
      <c r="BJ14" s="49"/>
      <c r="BK14" s="111" t="s">
        <v>1317</v>
      </c>
      <c r="BL14" s="111" t="s">
        <v>1317</v>
      </c>
      <c r="BM14" s="111" t="s">
        <v>1387</v>
      </c>
      <c r="BN14" s="111" t="s">
        <v>1387</v>
      </c>
      <c r="BO14" s="2"/>
      <c r="BP14" s="3"/>
      <c r="BQ14" s="3"/>
      <c r="BR14" s="3"/>
      <c r="BS14" s="3"/>
    </row>
    <row r="15" spans="1:71" ht="15">
      <c r="A15" s="65" t="s">
        <v>337</v>
      </c>
      <c r="B15" s="66"/>
      <c r="C15" s="66"/>
      <c r="D15" s="67">
        <v>150</v>
      </c>
      <c r="E15" s="69"/>
      <c r="F15" s="103" t="str">
        <f>HYPERLINK("https://yt3.ggpht.com/ytc/AAUvwnjLlkmQEzrhSHgAyJr2GdeOQWrwS5kTUXlA5Q=s88-c-k-c0x00ffffff-no-rj")</f>
        <v>https://yt3.ggpht.com/ytc/AAUvwnjLlkmQEzrhSHgAyJr2GdeOQWrwS5kTUXlA5Q=s88-c-k-c0x00ffffff-no-rj</v>
      </c>
      <c r="G15" s="66"/>
      <c r="H15" s="70" t="s">
        <v>677</v>
      </c>
      <c r="I15" s="71"/>
      <c r="J15" s="71" t="s">
        <v>159</v>
      </c>
      <c r="K15" s="70" t="s">
        <v>677</v>
      </c>
      <c r="L15" s="74">
        <v>1</v>
      </c>
      <c r="M15" s="75">
        <v>6748.92041015625</v>
      </c>
      <c r="N15" s="75">
        <v>5548.578125</v>
      </c>
      <c r="O15" s="76"/>
      <c r="P15" s="77"/>
      <c r="Q15" s="77"/>
      <c r="R15" s="89"/>
      <c r="S15" s="49">
        <v>0</v>
      </c>
      <c r="T15" s="49">
        <v>1</v>
      </c>
      <c r="U15" s="50">
        <v>0</v>
      </c>
      <c r="V15" s="50">
        <v>0.00211</v>
      </c>
      <c r="W15" s="50">
        <v>0.000627</v>
      </c>
      <c r="X15" s="50">
        <v>0.563067</v>
      </c>
      <c r="Y15" s="50">
        <v>0</v>
      </c>
      <c r="Z15" s="50">
        <v>0</v>
      </c>
      <c r="AA15" s="72">
        <v>15</v>
      </c>
      <c r="AB15" s="72"/>
      <c r="AC15" s="73"/>
      <c r="AD15" s="80" t="s">
        <v>677</v>
      </c>
      <c r="AE15" s="80"/>
      <c r="AF15" s="80"/>
      <c r="AG15" s="80"/>
      <c r="AH15" s="80"/>
      <c r="AI15" s="80"/>
      <c r="AJ15" s="87">
        <v>42448.606203703705</v>
      </c>
      <c r="AK15" s="85" t="str">
        <f>HYPERLINK("https://yt3.ggpht.com/ytc/AAUvwnjLlkmQEzrhSHgAyJr2GdeOQWrwS5kTUXlA5Q=s88-c-k-c0x00ffffff-no-rj")</f>
        <v>https://yt3.ggpht.com/ytc/AAUvwnjLlkmQEzrhSHgAyJr2GdeOQWrwS5kTUXlA5Q=s88-c-k-c0x00ffffff-no-rj</v>
      </c>
      <c r="AL15" s="80">
        <v>0</v>
      </c>
      <c r="AM15" s="80">
        <v>0</v>
      </c>
      <c r="AN15" s="80">
        <v>1</v>
      </c>
      <c r="AO15" s="80" t="b">
        <v>0</v>
      </c>
      <c r="AP15" s="80">
        <v>0</v>
      </c>
      <c r="AQ15" s="80"/>
      <c r="AR15" s="80"/>
      <c r="AS15" s="80" t="s">
        <v>871</v>
      </c>
      <c r="AT15" s="85" t="str">
        <f>HYPERLINK("https://www.youtube.com/channel/UCSnWL77qsUeISHxIDhGWzRQ")</f>
        <v>https://www.youtube.com/channel/UCSnWL77qsUeISHxIDhGWzRQ</v>
      </c>
      <c r="AU15" s="80" t="str">
        <f>REPLACE(INDEX(GroupVertices[Group],MATCH(Vertices[[#This Row],[Vertex]],GroupVertices[Vertex],0)),1,1,"")</f>
        <v>5</v>
      </c>
      <c r="AV15" s="49">
        <v>0</v>
      </c>
      <c r="AW15" s="50">
        <v>0</v>
      </c>
      <c r="AX15" s="49">
        <v>0</v>
      </c>
      <c r="AY15" s="50">
        <v>0</v>
      </c>
      <c r="AZ15" s="49">
        <v>0</v>
      </c>
      <c r="BA15" s="50">
        <v>0</v>
      </c>
      <c r="BB15" s="49">
        <v>1</v>
      </c>
      <c r="BC15" s="50">
        <v>100</v>
      </c>
      <c r="BD15" s="49">
        <v>1</v>
      </c>
      <c r="BE15" s="49"/>
      <c r="BF15" s="49"/>
      <c r="BG15" s="49"/>
      <c r="BH15" s="49"/>
      <c r="BI15" s="49"/>
      <c r="BJ15" s="49"/>
      <c r="BK15" s="111" t="s">
        <v>1318</v>
      </c>
      <c r="BL15" s="111" t="s">
        <v>1318</v>
      </c>
      <c r="BM15" s="111" t="s">
        <v>843</v>
      </c>
      <c r="BN15" s="111" t="s">
        <v>843</v>
      </c>
      <c r="BO15" s="2"/>
      <c r="BP15" s="3"/>
      <c r="BQ15" s="3"/>
      <c r="BR15" s="3"/>
      <c r="BS15" s="3"/>
    </row>
    <row r="16" spans="1:71" ht="15">
      <c r="A16" s="65" t="s">
        <v>339</v>
      </c>
      <c r="B16" s="66"/>
      <c r="C16" s="66"/>
      <c r="D16" s="67">
        <v>150</v>
      </c>
      <c r="E16" s="69"/>
      <c r="F16" s="103" t="str">
        <f>HYPERLINK("https://yt3.ggpht.com/ytc/AAUvwnhxtIyAWeWXLvGfaYztqDX4rkpregK2WnFP1w=s88-c-k-c0x00ffffff-no-rj")</f>
        <v>https://yt3.ggpht.com/ytc/AAUvwnhxtIyAWeWXLvGfaYztqDX4rkpregK2WnFP1w=s88-c-k-c0x00ffffff-no-rj</v>
      </c>
      <c r="G16" s="66"/>
      <c r="H16" s="70" t="s">
        <v>679</v>
      </c>
      <c r="I16" s="71"/>
      <c r="J16" s="71" t="s">
        <v>159</v>
      </c>
      <c r="K16" s="70" t="s">
        <v>679</v>
      </c>
      <c r="L16" s="74">
        <v>1</v>
      </c>
      <c r="M16" s="75">
        <v>8374.958984375</v>
      </c>
      <c r="N16" s="75">
        <v>8128.3505859375</v>
      </c>
      <c r="O16" s="76"/>
      <c r="P16" s="77"/>
      <c r="Q16" s="77"/>
      <c r="R16" s="89"/>
      <c r="S16" s="49">
        <v>0</v>
      </c>
      <c r="T16" s="49">
        <v>1</v>
      </c>
      <c r="U16" s="50">
        <v>0</v>
      </c>
      <c r="V16" s="50">
        <v>0.002105</v>
      </c>
      <c r="W16" s="50">
        <v>0.000746</v>
      </c>
      <c r="X16" s="50">
        <v>0.485708</v>
      </c>
      <c r="Y16" s="50">
        <v>0</v>
      </c>
      <c r="Z16" s="50">
        <v>0</v>
      </c>
      <c r="AA16" s="72">
        <v>16</v>
      </c>
      <c r="AB16" s="72"/>
      <c r="AC16" s="73"/>
      <c r="AD16" s="80" t="s">
        <v>679</v>
      </c>
      <c r="AE16" s="80"/>
      <c r="AF16" s="80"/>
      <c r="AG16" s="80"/>
      <c r="AH16" s="80"/>
      <c r="AI16" s="80"/>
      <c r="AJ16" s="87">
        <v>43897.28896990741</v>
      </c>
      <c r="AK16" s="85" t="str">
        <f>HYPERLINK("https://yt3.ggpht.com/ytc/AAUvwnhxtIyAWeWXLvGfaYztqDX4rkpregK2WnFP1w=s88-c-k-c0x00ffffff-no-rj")</f>
        <v>https://yt3.ggpht.com/ytc/AAUvwnhxtIyAWeWXLvGfaYztqDX4rkpregK2WnFP1w=s88-c-k-c0x00ffffff-no-rj</v>
      </c>
      <c r="AL16" s="80">
        <v>0</v>
      </c>
      <c r="AM16" s="80">
        <v>0</v>
      </c>
      <c r="AN16" s="80">
        <v>0</v>
      </c>
      <c r="AO16" s="80" t="b">
        <v>0</v>
      </c>
      <c r="AP16" s="80">
        <v>0</v>
      </c>
      <c r="AQ16" s="80"/>
      <c r="AR16" s="80"/>
      <c r="AS16" s="80" t="s">
        <v>871</v>
      </c>
      <c r="AT16" s="85" t="str">
        <f>HYPERLINK("https://www.youtube.com/channel/UCPog7wBEVDO7s-vabvZVNXg")</f>
        <v>https://www.youtube.com/channel/UCPog7wBEVDO7s-vabvZVNXg</v>
      </c>
      <c r="AU16" s="80" t="str">
        <f>REPLACE(INDEX(GroupVertices[Group],MATCH(Vertices[[#This Row],[Vertex]],GroupVertices[Vertex],0)),1,1,"")</f>
        <v>2</v>
      </c>
      <c r="AV16" s="49">
        <v>0</v>
      </c>
      <c r="AW16" s="50">
        <v>0</v>
      </c>
      <c r="AX16" s="49">
        <v>0</v>
      </c>
      <c r="AY16" s="50">
        <v>0</v>
      </c>
      <c r="AZ16" s="49">
        <v>0</v>
      </c>
      <c r="BA16" s="50">
        <v>0</v>
      </c>
      <c r="BB16" s="49">
        <v>11</v>
      </c>
      <c r="BC16" s="50">
        <v>100</v>
      </c>
      <c r="BD16" s="49">
        <v>11</v>
      </c>
      <c r="BE16" s="49"/>
      <c r="BF16" s="49"/>
      <c r="BG16" s="49"/>
      <c r="BH16" s="49"/>
      <c r="BI16" s="49"/>
      <c r="BJ16" s="49"/>
      <c r="BK16" s="111" t="s">
        <v>1485</v>
      </c>
      <c r="BL16" s="111" t="s">
        <v>1485</v>
      </c>
      <c r="BM16" s="111" t="s">
        <v>1551</v>
      </c>
      <c r="BN16" s="111" t="s">
        <v>1551</v>
      </c>
      <c r="BO16" s="2"/>
      <c r="BP16" s="3"/>
      <c r="BQ16" s="3"/>
      <c r="BR16" s="3"/>
      <c r="BS16" s="3"/>
    </row>
    <row r="17" spans="1:71" ht="15">
      <c r="A17" s="65" t="s">
        <v>343</v>
      </c>
      <c r="B17" s="66"/>
      <c r="C17" s="66"/>
      <c r="D17" s="67">
        <v>1000</v>
      </c>
      <c r="E17" s="69"/>
      <c r="F17" s="103" t="str">
        <f>HYPERLINK("https://yt3.ggpht.com/ytc/AAUvwngM9C7d7Or9eXlvsBJSxreCLW7H8kbR31Mc0w=s88-c-k-c0x00ffffff-no-rj")</f>
        <v>https://yt3.ggpht.com/ytc/AAUvwngM9C7d7Or9eXlvsBJSxreCLW7H8kbR31Mc0w=s88-c-k-c0x00ffffff-no-rj</v>
      </c>
      <c r="G17" s="66"/>
      <c r="H17" s="70" t="s">
        <v>683</v>
      </c>
      <c r="I17" s="71"/>
      <c r="J17" s="71" t="s">
        <v>159</v>
      </c>
      <c r="K17" s="70" t="s">
        <v>683</v>
      </c>
      <c r="L17" s="74">
        <v>320.936</v>
      </c>
      <c r="M17" s="75">
        <v>7737.72021484375</v>
      </c>
      <c r="N17" s="75">
        <v>8316.8984375</v>
      </c>
      <c r="O17" s="76"/>
      <c r="P17" s="77"/>
      <c r="Q17" s="77"/>
      <c r="R17" s="89"/>
      <c r="S17" s="49">
        <v>4</v>
      </c>
      <c r="T17" s="49">
        <v>1</v>
      </c>
      <c r="U17" s="50">
        <v>452</v>
      </c>
      <c r="V17" s="50">
        <v>0.003086</v>
      </c>
      <c r="W17" s="50">
        <v>0.008742</v>
      </c>
      <c r="X17" s="50">
        <v>1.974754</v>
      </c>
      <c r="Y17" s="50">
        <v>0.15</v>
      </c>
      <c r="Z17" s="50">
        <v>0</v>
      </c>
      <c r="AA17" s="72">
        <v>17</v>
      </c>
      <c r="AB17" s="72"/>
      <c r="AC17" s="73"/>
      <c r="AD17" s="80" t="s">
        <v>683</v>
      </c>
      <c r="AE17" s="80"/>
      <c r="AF17" s="80"/>
      <c r="AG17" s="80"/>
      <c r="AH17" s="80"/>
      <c r="AI17" s="80"/>
      <c r="AJ17" s="87">
        <v>44020.871886574074</v>
      </c>
      <c r="AK17" s="85" t="str">
        <f>HYPERLINK("https://yt3.ggpht.com/ytc/AAUvwngM9C7d7Or9eXlvsBJSxreCLW7H8kbR31Mc0w=s88-c-k-c0x00ffffff-no-rj")</f>
        <v>https://yt3.ggpht.com/ytc/AAUvwngM9C7d7Or9eXlvsBJSxreCLW7H8kbR31Mc0w=s88-c-k-c0x00ffffff-no-rj</v>
      </c>
      <c r="AL17" s="80">
        <v>0</v>
      </c>
      <c r="AM17" s="80">
        <v>0</v>
      </c>
      <c r="AN17" s="80">
        <v>0</v>
      </c>
      <c r="AO17" s="80" t="b">
        <v>0</v>
      </c>
      <c r="AP17" s="80">
        <v>0</v>
      </c>
      <c r="AQ17" s="80"/>
      <c r="AR17" s="80"/>
      <c r="AS17" s="80" t="s">
        <v>871</v>
      </c>
      <c r="AT17" s="85" t="str">
        <f>HYPERLINK("https://www.youtube.com/channel/UCYSE6P4YdKtcJVgsxubD99w")</f>
        <v>https://www.youtube.com/channel/UCYSE6P4YdKtcJVgsxubD99w</v>
      </c>
      <c r="AU17" s="80" t="str">
        <f>REPLACE(INDEX(GroupVertices[Group],MATCH(Vertices[[#This Row],[Vertex]],GroupVertices[Vertex],0)),1,1,"")</f>
        <v>2</v>
      </c>
      <c r="AV17" s="49">
        <v>0</v>
      </c>
      <c r="AW17" s="50">
        <v>0</v>
      </c>
      <c r="AX17" s="49">
        <v>0</v>
      </c>
      <c r="AY17" s="50">
        <v>0</v>
      </c>
      <c r="AZ17" s="49">
        <v>0</v>
      </c>
      <c r="BA17" s="50">
        <v>0</v>
      </c>
      <c r="BB17" s="49">
        <v>14</v>
      </c>
      <c r="BC17" s="50">
        <v>100</v>
      </c>
      <c r="BD17" s="49">
        <v>14</v>
      </c>
      <c r="BE17" s="49"/>
      <c r="BF17" s="49"/>
      <c r="BG17" s="49"/>
      <c r="BH17" s="49"/>
      <c r="BI17" s="49"/>
      <c r="BJ17" s="49"/>
      <c r="BK17" s="111" t="s">
        <v>1319</v>
      </c>
      <c r="BL17" s="111" t="s">
        <v>1319</v>
      </c>
      <c r="BM17" s="111" t="s">
        <v>1388</v>
      </c>
      <c r="BN17" s="111" t="s">
        <v>1388</v>
      </c>
      <c r="BO17" s="2"/>
      <c r="BP17" s="3"/>
      <c r="BQ17" s="3"/>
      <c r="BR17" s="3"/>
      <c r="BS17" s="3"/>
    </row>
    <row r="18" spans="1:71" ht="15">
      <c r="A18" s="65" t="s">
        <v>340</v>
      </c>
      <c r="B18" s="66"/>
      <c r="C18" s="66"/>
      <c r="D18" s="67">
        <v>150</v>
      </c>
      <c r="E18" s="69"/>
      <c r="F18" s="103" t="str">
        <f>HYPERLINK("https://yt3.ggpht.com/ytc/AAUvwnir7sICX9ziTJswPhYGA31dGmHkSgo8x_o_nw=s88-c-k-c0x00ffffff-no-rj")</f>
        <v>https://yt3.ggpht.com/ytc/AAUvwnir7sICX9ziTJswPhYGA31dGmHkSgo8x_o_nw=s88-c-k-c0x00ffffff-no-rj</v>
      </c>
      <c r="G18" s="66"/>
      <c r="H18" s="70" t="s">
        <v>680</v>
      </c>
      <c r="I18" s="71"/>
      <c r="J18" s="71" t="s">
        <v>159</v>
      </c>
      <c r="K18" s="70" t="s">
        <v>680</v>
      </c>
      <c r="L18" s="74">
        <v>1</v>
      </c>
      <c r="M18" s="75">
        <v>7589.16064453125</v>
      </c>
      <c r="N18" s="75">
        <v>7484.80078125</v>
      </c>
      <c r="O18" s="76"/>
      <c r="P18" s="77"/>
      <c r="Q18" s="77"/>
      <c r="R18" s="89"/>
      <c r="S18" s="49">
        <v>0</v>
      </c>
      <c r="T18" s="49">
        <v>2</v>
      </c>
      <c r="U18" s="50">
        <v>0</v>
      </c>
      <c r="V18" s="50">
        <v>0.003049</v>
      </c>
      <c r="W18" s="50">
        <v>0.007879</v>
      </c>
      <c r="X18" s="50">
        <v>0.851089</v>
      </c>
      <c r="Y18" s="50">
        <v>0.5</v>
      </c>
      <c r="Z18" s="50">
        <v>0</v>
      </c>
      <c r="AA18" s="72">
        <v>18</v>
      </c>
      <c r="AB18" s="72"/>
      <c r="AC18" s="73"/>
      <c r="AD18" s="80" t="s">
        <v>680</v>
      </c>
      <c r="AE18" s="80"/>
      <c r="AF18" s="80"/>
      <c r="AG18" s="80"/>
      <c r="AH18" s="80"/>
      <c r="AI18" s="80"/>
      <c r="AJ18" s="87">
        <v>43933.60155092592</v>
      </c>
      <c r="AK18" s="85" t="str">
        <f>HYPERLINK("https://yt3.ggpht.com/ytc/AAUvwnir7sICX9ziTJswPhYGA31dGmHkSgo8x_o_nw=s88-c-k-c0x00ffffff-no-rj")</f>
        <v>https://yt3.ggpht.com/ytc/AAUvwnir7sICX9ziTJswPhYGA31dGmHkSgo8x_o_nw=s88-c-k-c0x00ffffff-no-rj</v>
      </c>
      <c r="AL18" s="80">
        <v>0</v>
      </c>
      <c r="AM18" s="80">
        <v>0</v>
      </c>
      <c r="AN18" s="80">
        <v>1</v>
      </c>
      <c r="AO18" s="80" t="b">
        <v>0</v>
      </c>
      <c r="AP18" s="80">
        <v>0</v>
      </c>
      <c r="AQ18" s="80"/>
      <c r="AR18" s="80"/>
      <c r="AS18" s="80" t="s">
        <v>871</v>
      </c>
      <c r="AT18" s="85" t="str">
        <f>HYPERLINK("https://www.youtube.com/channel/UCz12X8InPaYO_uCl0d6EtUA")</f>
        <v>https://www.youtube.com/channel/UCz12X8InPaYO_uCl0d6EtUA</v>
      </c>
      <c r="AU18" s="80" t="str">
        <f>REPLACE(INDEX(GroupVertices[Group],MATCH(Vertices[[#This Row],[Vertex]],GroupVertices[Vertex],0)),1,1,"")</f>
        <v>2</v>
      </c>
      <c r="AV18" s="49">
        <v>0</v>
      </c>
      <c r="AW18" s="50">
        <v>0</v>
      </c>
      <c r="AX18" s="49">
        <v>1</v>
      </c>
      <c r="AY18" s="50">
        <v>5.882352941176471</v>
      </c>
      <c r="AZ18" s="49">
        <v>0</v>
      </c>
      <c r="BA18" s="50">
        <v>0</v>
      </c>
      <c r="BB18" s="49">
        <v>16</v>
      </c>
      <c r="BC18" s="50">
        <v>94.11764705882354</v>
      </c>
      <c r="BD18" s="49">
        <v>17</v>
      </c>
      <c r="BE18" s="49"/>
      <c r="BF18" s="49"/>
      <c r="BG18" s="49"/>
      <c r="BH18" s="49"/>
      <c r="BI18" s="49"/>
      <c r="BJ18" s="49"/>
      <c r="BK18" s="111" t="s">
        <v>1320</v>
      </c>
      <c r="BL18" s="111" t="s">
        <v>1320</v>
      </c>
      <c r="BM18" s="111" t="s">
        <v>1389</v>
      </c>
      <c r="BN18" s="111" t="s">
        <v>1389</v>
      </c>
      <c r="BO18" s="2"/>
      <c r="BP18" s="3"/>
      <c r="BQ18" s="3"/>
      <c r="BR18" s="3"/>
      <c r="BS18" s="3"/>
    </row>
    <row r="19" spans="1:71" ht="15">
      <c r="A19" s="65" t="s">
        <v>341</v>
      </c>
      <c r="B19" s="66"/>
      <c r="C19" s="66"/>
      <c r="D19" s="67">
        <v>787.5</v>
      </c>
      <c r="E19" s="69"/>
      <c r="F19" s="103" t="str">
        <f>HYPERLINK("https://yt3.ggpht.com/ytc/AAUvwnjBVKGsnHX7R0XINrx0-OfhagOgZi9owYNAnw=s88-c-k-c0x00ffffff-no-rj")</f>
        <v>https://yt3.ggpht.com/ytc/AAUvwnjBVKGsnHX7R0XINrx0-OfhagOgZi9owYNAnw=s88-c-k-c0x00ffffff-no-rj</v>
      </c>
      <c r="G19" s="66"/>
      <c r="H19" s="70" t="s">
        <v>681</v>
      </c>
      <c r="I19" s="71"/>
      <c r="J19" s="71" t="s">
        <v>159</v>
      </c>
      <c r="K19" s="70" t="s">
        <v>681</v>
      </c>
      <c r="L19" s="74">
        <v>240.952</v>
      </c>
      <c r="M19" s="75">
        <v>7323.314453125</v>
      </c>
      <c r="N19" s="75">
        <v>8968.15234375</v>
      </c>
      <c r="O19" s="76"/>
      <c r="P19" s="77"/>
      <c r="Q19" s="77"/>
      <c r="R19" s="89"/>
      <c r="S19" s="49">
        <v>3</v>
      </c>
      <c r="T19" s="49">
        <v>2</v>
      </c>
      <c r="U19" s="50">
        <v>452</v>
      </c>
      <c r="V19" s="50">
        <v>0.003086</v>
      </c>
      <c r="W19" s="50">
        <v>0.008742</v>
      </c>
      <c r="X19" s="50">
        <v>1.974754</v>
      </c>
      <c r="Y19" s="50">
        <v>0.15</v>
      </c>
      <c r="Z19" s="50">
        <v>0</v>
      </c>
      <c r="AA19" s="72">
        <v>19</v>
      </c>
      <c r="AB19" s="72"/>
      <c r="AC19" s="73"/>
      <c r="AD19" s="80" t="s">
        <v>681</v>
      </c>
      <c r="AE19" s="80"/>
      <c r="AF19" s="80"/>
      <c r="AG19" s="80"/>
      <c r="AH19" s="80"/>
      <c r="AI19" s="80"/>
      <c r="AJ19" s="87">
        <v>44158.024988425925</v>
      </c>
      <c r="AK19" s="85" t="str">
        <f>HYPERLINK("https://yt3.ggpht.com/ytc/AAUvwnjBVKGsnHX7R0XINrx0-OfhagOgZi9owYNAnw=s88-c-k-c0x00ffffff-no-rj")</f>
        <v>https://yt3.ggpht.com/ytc/AAUvwnjBVKGsnHX7R0XINrx0-OfhagOgZi9owYNAnw=s88-c-k-c0x00ffffff-no-rj</v>
      </c>
      <c r="AL19" s="80">
        <v>0</v>
      </c>
      <c r="AM19" s="80">
        <v>0</v>
      </c>
      <c r="AN19" s="80">
        <v>0</v>
      </c>
      <c r="AO19" s="80" t="b">
        <v>0</v>
      </c>
      <c r="AP19" s="80">
        <v>0</v>
      </c>
      <c r="AQ19" s="80"/>
      <c r="AR19" s="80"/>
      <c r="AS19" s="80" t="s">
        <v>871</v>
      </c>
      <c r="AT19" s="85" t="str">
        <f>HYPERLINK("https://www.youtube.com/channel/UCqaRNBLGkTej2D0R7550KNA")</f>
        <v>https://www.youtube.com/channel/UCqaRNBLGkTej2D0R7550KNA</v>
      </c>
      <c r="AU19" s="80" t="str">
        <f>REPLACE(INDEX(GroupVertices[Group],MATCH(Vertices[[#This Row],[Vertex]],GroupVertices[Vertex],0)),1,1,"")</f>
        <v>2</v>
      </c>
      <c r="AV19" s="49">
        <v>0</v>
      </c>
      <c r="AW19" s="50">
        <v>0</v>
      </c>
      <c r="AX19" s="49">
        <v>0</v>
      </c>
      <c r="AY19" s="50">
        <v>0</v>
      </c>
      <c r="AZ19" s="49">
        <v>0</v>
      </c>
      <c r="BA19" s="50">
        <v>0</v>
      </c>
      <c r="BB19" s="49">
        <v>26</v>
      </c>
      <c r="BC19" s="50">
        <v>100</v>
      </c>
      <c r="BD19" s="49">
        <v>26</v>
      </c>
      <c r="BE19" s="49"/>
      <c r="BF19" s="49"/>
      <c r="BG19" s="49"/>
      <c r="BH19" s="49"/>
      <c r="BI19" s="49"/>
      <c r="BJ19" s="49"/>
      <c r="BK19" s="111" t="s">
        <v>1486</v>
      </c>
      <c r="BL19" s="111" t="s">
        <v>1546</v>
      </c>
      <c r="BM19" s="111" t="s">
        <v>1552</v>
      </c>
      <c r="BN19" s="111" t="s">
        <v>1552</v>
      </c>
      <c r="BO19" s="2"/>
      <c r="BP19" s="3"/>
      <c r="BQ19" s="3"/>
      <c r="BR19" s="3"/>
      <c r="BS19" s="3"/>
    </row>
    <row r="20" spans="1:71" ht="15">
      <c r="A20" s="65" t="s">
        <v>342</v>
      </c>
      <c r="B20" s="66"/>
      <c r="C20" s="66"/>
      <c r="D20" s="67">
        <v>150</v>
      </c>
      <c r="E20" s="69"/>
      <c r="F20" s="103" t="str">
        <f>HYPERLINK("https://yt3.ggpht.com/ytc/AAUvwni9PggOEpwGgLHRdDPyNL_YR_TIe3TfJW5maw=s88-c-k-c0x00ffffff-no-rj")</f>
        <v>https://yt3.ggpht.com/ytc/AAUvwni9PggOEpwGgLHRdDPyNL_YR_TIe3TfJW5maw=s88-c-k-c0x00ffffff-no-rj</v>
      </c>
      <c r="G20" s="66"/>
      <c r="H20" s="70" t="s">
        <v>682</v>
      </c>
      <c r="I20" s="71"/>
      <c r="J20" s="71" t="s">
        <v>159</v>
      </c>
      <c r="K20" s="70" t="s">
        <v>682</v>
      </c>
      <c r="L20" s="74">
        <v>1</v>
      </c>
      <c r="M20" s="75">
        <v>7860.92333984375</v>
      </c>
      <c r="N20" s="75">
        <v>9033.03125</v>
      </c>
      <c r="O20" s="76"/>
      <c r="P20" s="77"/>
      <c r="Q20" s="77"/>
      <c r="R20" s="89"/>
      <c r="S20" s="49">
        <v>0</v>
      </c>
      <c r="T20" s="49">
        <v>2</v>
      </c>
      <c r="U20" s="50">
        <v>0</v>
      </c>
      <c r="V20" s="50">
        <v>0.002119</v>
      </c>
      <c r="W20" s="50">
        <v>0.001492</v>
      </c>
      <c r="X20" s="50">
        <v>0.821416</v>
      </c>
      <c r="Y20" s="50">
        <v>0.5</v>
      </c>
      <c r="Z20" s="50">
        <v>0</v>
      </c>
      <c r="AA20" s="72">
        <v>20</v>
      </c>
      <c r="AB20" s="72"/>
      <c r="AC20" s="73"/>
      <c r="AD20" s="80" t="s">
        <v>682</v>
      </c>
      <c r="AE20" s="80"/>
      <c r="AF20" s="80"/>
      <c r="AG20" s="80"/>
      <c r="AH20" s="80"/>
      <c r="AI20" s="80"/>
      <c r="AJ20" s="87">
        <v>42571.19578703704</v>
      </c>
      <c r="AK20" s="85" t="str">
        <f>HYPERLINK("https://yt3.ggpht.com/ytc/AAUvwni9PggOEpwGgLHRdDPyNL_YR_TIe3TfJW5maw=s88-c-k-c0x00ffffff-no-rj")</f>
        <v>https://yt3.ggpht.com/ytc/AAUvwni9PggOEpwGgLHRdDPyNL_YR_TIe3TfJW5maw=s88-c-k-c0x00ffffff-no-rj</v>
      </c>
      <c r="AL20" s="80">
        <v>0</v>
      </c>
      <c r="AM20" s="80">
        <v>0</v>
      </c>
      <c r="AN20" s="80">
        <v>7</v>
      </c>
      <c r="AO20" s="80" t="b">
        <v>0</v>
      </c>
      <c r="AP20" s="80">
        <v>0</v>
      </c>
      <c r="AQ20" s="80"/>
      <c r="AR20" s="80"/>
      <c r="AS20" s="80" t="s">
        <v>871</v>
      </c>
      <c r="AT20" s="85" t="str">
        <f>HYPERLINK("https://www.youtube.com/channel/UClanhoQVUQAXPY1ibUnRU1w")</f>
        <v>https://www.youtube.com/channel/UClanhoQVUQAXPY1ibUnRU1w</v>
      </c>
      <c r="AU20" s="80" t="str">
        <f>REPLACE(INDEX(GroupVertices[Group],MATCH(Vertices[[#This Row],[Vertex]],GroupVertices[Vertex],0)),1,1,"")</f>
        <v>2</v>
      </c>
      <c r="AV20" s="49">
        <v>1</v>
      </c>
      <c r="AW20" s="50">
        <v>1.1235955056179776</v>
      </c>
      <c r="AX20" s="49">
        <v>2</v>
      </c>
      <c r="AY20" s="50">
        <v>2.247191011235955</v>
      </c>
      <c r="AZ20" s="49">
        <v>0</v>
      </c>
      <c r="BA20" s="50">
        <v>0</v>
      </c>
      <c r="BB20" s="49">
        <v>87</v>
      </c>
      <c r="BC20" s="50">
        <v>97.75280898876404</v>
      </c>
      <c r="BD20" s="49">
        <v>89</v>
      </c>
      <c r="BE20" s="49"/>
      <c r="BF20" s="49"/>
      <c r="BG20" s="49"/>
      <c r="BH20" s="49"/>
      <c r="BI20" s="49"/>
      <c r="BJ20" s="49"/>
      <c r="BK20" s="111" t="s">
        <v>1487</v>
      </c>
      <c r="BL20" s="111" t="s">
        <v>1547</v>
      </c>
      <c r="BM20" s="111" t="s">
        <v>1390</v>
      </c>
      <c r="BN20" s="111" t="s">
        <v>1390</v>
      </c>
      <c r="BO20" s="2"/>
      <c r="BP20" s="3"/>
      <c r="BQ20" s="3"/>
      <c r="BR20" s="3"/>
      <c r="BS20" s="3"/>
    </row>
    <row r="21" spans="1:71" ht="15">
      <c r="A21" s="65" t="s">
        <v>344</v>
      </c>
      <c r="B21" s="66"/>
      <c r="C21" s="66"/>
      <c r="D21" s="67">
        <v>150</v>
      </c>
      <c r="E21" s="69"/>
      <c r="F21" s="103" t="str">
        <f>HYPERLINK("https://yt3.ggpht.com/ytc/AAUvwnjWy_8-vrsgmSVzNi77FX3Du9qEUACHwT4ggw=s88-c-k-c0x00ffffff-no-rj")</f>
        <v>https://yt3.ggpht.com/ytc/AAUvwnjWy_8-vrsgmSVzNi77FX3Du9qEUACHwT4ggw=s88-c-k-c0x00ffffff-no-rj</v>
      </c>
      <c r="G21" s="66"/>
      <c r="H21" s="70" t="s">
        <v>684</v>
      </c>
      <c r="I21" s="71"/>
      <c r="J21" s="71" t="s">
        <v>159</v>
      </c>
      <c r="K21" s="70" t="s">
        <v>684</v>
      </c>
      <c r="L21" s="74">
        <v>1</v>
      </c>
      <c r="M21" s="75">
        <v>846.2483520507812</v>
      </c>
      <c r="N21" s="75">
        <v>8056.7744140625</v>
      </c>
      <c r="O21" s="76"/>
      <c r="P21" s="77"/>
      <c r="Q21" s="77"/>
      <c r="R21" s="89"/>
      <c r="S21" s="49">
        <v>0</v>
      </c>
      <c r="T21" s="49">
        <v>1</v>
      </c>
      <c r="U21" s="50">
        <v>0</v>
      </c>
      <c r="V21" s="50">
        <v>0.003021</v>
      </c>
      <c r="W21" s="50">
        <v>0.007133</v>
      </c>
      <c r="X21" s="50">
        <v>0.515381</v>
      </c>
      <c r="Y21" s="50">
        <v>0</v>
      </c>
      <c r="Z21" s="50">
        <v>0</v>
      </c>
      <c r="AA21" s="72">
        <v>21</v>
      </c>
      <c r="AB21" s="72"/>
      <c r="AC21" s="73"/>
      <c r="AD21" s="80" t="s">
        <v>684</v>
      </c>
      <c r="AE21" s="80"/>
      <c r="AF21" s="80"/>
      <c r="AG21" s="80"/>
      <c r="AH21" s="80"/>
      <c r="AI21" s="80"/>
      <c r="AJ21" s="87">
        <v>41645.17555555556</v>
      </c>
      <c r="AK21" s="85" t="str">
        <f>HYPERLINK("https://yt3.ggpht.com/ytc/AAUvwnjWy_8-vrsgmSVzNi77FX3Du9qEUACHwT4ggw=s88-c-k-c0x00ffffff-no-rj")</f>
        <v>https://yt3.ggpht.com/ytc/AAUvwnjWy_8-vrsgmSVzNi77FX3Du9qEUACHwT4ggw=s88-c-k-c0x00ffffff-no-rj</v>
      </c>
      <c r="AL21" s="80">
        <v>79</v>
      </c>
      <c r="AM21" s="80">
        <v>0</v>
      </c>
      <c r="AN21" s="80">
        <v>15</v>
      </c>
      <c r="AO21" s="80" t="b">
        <v>0</v>
      </c>
      <c r="AP21" s="80">
        <v>1</v>
      </c>
      <c r="AQ21" s="80"/>
      <c r="AR21" s="80"/>
      <c r="AS21" s="80" t="s">
        <v>871</v>
      </c>
      <c r="AT21" s="85" t="str">
        <f>HYPERLINK("https://www.youtube.com/channel/UCzrwc2lCv-ZzMRMegkZpC3g")</f>
        <v>https://www.youtube.com/channel/UCzrwc2lCv-ZzMRMegkZpC3g</v>
      </c>
      <c r="AU21" s="80" t="str">
        <f>REPLACE(INDEX(GroupVertices[Group],MATCH(Vertices[[#This Row],[Vertex]],GroupVertices[Vertex],0)),1,1,"")</f>
        <v>1</v>
      </c>
      <c r="AV21" s="49">
        <v>0</v>
      </c>
      <c r="AW21" s="50">
        <v>0</v>
      </c>
      <c r="AX21" s="49">
        <v>0</v>
      </c>
      <c r="AY21" s="50">
        <v>0</v>
      </c>
      <c r="AZ21" s="49">
        <v>0</v>
      </c>
      <c r="BA21" s="50">
        <v>0</v>
      </c>
      <c r="BB21" s="49">
        <v>3</v>
      </c>
      <c r="BC21" s="50">
        <v>100</v>
      </c>
      <c r="BD21" s="49">
        <v>3</v>
      </c>
      <c r="BE21" s="49"/>
      <c r="BF21" s="49"/>
      <c r="BG21" s="49"/>
      <c r="BH21" s="49"/>
      <c r="BI21" s="49"/>
      <c r="BJ21" s="49"/>
      <c r="BK21" s="111" t="s">
        <v>1321</v>
      </c>
      <c r="BL21" s="111" t="s">
        <v>1321</v>
      </c>
      <c r="BM21" s="111" t="s">
        <v>1391</v>
      </c>
      <c r="BN21" s="111" t="s">
        <v>1391</v>
      </c>
      <c r="BO21" s="2"/>
      <c r="BP21" s="3"/>
      <c r="BQ21" s="3"/>
      <c r="BR21" s="3"/>
      <c r="BS21" s="3"/>
    </row>
    <row r="22" spans="1:71" ht="15">
      <c r="A22" s="65" t="s">
        <v>345</v>
      </c>
      <c r="B22" s="66"/>
      <c r="C22" s="66"/>
      <c r="D22" s="67">
        <v>150</v>
      </c>
      <c r="E22" s="69"/>
      <c r="F22" s="103" t="str">
        <f>HYPERLINK("https://yt3.ggpht.com/ytc/AAUvwnidB5DRiYVYQSbDbvKFCL46HKabGy4m6WgAFFzz8g=s88-c-k-c0x00ffffff-no-rj")</f>
        <v>https://yt3.ggpht.com/ytc/AAUvwnidB5DRiYVYQSbDbvKFCL46HKabGy4m6WgAFFzz8g=s88-c-k-c0x00ffffff-no-rj</v>
      </c>
      <c r="G22" s="66"/>
      <c r="H22" s="70" t="s">
        <v>685</v>
      </c>
      <c r="I22" s="71"/>
      <c r="J22" s="71" t="s">
        <v>159</v>
      </c>
      <c r="K22" s="70" t="s">
        <v>685</v>
      </c>
      <c r="L22" s="74">
        <v>1</v>
      </c>
      <c r="M22" s="75">
        <v>3020.93798828125</v>
      </c>
      <c r="N22" s="75">
        <v>839.7147827148438</v>
      </c>
      <c r="O22" s="76"/>
      <c r="P22" s="77"/>
      <c r="Q22" s="77"/>
      <c r="R22" s="89"/>
      <c r="S22" s="49">
        <v>0</v>
      </c>
      <c r="T22" s="49">
        <v>1</v>
      </c>
      <c r="U22" s="50">
        <v>0</v>
      </c>
      <c r="V22" s="50">
        <v>0.003021</v>
      </c>
      <c r="W22" s="50">
        <v>0.007133</v>
      </c>
      <c r="X22" s="50">
        <v>0.515381</v>
      </c>
      <c r="Y22" s="50">
        <v>0</v>
      </c>
      <c r="Z22" s="50">
        <v>0</v>
      </c>
      <c r="AA22" s="72">
        <v>22</v>
      </c>
      <c r="AB22" s="72"/>
      <c r="AC22" s="73"/>
      <c r="AD22" s="80" t="s">
        <v>685</v>
      </c>
      <c r="AE22" s="80"/>
      <c r="AF22" s="80"/>
      <c r="AG22" s="80"/>
      <c r="AH22" s="80"/>
      <c r="AI22" s="80"/>
      <c r="AJ22" s="87">
        <v>43126.620034722226</v>
      </c>
      <c r="AK22" s="85" t="str">
        <f>HYPERLINK("https://yt3.ggpht.com/ytc/AAUvwnidB5DRiYVYQSbDbvKFCL46HKabGy4m6WgAFFzz8g=s88-c-k-c0x00ffffff-no-rj")</f>
        <v>https://yt3.ggpht.com/ytc/AAUvwnidB5DRiYVYQSbDbvKFCL46HKabGy4m6WgAFFzz8g=s88-c-k-c0x00ffffff-no-rj</v>
      </c>
      <c r="AL22" s="80">
        <v>1</v>
      </c>
      <c r="AM22" s="80">
        <v>0</v>
      </c>
      <c r="AN22" s="80">
        <v>1</v>
      </c>
      <c r="AO22" s="80" t="b">
        <v>0</v>
      </c>
      <c r="AP22" s="80">
        <v>1</v>
      </c>
      <c r="AQ22" s="80"/>
      <c r="AR22" s="80"/>
      <c r="AS22" s="80" t="s">
        <v>871</v>
      </c>
      <c r="AT22" s="85" t="str">
        <f>HYPERLINK("https://www.youtube.com/channel/UCX8GwAV7-mZWpP6wKyvJCww")</f>
        <v>https://www.youtube.com/channel/UCX8GwAV7-mZWpP6wKyvJCww</v>
      </c>
      <c r="AU22" s="80" t="str">
        <f>REPLACE(INDEX(GroupVertices[Group],MATCH(Vertices[[#This Row],[Vertex]],GroupVertices[Vertex],0)),1,1,"")</f>
        <v>1</v>
      </c>
      <c r="AV22" s="49">
        <v>0</v>
      </c>
      <c r="AW22" s="50">
        <v>0</v>
      </c>
      <c r="AX22" s="49">
        <v>0</v>
      </c>
      <c r="AY22" s="50">
        <v>0</v>
      </c>
      <c r="AZ22" s="49">
        <v>0</v>
      </c>
      <c r="BA22" s="50">
        <v>0</v>
      </c>
      <c r="BB22" s="49">
        <v>2</v>
      </c>
      <c r="BC22" s="50">
        <v>100</v>
      </c>
      <c r="BD22" s="49">
        <v>2</v>
      </c>
      <c r="BE22" s="49"/>
      <c r="BF22" s="49"/>
      <c r="BG22" s="49"/>
      <c r="BH22" s="49"/>
      <c r="BI22" s="49"/>
      <c r="BJ22" s="49"/>
      <c r="BK22" s="111" t="s">
        <v>914</v>
      </c>
      <c r="BL22" s="111" t="s">
        <v>914</v>
      </c>
      <c r="BM22" s="111" t="s">
        <v>843</v>
      </c>
      <c r="BN22" s="111" t="s">
        <v>843</v>
      </c>
      <c r="BO22" s="2"/>
      <c r="BP22" s="3"/>
      <c r="BQ22" s="3"/>
      <c r="BR22" s="3"/>
      <c r="BS22" s="3"/>
    </row>
    <row r="23" spans="1:71" ht="15">
      <c r="A23" s="65" t="s">
        <v>346</v>
      </c>
      <c r="B23" s="66"/>
      <c r="C23" s="66"/>
      <c r="D23" s="67">
        <v>150</v>
      </c>
      <c r="E23" s="69"/>
      <c r="F23" s="103" t="str">
        <f>HYPERLINK("https://yt3.ggpht.com/ytc/AAUvwnjv20SBSIXhwwYPwgWkXuRNTgBtnzj26z3agA=s88-c-k-c0x00ffffff-no-rj")</f>
        <v>https://yt3.ggpht.com/ytc/AAUvwnjv20SBSIXhwwYPwgWkXuRNTgBtnzj26z3agA=s88-c-k-c0x00ffffff-no-rj</v>
      </c>
      <c r="G23" s="66"/>
      <c r="H23" s="70" t="s">
        <v>686</v>
      </c>
      <c r="I23" s="71"/>
      <c r="J23" s="71" t="s">
        <v>159</v>
      </c>
      <c r="K23" s="70" t="s">
        <v>686</v>
      </c>
      <c r="L23" s="74">
        <v>1</v>
      </c>
      <c r="M23" s="75">
        <v>8048.55859375</v>
      </c>
      <c r="N23" s="75">
        <v>5006.724609375</v>
      </c>
      <c r="O23" s="76"/>
      <c r="P23" s="77"/>
      <c r="Q23" s="77"/>
      <c r="R23" s="89"/>
      <c r="S23" s="49">
        <v>0</v>
      </c>
      <c r="T23" s="49">
        <v>1</v>
      </c>
      <c r="U23" s="50">
        <v>0</v>
      </c>
      <c r="V23" s="50">
        <v>0.002092</v>
      </c>
      <c r="W23" s="50">
        <v>0.000618</v>
      </c>
      <c r="X23" s="50">
        <v>0.571108</v>
      </c>
      <c r="Y23" s="50">
        <v>0</v>
      </c>
      <c r="Z23" s="50">
        <v>0</v>
      </c>
      <c r="AA23" s="72">
        <v>23</v>
      </c>
      <c r="AB23" s="72"/>
      <c r="AC23" s="73"/>
      <c r="AD23" s="80" t="s">
        <v>686</v>
      </c>
      <c r="AE23" s="80"/>
      <c r="AF23" s="80"/>
      <c r="AG23" s="80"/>
      <c r="AH23" s="80"/>
      <c r="AI23" s="80"/>
      <c r="AJ23" s="87">
        <v>44308.71670138889</v>
      </c>
      <c r="AK23" s="85" t="str">
        <f>HYPERLINK("https://yt3.ggpht.com/ytc/AAUvwnjv20SBSIXhwwYPwgWkXuRNTgBtnzj26z3agA=s88-c-k-c0x00ffffff-no-rj")</f>
        <v>https://yt3.ggpht.com/ytc/AAUvwnjv20SBSIXhwwYPwgWkXuRNTgBtnzj26z3agA=s88-c-k-c0x00ffffff-no-rj</v>
      </c>
      <c r="AL23" s="80">
        <v>0</v>
      </c>
      <c r="AM23" s="80">
        <v>0</v>
      </c>
      <c r="AN23" s="80">
        <v>0</v>
      </c>
      <c r="AO23" s="80" t="b">
        <v>0</v>
      </c>
      <c r="AP23" s="80">
        <v>0</v>
      </c>
      <c r="AQ23" s="80"/>
      <c r="AR23" s="80"/>
      <c r="AS23" s="80" t="s">
        <v>871</v>
      </c>
      <c r="AT23" s="85" t="str">
        <f>HYPERLINK("https://www.youtube.com/channel/UCkfOE4pCYbH-BLwo_75tmSA")</f>
        <v>https://www.youtube.com/channel/UCkfOE4pCYbH-BLwo_75tmSA</v>
      </c>
      <c r="AU23" s="80" t="str">
        <f>REPLACE(INDEX(GroupVertices[Group],MATCH(Vertices[[#This Row],[Vertex]],GroupVertices[Vertex],0)),1,1,"")</f>
        <v>9</v>
      </c>
      <c r="AV23" s="49">
        <v>0</v>
      </c>
      <c r="AW23" s="50">
        <v>0</v>
      </c>
      <c r="AX23" s="49">
        <v>1</v>
      </c>
      <c r="AY23" s="50">
        <v>100</v>
      </c>
      <c r="AZ23" s="49">
        <v>0</v>
      </c>
      <c r="BA23" s="50">
        <v>0</v>
      </c>
      <c r="BB23" s="49">
        <v>0</v>
      </c>
      <c r="BC23" s="50">
        <v>0</v>
      </c>
      <c r="BD23" s="49">
        <v>1</v>
      </c>
      <c r="BE23" s="49"/>
      <c r="BF23" s="49"/>
      <c r="BG23" s="49"/>
      <c r="BH23" s="49"/>
      <c r="BI23" s="49"/>
      <c r="BJ23" s="49"/>
      <c r="BK23" s="111" t="s">
        <v>929</v>
      </c>
      <c r="BL23" s="111" t="s">
        <v>929</v>
      </c>
      <c r="BM23" s="111" t="s">
        <v>843</v>
      </c>
      <c r="BN23" s="111" t="s">
        <v>843</v>
      </c>
      <c r="BO23" s="2"/>
      <c r="BP23" s="3"/>
      <c r="BQ23" s="3"/>
      <c r="BR23" s="3"/>
      <c r="BS23" s="3"/>
    </row>
    <row r="24" spans="1:71" ht="15">
      <c r="A24" s="65" t="s">
        <v>348</v>
      </c>
      <c r="B24" s="66"/>
      <c r="C24" s="66"/>
      <c r="D24" s="67">
        <v>575</v>
      </c>
      <c r="E24" s="69"/>
      <c r="F24" s="103" t="str">
        <f>HYPERLINK("https://yt3.ggpht.com/ytc/AAUvwnj59YWcfI4JmGoz6wodNrRmc_cineEEABi8tHhT=s88-c-k-c0x00ffffff-no-rj")</f>
        <v>https://yt3.ggpht.com/ytc/AAUvwnj59YWcfI4JmGoz6wodNrRmc_cineEEABi8tHhT=s88-c-k-c0x00ffffff-no-rj</v>
      </c>
      <c r="G24" s="66"/>
      <c r="H24" s="70" t="s">
        <v>688</v>
      </c>
      <c r="I24" s="71"/>
      <c r="J24" s="71" t="s">
        <v>159</v>
      </c>
      <c r="K24" s="70" t="s">
        <v>688</v>
      </c>
      <c r="L24" s="74">
        <v>160.968</v>
      </c>
      <c r="M24" s="75">
        <v>8048.55859375</v>
      </c>
      <c r="N24" s="75">
        <v>4212.00634765625</v>
      </c>
      <c r="O24" s="76"/>
      <c r="P24" s="77"/>
      <c r="Q24" s="77"/>
      <c r="R24" s="89"/>
      <c r="S24" s="49">
        <v>2</v>
      </c>
      <c r="T24" s="49">
        <v>1</v>
      </c>
      <c r="U24" s="50">
        <v>602</v>
      </c>
      <c r="V24" s="50">
        <v>0.003058</v>
      </c>
      <c r="W24" s="50">
        <v>0.007239</v>
      </c>
      <c r="X24" s="50">
        <v>1.486263</v>
      </c>
      <c r="Y24" s="50">
        <v>0</v>
      </c>
      <c r="Z24" s="50">
        <v>0</v>
      </c>
      <c r="AA24" s="72">
        <v>24</v>
      </c>
      <c r="AB24" s="72"/>
      <c r="AC24" s="73"/>
      <c r="AD24" s="80" t="s">
        <v>688</v>
      </c>
      <c r="AE24" s="80"/>
      <c r="AF24" s="80"/>
      <c r="AG24" s="80"/>
      <c r="AH24" s="80"/>
      <c r="AI24" s="80"/>
      <c r="AJ24" s="87">
        <v>44212.850590277776</v>
      </c>
      <c r="AK24" s="85" t="str">
        <f>HYPERLINK("https://yt3.ggpht.com/ytc/AAUvwnj59YWcfI4JmGoz6wodNrRmc_cineEEABi8tHhT=s88-c-k-c0x00ffffff-no-rj")</f>
        <v>https://yt3.ggpht.com/ytc/AAUvwnj59YWcfI4JmGoz6wodNrRmc_cineEEABi8tHhT=s88-c-k-c0x00ffffff-no-rj</v>
      </c>
      <c r="AL24" s="80">
        <v>0</v>
      </c>
      <c r="AM24" s="80">
        <v>0</v>
      </c>
      <c r="AN24" s="80">
        <v>0</v>
      </c>
      <c r="AO24" s="80" t="b">
        <v>0</v>
      </c>
      <c r="AP24" s="80">
        <v>0</v>
      </c>
      <c r="AQ24" s="80"/>
      <c r="AR24" s="80"/>
      <c r="AS24" s="80" t="s">
        <v>871</v>
      </c>
      <c r="AT24" s="85" t="str">
        <f>HYPERLINK("https://www.youtube.com/channel/UC59BfWXrQndBPmqKq4IgRZQ")</f>
        <v>https://www.youtube.com/channel/UC59BfWXrQndBPmqKq4IgRZQ</v>
      </c>
      <c r="AU24" s="80" t="str">
        <f>REPLACE(INDEX(GroupVertices[Group],MATCH(Vertices[[#This Row],[Vertex]],GroupVertices[Vertex],0)),1,1,"")</f>
        <v>9</v>
      </c>
      <c r="AV24" s="49">
        <v>1</v>
      </c>
      <c r="AW24" s="50">
        <v>6.666666666666667</v>
      </c>
      <c r="AX24" s="49">
        <v>1</v>
      </c>
      <c r="AY24" s="50">
        <v>6.666666666666667</v>
      </c>
      <c r="AZ24" s="49">
        <v>0</v>
      </c>
      <c r="BA24" s="50">
        <v>0</v>
      </c>
      <c r="BB24" s="49">
        <v>14</v>
      </c>
      <c r="BC24" s="50">
        <v>93.33333333333333</v>
      </c>
      <c r="BD24" s="49">
        <v>15</v>
      </c>
      <c r="BE24" s="49"/>
      <c r="BF24" s="49"/>
      <c r="BG24" s="49"/>
      <c r="BH24" s="49"/>
      <c r="BI24" s="49"/>
      <c r="BJ24" s="49"/>
      <c r="BK24" s="111" t="s">
        <v>1488</v>
      </c>
      <c r="BL24" s="111" t="s">
        <v>1488</v>
      </c>
      <c r="BM24" s="111" t="s">
        <v>1553</v>
      </c>
      <c r="BN24" s="111" t="s">
        <v>1553</v>
      </c>
      <c r="BO24" s="2"/>
      <c r="BP24" s="3"/>
      <c r="BQ24" s="3"/>
      <c r="BR24" s="3"/>
      <c r="BS24" s="3"/>
    </row>
    <row r="25" spans="1:71" ht="15">
      <c r="A25" s="65" t="s">
        <v>347</v>
      </c>
      <c r="B25" s="66"/>
      <c r="C25" s="66"/>
      <c r="D25" s="67">
        <v>150</v>
      </c>
      <c r="E25" s="69"/>
      <c r="F25" s="103" t="str">
        <f>HYPERLINK("https://yt3.ggpht.com/ytc/AAUvwnjSoPfvYg0JUo9DHCeJTOsnz37AYxLKvIktO7lj=s88-c-k-c0x00ffffff-no-rj")</f>
        <v>https://yt3.ggpht.com/ytc/AAUvwnjSoPfvYg0JUo9DHCeJTOsnz37AYxLKvIktO7lj=s88-c-k-c0x00ffffff-no-rj</v>
      </c>
      <c r="G25" s="66"/>
      <c r="H25" s="70" t="s">
        <v>687</v>
      </c>
      <c r="I25" s="71"/>
      <c r="J25" s="71" t="s">
        <v>159</v>
      </c>
      <c r="K25" s="70" t="s">
        <v>687</v>
      </c>
      <c r="L25" s="74">
        <v>1</v>
      </c>
      <c r="M25" s="75">
        <v>8542.138671875</v>
      </c>
      <c r="N25" s="75">
        <v>5006.724609375</v>
      </c>
      <c r="O25" s="76"/>
      <c r="P25" s="77"/>
      <c r="Q25" s="77"/>
      <c r="R25" s="89"/>
      <c r="S25" s="49">
        <v>0</v>
      </c>
      <c r="T25" s="49">
        <v>1</v>
      </c>
      <c r="U25" s="50">
        <v>0</v>
      </c>
      <c r="V25" s="50">
        <v>0.002092</v>
      </c>
      <c r="W25" s="50">
        <v>0.000618</v>
      </c>
      <c r="X25" s="50">
        <v>0.571108</v>
      </c>
      <c r="Y25" s="50">
        <v>0</v>
      </c>
      <c r="Z25" s="50">
        <v>0</v>
      </c>
      <c r="AA25" s="72">
        <v>25</v>
      </c>
      <c r="AB25" s="72"/>
      <c r="AC25" s="73"/>
      <c r="AD25" s="80" t="s">
        <v>687</v>
      </c>
      <c r="AE25" s="80"/>
      <c r="AF25" s="80"/>
      <c r="AG25" s="80"/>
      <c r="AH25" s="80"/>
      <c r="AI25" s="80"/>
      <c r="AJ25" s="87">
        <v>43925.09719907407</v>
      </c>
      <c r="AK25" s="85" t="str">
        <f>HYPERLINK("https://yt3.ggpht.com/ytc/AAUvwnjSoPfvYg0JUo9DHCeJTOsnz37AYxLKvIktO7lj=s88-c-k-c0x00ffffff-no-rj")</f>
        <v>https://yt3.ggpht.com/ytc/AAUvwnjSoPfvYg0JUo9DHCeJTOsnz37AYxLKvIktO7lj=s88-c-k-c0x00ffffff-no-rj</v>
      </c>
      <c r="AL25" s="80">
        <v>0</v>
      </c>
      <c r="AM25" s="80">
        <v>0</v>
      </c>
      <c r="AN25" s="80">
        <v>2</v>
      </c>
      <c r="AO25" s="80" t="b">
        <v>0</v>
      </c>
      <c r="AP25" s="80">
        <v>0</v>
      </c>
      <c r="AQ25" s="80"/>
      <c r="AR25" s="80"/>
      <c r="AS25" s="80" t="s">
        <v>871</v>
      </c>
      <c r="AT25" s="85" t="str">
        <f>HYPERLINK("https://www.youtube.com/channel/UCbzcSwLyP4DYIxDbVaBQ6Hw")</f>
        <v>https://www.youtube.com/channel/UCbzcSwLyP4DYIxDbVaBQ6Hw</v>
      </c>
      <c r="AU25" s="80" t="str">
        <f>REPLACE(INDEX(GroupVertices[Group],MATCH(Vertices[[#This Row],[Vertex]],GroupVertices[Vertex],0)),1,1,"")</f>
        <v>9</v>
      </c>
      <c r="AV25" s="49">
        <v>0</v>
      </c>
      <c r="AW25" s="50">
        <v>0</v>
      </c>
      <c r="AX25" s="49">
        <v>0</v>
      </c>
      <c r="AY25" s="50">
        <v>0</v>
      </c>
      <c r="AZ25" s="49">
        <v>0</v>
      </c>
      <c r="BA25" s="50">
        <v>0</v>
      </c>
      <c r="BB25" s="49">
        <v>0</v>
      </c>
      <c r="BC25" s="50">
        <v>0</v>
      </c>
      <c r="BD25" s="49">
        <v>0</v>
      </c>
      <c r="BE25" s="49"/>
      <c r="BF25" s="49"/>
      <c r="BG25" s="49"/>
      <c r="BH25" s="49"/>
      <c r="BI25" s="49"/>
      <c r="BJ25" s="49"/>
      <c r="BK25" s="111" t="s">
        <v>843</v>
      </c>
      <c r="BL25" s="111" t="s">
        <v>843</v>
      </c>
      <c r="BM25" s="111" t="s">
        <v>843</v>
      </c>
      <c r="BN25" s="111" t="s">
        <v>843</v>
      </c>
      <c r="BO25" s="2"/>
      <c r="BP25" s="3"/>
      <c r="BQ25" s="3"/>
      <c r="BR25" s="3"/>
      <c r="BS25" s="3"/>
    </row>
    <row r="26" spans="1:71" ht="15">
      <c r="A26" s="65" t="s">
        <v>349</v>
      </c>
      <c r="B26" s="66"/>
      <c r="C26" s="66"/>
      <c r="D26" s="67">
        <v>150</v>
      </c>
      <c r="E26" s="69"/>
      <c r="F26" s="103" t="str">
        <f>HYPERLINK("https://yt3.ggpht.com/ytc/AAUvwnjhhnP2Be3I1Vos2carz0JtBNDI-hiZoj87lw=s88-c-k-c0x00ffffff-no-rj")</f>
        <v>https://yt3.ggpht.com/ytc/AAUvwnjhhnP2Be3I1Vos2carz0JtBNDI-hiZoj87lw=s88-c-k-c0x00ffffff-no-rj</v>
      </c>
      <c r="G26" s="66"/>
      <c r="H26" s="70" t="s">
        <v>689</v>
      </c>
      <c r="I26" s="71"/>
      <c r="J26" s="71" t="s">
        <v>159</v>
      </c>
      <c r="K26" s="70" t="s">
        <v>689</v>
      </c>
      <c r="L26" s="74">
        <v>1</v>
      </c>
      <c r="M26" s="75">
        <v>1948.511962890625</v>
      </c>
      <c r="N26" s="75">
        <v>7476.91455078125</v>
      </c>
      <c r="O26" s="76"/>
      <c r="P26" s="77"/>
      <c r="Q26" s="77"/>
      <c r="R26" s="89"/>
      <c r="S26" s="49">
        <v>0</v>
      </c>
      <c r="T26" s="49">
        <v>1</v>
      </c>
      <c r="U26" s="50">
        <v>0</v>
      </c>
      <c r="V26" s="50">
        <v>0.003021</v>
      </c>
      <c r="W26" s="50">
        <v>0.007133</v>
      </c>
      <c r="X26" s="50">
        <v>0.515381</v>
      </c>
      <c r="Y26" s="50">
        <v>0</v>
      </c>
      <c r="Z26" s="50">
        <v>0</v>
      </c>
      <c r="AA26" s="72">
        <v>26</v>
      </c>
      <c r="AB26" s="72"/>
      <c r="AC26" s="73"/>
      <c r="AD26" s="80" t="s">
        <v>689</v>
      </c>
      <c r="AE26" s="80"/>
      <c r="AF26" s="80"/>
      <c r="AG26" s="80"/>
      <c r="AH26" s="80"/>
      <c r="AI26" s="80"/>
      <c r="AJ26" s="87">
        <v>44280.34453703704</v>
      </c>
      <c r="AK26" s="85" t="str">
        <f>HYPERLINK("https://yt3.ggpht.com/ytc/AAUvwnjhhnP2Be3I1Vos2carz0JtBNDI-hiZoj87lw=s88-c-k-c0x00ffffff-no-rj")</f>
        <v>https://yt3.ggpht.com/ytc/AAUvwnjhhnP2Be3I1Vos2carz0JtBNDI-hiZoj87lw=s88-c-k-c0x00ffffff-no-rj</v>
      </c>
      <c r="AL26" s="80">
        <v>0</v>
      </c>
      <c r="AM26" s="80">
        <v>0</v>
      </c>
      <c r="AN26" s="80">
        <v>0</v>
      </c>
      <c r="AO26" s="80" t="b">
        <v>0</v>
      </c>
      <c r="AP26" s="80">
        <v>0</v>
      </c>
      <c r="AQ26" s="80"/>
      <c r="AR26" s="80"/>
      <c r="AS26" s="80" t="s">
        <v>871</v>
      </c>
      <c r="AT26" s="85" t="str">
        <f>HYPERLINK("https://www.youtube.com/channel/UCx54gVMTbOXZqYU0btCl7Xg")</f>
        <v>https://www.youtube.com/channel/UCx54gVMTbOXZqYU0btCl7Xg</v>
      </c>
      <c r="AU26" s="80" t="str">
        <f>REPLACE(INDEX(GroupVertices[Group],MATCH(Vertices[[#This Row],[Vertex]],GroupVertices[Vertex],0)),1,1,"")</f>
        <v>1</v>
      </c>
      <c r="AV26" s="49">
        <v>0</v>
      </c>
      <c r="AW26" s="50">
        <v>0</v>
      </c>
      <c r="AX26" s="49">
        <v>0</v>
      </c>
      <c r="AY26" s="50">
        <v>0</v>
      </c>
      <c r="AZ26" s="49">
        <v>0</v>
      </c>
      <c r="BA26" s="50">
        <v>0</v>
      </c>
      <c r="BB26" s="49">
        <v>0</v>
      </c>
      <c r="BC26" s="50">
        <v>0</v>
      </c>
      <c r="BD26" s="49">
        <v>0</v>
      </c>
      <c r="BE26" s="49"/>
      <c r="BF26" s="49"/>
      <c r="BG26" s="49"/>
      <c r="BH26" s="49"/>
      <c r="BI26" s="49"/>
      <c r="BJ26" s="49"/>
      <c r="BK26" s="111" t="s">
        <v>843</v>
      </c>
      <c r="BL26" s="111" t="s">
        <v>843</v>
      </c>
      <c r="BM26" s="111" t="s">
        <v>843</v>
      </c>
      <c r="BN26" s="111" t="s">
        <v>843</v>
      </c>
      <c r="BO26" s="2"/>
      <c r="BP26" s="3"/>
      <c r="BQ26" s="3"/>
      <c r="BR26" s="3"/>
      <c r="BS26" s="3"/>
    </row>
    <row r="27" spans="1:71" ht="15">
      <c r="A27" s="65" t="s">
        <v>350</v>
      </c>
      <c r="B27" s="66"/>
      <c r="C27" s="66"/>
      <c r="D27" s="67">
        <v>150</v>
      </c>
      <c r="E27" s="69"/>
      <c r="F27" s="103" t="str">
        <f>HYPERLINK("https://yt3.ggpht.com/ytc/AAUvwngFn3Mesn7yEjlebq5CbkH1q499fEh8DdHOoA=s88-c-k-c0x00ffffff-no-rj")</f>
        <v>https://yt3.ggpht.com/ytc/AAUvwngFn3Mesn7yEjlebq5CbkH1q499fEh8DdHOoA=s88-c-k-c0x00ffffff-no-rj</v>
      </c>
      <c r="G27" s="66"/>
      <c r="H27" s="70" t="s">
        <v>690</v>
      </c>
      <c r="I27" s="71"/>
      <c r="J27" s="71" t="s">
        <v>159</v>
      </c>
      <c r="K27" s="70" t="s">
        <v>690</v>
      </c>
      <c r="L27" s="74">
        <v>1</v>
      </c>
      <c r="M27" s="75">
        <v>8730.5498046875</v>
      </c>
      <c r="N27" s="75">
        <v>3312.530029296875</v>
      </c>
      <c r="O27" s="76"/>
      <c r="P27" s="77"/>
      <c r="Q27" s="77"/>
      <c r="R27" s="89"/>
      <c r="S27" s="49">
        <v>0</v>
      </c>
      <c r="T27" s="49">
        <v>1</v>
      </c>
      <c r="U27" s="50">
        <v>0</v>
      </c>
      <c r="V27" s="50">
        <v>0.002083</v>
      </c>
      <c r="W27" s="50">
        <v>0.000671</v>
      </c>
      <c r="X27" s="50">
        <v>0.5328</v>
      </c>
      <c r="Y27" s="50">
        <v>0</v>
      </c>
      <c r="Z27" s="50">
        <v>0</v>
      </c>
      <c r="AA27" s="72">
        <v>27</v>
      </c>
      <c r="AB27" s="72"/>
      <c r="AC27" s="73"/>
      <c r="AD27" s="80" t="s">
        <v>690</v>
      </c>
      <c r="AE27" s="80"/>
      <c r="AF27" s="80"/>
      <c r="AG27" s="80"/>
      <c r="AH27" s="80"/>
      <c r="AI27" s="80"/>
      <c r="AJ27" s="87">
        <v>43186.64129629629</v>
      </c>
      <c r="AK27" s="85" t="str">
        <f>HYPERLINK("https://yt3.ggpht.com/ytc/AAUvwngFn3Mesn7yEjlebq5CbkH1q499fEh8DdHOoA=s88-c-k-c0x00ffffff-no-rj")</f>
        <v>https://yt3.ggpht.com/ytc/AAUvwngFn3Mesn7yEjlebq5CbkH1q499fEh8DdHOoA=s88-c-k-c0x00ffffff-no-rj</v>
      </c>
      <c r="AL27" s="80">
        <v>0</v>
      </c>
      <c r="AM27" s="80">
        <v>0</v>
      </c>
      <c r="AN27" s="80">
        <v>1</v>
      </c>
      <c r="AO27" s="80" t="b">
        <v>0</v>
      </c>
      <c r="AP27" s="80">
        <v>0</v>
      </c>
      <c r="AQ27" s="80"/>
      <c r="AR27" s="80"/>
      <c r="AS27" s="80" t="s">
        <v>871</v>
      </c>
      <c r="AT27" s="85" t="str">
        <f>HYPERLINK("https://www.youtube.com/channel/UC3uvWFMnLdPQ-YPYb1EUQRQ")</f>
        <v>https://www.youtube.com/channel/UC3uvWFMnLdPQ-YPYb1EUQRQ</v>
      </c>
      <c r="AU27" s="80" t="str">
        <f>REPLACE(INDEX(GroupVertices[Group],MATCH(Vertices[[#This Row],[Vertex]],GroupVertices[Vertex],0)),1,1,"")</f>
        <v>17</v>
      </c>
      <c r="AV27" s="49">
        <v>2</v>
      </c>
      <c r="AW27" s="50">
        <v>7.142857142857143</v>
      </c>
      <c r="AX27" s="49">
        <v>1</v>
      </c>
      <c r="AY27" s="50">
        <v>3.5714285714285716</v>
      </c>
      <c r="AZ27" s="49">
        <v>0</v>
      </c>
      <c r="BA27" s="50">
        <v>0</v>
      </c>
      <c r="BB27" s="49">
        <v>26</v>
      </c>
      <c r="BC27" s="50">
        <v>92.85714285714286</v>
      </c>
      <c r="BD27" s="49">
        <v>28</v>
      </c>
      <c r="BE27" s="49"/>
      <c r="BF27" s="49"/>
      <c r="BG27" s="49"/>
      <c r="BH27" s="49"/>
      <c r="BI27" s="49"/>
      <c r="BJ27" s="49"/>
      <c r="BK27" s="111" t="s">
        <v>1489</v>
      </c>
      <c r="BL27" s="111" t="s">
        <v>1489</v>
      </c>
      <c r="BM27" s="111" t="s">
        <v>1554</v>
      </c>
      <c r="BN27" s="111" t="s">
        <v>1554</v>
      </c>
      <c r="BO27" s="2"/>
      <c r="BP27" s="3"/>
      <c r="BQ27" s="3"/>
      <c r="BR27" s="3"/>
      <c r="BS27" s="3"/>
    </row>
    <row r="28" spans="1:71" ht="15">
      <c r="A28" s="65" t="s">
        <v>351</v>
      </c>
      <c r="B28" s="66"/>
      <c r="C28" s="66"/>
      <c r="D28" s="67">
        <v>575</v>
      </c>
      <c r="E28" s="69"/>
      <c r="F28" s="103" t="str">
        <f>HYPERLINK("https://yt3.ggpht.com/ytc/AAUvwngAN9qR2KG1l5Rsii1-zufN-SMAA1GtmlTCtQ=s88-c-k-c0x00ffffff-no-rj")</f>
        <v>https://yt3.ggpht.com/ytc/AAUvwngAN9qR2KG1l5Rsii1-zufN-SMAA1GtmlTCtQ=s88-c-k-c0x00ffffff-no-rj</v>
      </c>
      <c r="G28" s="66"/>
      <c r="H28" s="70" t="s">
        <v>691</v>
      </c>
      <c r="I28" s="71"/>
      <c r="J28" s="71" t="s">
        <v>159</v>
      </c>
      <c r="K28" s="70" t="s">
        <v>691</v>
      </c>
      <c r="L28" s="74">
        <v>160.968</v>
      </c>
      <c r="M28" s="75">
        <v>8730.5498046875</v>
      </c>
      <c r="N28" s="75">
        <v>2597.28369140625</v>
      </c>
      <c r="O28" s="76"/>
      <c r="P28" s="77"/>
      <c r="Q28" s="77"/>
      <c r="R28" s="89"/>
      <c r="S28" s="49">
        <v>2</v>
      </c>
      <c r="T28" s="49">
        <v>2</v>
      </c>
      <c r="U28" s="50">
        <v>302</v>
      </c>
      <c r="V28" s="50">
        <v>0.00304</v>
      </c>
      <c r="W28" s="50">
        <v>0.007861</v>
      </c>
      <c r="X28" s="50">
        <v>1.351061</v>
      </c>
      <c r="Y28" s="50">
        <v>0</v>
      </c>
      <c r="Z28" s="50">
        <v>0</v>
      </c>
      <c r="AA28" s="72">
        <v>28</v>
      </c>
      <c r="AB28" s="72"/>
      <c r="AC28" s="73"/>
      <c r="AD28" s="80" t="s">
        <v>691</v>
      </c>
      <c r="AE28" s="80"/>
      <c r="AF28" s="80"/>
      <c r="AG28" s="80"/>
      <c r="AH28" s="80"/>
      <c r="AI28" s="80"/>
      <c r="AJ28" s="87">
        <v>44159.96532407407</v>
      </c>
      <c r="AK28" s="85" t="str">
        <f>HYPERLINK("https://yt3.ggpht.com/ytc/AAUvwngAN9qR2KG1l5Rsii1-zufN-SMAA1GtmlTCtQ=s88-c-k-c0x00ffffff-no-rj")</f>
        <v>https://yt3.ggpht.com/ytc/AAUvwngAN9qR2KG1l5Rsii1-zufN-SMAA1GtmlTCtQ=s88-c-k-c0x00ffffff-no-rj</v>
      </c>
      <c r="AL28" s="80">
        <v>0</v>
      </c>
      <c r="AM28" s="80">
        <v>0</v>
      </c>
      <c r="AN28" s="80">
        <v>0</v>
      </c>
      <c r="AO28" s="80" t="b">
        <v>0</v>
      </c>
      <c r="AP28" s="80">
        <v>0</v>
      </c>
      <c r="AQ28" s="80"/>
      <c r="AR28" s="80"/>
      <c r="AS28" s="80" t="s">
        <v>871</v>
      </c>
      <c r="AT28" s="85" t="str">
        <f>HYPERLINK("https://www.youtube.com/channel/UCMpKt3R83_bsj58AWV9Fm_g")</f>
        <v>https://www.youtube.com/channel/UCMpKt3R83_bsj58AWV9Fm_g</v>
      </c>
      <c r="AU28" s="80" t="str">
        <f>REPLACE(INDEX(GroupVertices[Group],MATCH(Vertices[[#This Row],[Vertex]],GroupVertices[Vertex],0)),1,1,"")</f>
        <v>17</v>
      </c>
      <c r="AV28" s="49">
        <v>2</v>
      </c>
      <c r="AW28" s="50">
        <v>11.764705882352942</v>
      </c>
      <c r="AX28" s="49">
        <v>1</v>
      </c>
      <c r="AY28" s="50">
        <v>5.882352941176471</v>
      </c>
      <c r="AZ28" s="49">
        <v>0</v>
      </c>
      <c r="BA28" s="50">
        <v>0</v>
      </c>
      <c r="BB28" s="49">
        <v>14</v>
      </c>
      <c r="BC28" s="50">
        <v>82.3529411764706</v>
      </c>
      <c r="BD28" s="49">
        <v>17</v>
      </c>
      <c r="BE28" s="49"/>
      <c r="BF28" s="49"/>
      <c r="BG28" s="49"/>
      <c r="BH28" s="49"/>
      <c r="BI28" s="49"/>
      <c r="BJ28" s="49"/>
      <c r="BK28" s="111" t="s">
        <v>1322</v>
      </c>
      <c r="BL28" s="111" t="s">
        <v>1322</v>
      </c>
      <c r="BM28" s="111" t="s">
        <v>1392</v>
      </c>
      <c r="BN28" s="111" t="s">
        <v>1392</v>
      </c>
      <c r="BO28" s="2"/>
      <c r="BP28" s="3"/>
      <c r="BQ28" s="3"/>
      <c r="BR28" s="3"/>
      <c r="BS28" s="3"/>
    </row>
    <row r="29" spans="1:71" ht="15">
      <c r="A29" s="65" t="s">
        <v>352</v>
      </c>
      <c r="B29" s="66"/>
      <c r="C29" s="66"/>
      <c r="D29" s="67">
        <v>150</v>
      </c>
      <c r="E29" s="69"/>
      <c r="F29" s="103" t="str">
        <f>HYPERLINK("https://yt3.ggpht.com/ytc/AAUvwnhzGBCaP6yvj1cImyVFExfT3dAqQdHt8PsnCA=s88-c-k-c0x00ffffff-no-rj")</f>
        <v>https://yt3.ggpht.com/ytc/AAUvwnhzGBCaP6yvj1cImyVFExfT3dAqQdHt8PsnCA=s88-c-k-c0x00ffffff-no-rj</v>
      </c>
      <c r="G29" s="66"/>
      <c r="H29" s="70" t="s">
        <v>692</v>
      </c>
      <c r="I29" s="71"/>
      <c r="J29" s="71" t="s">
        <v>159</v>
      </c>
      <c r="K29" s="70" t="s">
        <v>692</v>
      </c>
      <c r="L29" s="74">
        <v>1</v>
      </c>
      <c r="M29" s="75">
        <v>6261.9306640625</v>
      </c>
      <c r="N29" s="75">
        <v>7228.54833984375</v>
      </c>
      <c r="O29" s="76"/>
      <c r="P29" s="77"/>
      <c r="Q29" s="77"/>
      <c r="R29" s="89"/>
      <c r="S29" s="49">
        <v>0</v>
      </c>
      <c r="T29" s="49">
        <v>1</v>
      </c>
      <c r="U29" s="50">
        <v>0</v>
      </c>
      <c r="V29" s="50">
        <v>0.003021</v>
      </c>
      <c r="W29" s="50">
        <v>0.007133</v>
      </c>
      <c r="X29" s="50">
        <v>0.515381</v>
      </c>
      <c r="Y29" s="50">
        <v>0</v>
      </c>
      <c r="Z29" s="50">
        <v>0</v>
      </c>
      <c r="AA29" s="72">
        <v>29</v>
      </c>
      <c r="AB29" s="72"/>
      <c r="AC29" s="73"/>
      <c r="AD29" s="80" t="s">
        <v>692</v>
      </c>
      <c r="AE29" s="80"/>
      <c r="AF29" s="80"/>
      <c r="AG29" s="80"/>
      <c r="AH29" s="80"/>
      <c r="AI29" s="80"/>
      <c r="AJ29" s="87">
        <v>43328.9940625</v>
      </c>
      <c r="AK29" s="85" t="str">
        <f>HYPERLINK("https://yt3.ggpht.com/ytc/AAUvwnhzGBCaP6yvj1cImyVFExfT3dAqQdHt8PsnCA=s88-c-k-c0x00ffffff-no-rj")</f>
        <v>https://yt3.ggpht.com/ytc/AAUvwnhzGBCaP6yvj1cImyVFExfT3dAqQdHt8PsnCA=s88-c-k-c0x00ffffff-no-rj</v>
      </c>
      <c r="AL29" s="80">
        <v>227</v>
      </c>
      <c r="AM29" s="80">
        <v>0</v>
      </c>
      <c r="AN29" s="80">
        <v>0</v>
      </c>
      <c r="AO29" s="80" t="b">
        <v>0</v>
      </c>
      <c r="AP29" s="80">
        <v>1</v>
      </c>
      <c r="AQ29" s="80"/>
      <c r="AR29" s="80"/>
      <c r="AS29" s="80" t="s">
        <v>871</v>
      </c>
      <c r="AT29" s="85" t="str">
        <f>HYPERLINK("https://www.youtube.com/channel/UCb_HJ0MPee9-CKKd5yRD7aw")</f>
        <v>https://www.youtube.com/channel/UCb_HJ0MPee9-CKKd5yRD7aw</v>
      </c>
      <c r="AU29" s="80" t="str">
        <f>REPLACE(INDEX(GroupVertices[Group],MATCH(Vertices[[#This Row],[Vertex]],GroupVertices[Vertex],0)),1,1,"")</f>
        <v>1</v>
      </c>
      <c r="AV29" s="49">
        <v>1</v>
      </c>
      <c r="AW29" s="50">
        <v>33.333333333333336</v>
      </c>
      <c r="AX29" s="49">
        <v>0</v>
      </c>
      <c r="AY29" s="50">
        <v>0</v>
      </c>
      <c r="AZ29" s="49">
        <v>0</v>
      </c>
      <c r="BA29" s="50">
        <v>0</v>
      </c>
      <c r="BB29" s="49">
        <v>2</v>
      </c>
      <c r="BC29" s="50">
        <v>66.66666666666667</v>
      </c>
      <c r="BD29" s="49">
        <v>3</v>
      </c>
      <c r="BE29" s="49"/>
      <c r="BF29" s="49"/>
      <c r="BG29" s="49"/>
      <c r="BH29" s="49"/>
      <c r="BI29" s="49"/>
      <c r="BJ29" s="49"/>
      <c r="BK29" s="111" t="s">
        <v>1027</v>
      </c>
      <c r="BL29" s="111" t="s">
        <v>1027</v>
      </c>
      <c r="BM29" s="111" t="s">
        <v>843</v>
      </c>
      <c r="BN29" s="111" t="s">
        <v>843</v>
      </c>
      <c r="BO29" s="2"/>
      <c r="BP29" s="3"/>
      <c r="BQ29" s="3"/>
      <c r="BR29" s="3"/>
      <c r="BS29" s="3"/>
    </row>
    <row r="30" spans="1:71" ht="15">
      <c r="A30" s="65" t="s">
        <v>353</v>
      </c>
      <c r="B30" s="66"/>
      <c r="C30" s="66"/>
      <c r="D30" s="67">
        <v>150</v>
      </c>
      <c r="E30" s="69"/>
      <c r="F30" s="103" t="str">
        <f>HYPERLINK("https://yt3.ggpht.com/ytc/AAUvwnhJ_x2ntSU7RThkxa2ZxnIE_Hail9WRRkthWA=s88-c-k-c0x00ffffff-no-rj")</f>
        <v>https://yt3.ggpht.com/ytc/AAUvwnhJ_x2ntSU7RThkxa2ZxnIE_Hail9WRRkthWA=s88-c-k-c0x00ffffff-no-rj</v>
      </c>
      <c r="G30" s="66"/>
      <c r="H30" s="70" t="s">
        <v>693</v>
      </c>
      <c r="I30" s="71"/>
      <c r="J30" s="71" t="s">
        <v>159</v>
      </c>
      <c r="K30" s="70" t="s">
        <v>693</v>
      </c>
      <c r="L30" s="74">
        <v>1</v>
      </c>
      <c r="M30" s="75">
        <v>6591.697265625</v>
      </c>
      <c r="N30" s="75">
        <v>4219.1337890625</v>
      </c>
      <c r="O30" s="76"/>
      <c r="P30" s="77"/>
      <c r="Q30" s="77"/>
      <c r="R30" s="89"/>
      <c r="S30" s="49">
        <v>0</v>
      </c>
      <c r="T30" s="49">
        <v>1</v>
      </c>
      <c r="U30" s="50">
        <v>0</v>
      </c>
      <c r="V30" s="50">
        <v>0.003021</v>
      </c>
      <c r="W30" s="50">
        <v>0.007133</v>
      </c>
      <c r="X30" s="50">
        <v>0.515381</v>
      </c>
      <c r="Y30" s="50">
        <v>0</v>
      </c>
      <c r="Z30" s="50">
        <v>0</v>
      </c>
      <c r="AA30" s="72">
        <v>30</v>
      </c>
      <c r="AB30" s="72"/>
      <c r="AC30" s="73"/>
      <c r="AD30" s="80" t="s">
        <v>693</v>
      </c>
      <c r="AE30" s="80"/>
      <c r="AF30" s="80"/>
      <c r="AG30" s="80"/>
      <c r="AH30" s="80"/>
      <c r="AI30" s="80"/>
      <c r="AJ30" s="87">
        <v>40306.643472222226</v>
      </c>
      <c r="AK30" s="85" t="str">
        <f>HYPERLINK("https://yt3.ggpht.com/ytc/AAUvwnhJ_x2ntSU7RThkxa2ZxnIE_Hail9WRRkthWA=s88-c-k-c0x00ffffff-no-rj")</f>
        <v>https://yt3.ggpht.com/ytc/AAUvwnhJ_x2ntSU7RThkxa2ZxnIE_Hail9WRRkthWA=s88-c-k-c0x00ffffff-no-rj</v>
      </c>
      <c r="AL30" s="80">
        <v>0</v>
      </c>
      <c r="AM30" s="80">
        <v>0</v>
      </c>
      <c r="AN30" s="80">
        <v>2</v>
      </c>
      <c r="AO30" s="80" t="b">
        <v>0</v>
      </c>
      <c r="AP30" s="80">
        <v>0</v>
      </c>
      <c r="AQ30" s="80"/>
      <c r="AR30" s="80"/>
      <c r="AS30" s="80" t="s">
        <v>871</v>
      </c>
      <c r="AT30" s="85" t="str">
        <f>HYPERLINK("https://www.youtube.com/channel/UCrRHeAGbtjROfUpoGxJKkLA")</f>
        <v>https://www.youtube.com/channel/UCrRHeAGbtjROfUpoGxJKkLA</v>
      </c>
      <c r="AU30" s="80" t="str">
        <f>REPLACE(INDEX(GroupVertices[Group],MATCH(Vertices[[#This Row],[Vertex]],GroupVertices[Vertex],0)),1,1,"")</f>
        <v>1</v>
      </c>
      <c r="AV30" s="49">
        <v>1</v>
      </c>
      <c r="AW30" s="50">
        <v>3.125</v>
      </c>
      <c r="AX30" s="49">
        <v>1</v>
      </c>
      <c r="AY30" s="50">
        <v>3.125</v>
      </c>
      <c r="AZ30" s="49">
        <v>0</v>
      </c>
      <c r="BA30" s="50">
        <v>0</v>
      </c>
      <c r="BB30" s="49">
        <v>31</v>
      </c>
      <c r="BC30" s="50">
        <v>96.875</v>
      </c>
      <c r="BD30" s="49">
        <v>32</v>
      </c>
      <c r="BE30" s="49"/>
      <c r="BF30" s="49"/>
      <c r="BG30" s="49"/>
      <c r="BH30" s="49"/>
      <c r="BI30" s="49"/>
      <c r="BJ30" s="49"/>
      <c r="BK30" s="111" t="s">
        <v>1490</v>
      </c>
      <c r="BL30" s="111" t="s">
        <v>1490</v>
      </c>
      <c r="BM30" s="111" t="s">
        <v>1555</v>
      </c>
      <c r="BN30" s="111" t="s">
        <v>1555</v>
      </c>
      <c r="BO30" s="2"/>
      <c r="BP30" s="3"/>
      <c r="BQ30" s="3"/>
      <c r="BR30" s="3"/>
      <c r="BS30" s="3"/>
    </row>
    <row r="31" spans="1:71" ht="15">
      <c r="A31" s="65" t="s">
        <v>354</v>
      </c>
      <c r="B31" s="66"/>
      <c r="C31" s="66"/>
      <c r="D31" s="67">
        <v>150</v>
      </c>
      <c r="E31" s="69"/>
      <c r="F31" s="103" t="str">
        <f>HYPERLINK("https://yt3.ggpht.com/ytc/AAUvwni4LxqDyhNFtvCjbZGg8jhTd554lW2XUoMr5Q=s88-c-k-c0x00ffffff-no-rj")</f>
        <v>https://yt3.ggpht.com/ytc/AAUvwni4LxqDyhNFtvCjbZGg8jhTd554lW2XUoMr5Q=s88-c-k-c0x00ffffff-no-rj</v>
      </c>
      <c r="G31" s="66"/>
      <c r="H31" s="70" t="s">
        <v>694</v>
      </c>
      <c r="I31" s="71"/>
      <c r="J31" s="71" t="s">
        <v>159</v>
      </c>
      <c r="K31" s="70" t="s">
        <v>694</v>
      </c>
      <c r="L31" s="74">
        <v>1</v>
      </c>
      <c r="M31" s="75">
        <v>2859.079833984375</v>
      </c>
      <c r="N31" s="75">
        <v>9791.2294921875</v>
      </c>
      <c r="O31" s="76"/>
      <c r="P31" s="77"/>
      <c r="Q31" s="77"/>
      <c r="R31" s="89"/>
      <c r="S31" s="49">
        <v>0</v>
      </c>
      <c r="T31" s="49">
        <v>1</v>
      </c>
      <c r="U31" s="50">
        <v>0</v>
      </c>
      <c r="V31" s="50">
        <v>0.003021</v>
      </c>
      <c r="W31" s="50">
        <v>0.007133</v>
      </c>
      <c r="X31" s="50">
        <v>0.515381</v>
      </c>
      <c r="Y31" s="50">
        <v>0</v>
      </c>
      <c r="Z31" s="50">
        <v>0</v>
      </c>
      <c r="AA31" s="72">
        <v>31</v>
      </c>
      <c r="AB31" s="72"/>
      <c r="AC31" s="73"/>
      <c r="AD31" s="80" t="s">
        <v>694</v>
      </c>
      <c r="AE31" s="80" t="s">
        <v>860</v>
      </c>
      <c r="AF31" s="80"/>
      <c r="AG31" s="80"/>
      <c r="AH31" s="80"/>
      <c r="AI31" s="80"/>
      <c r="AJ31" s="87">
        <v>41121.80296296296</v>
      </c>
      <c r="AK31" s="85" t="str">
        <f>HYPERLINK("https://yt3.ggpht.com/ytc/AAUvwni4LxqDyhNFtvCjbZGg8jhTd554lW2XUoMr5Q=s88-c-k-c0x00ffffff-no-rj")</f>
        <v>https://yt3.ggpht.com/ytc/AAUvwni4LxqDyhNFtvCjbZGg8jhTd554lW2XUoMr5Q=s88-c-k-c0x00ffffff-no-rj</v>
      </c>
      <c r="AL31" s="80">
        <v>0</v>
      </c>
      <c r="AM31" s="80">
        <v>0</v>
      </c>
      <c r="AN31" s="80">
        <v>0</v>
      </c>
      <c r="AO31" s="80" t="b">
        <v>0</v>
      </c>
      <c r="AP31" s="80">
        <v>0</v>
      </c>
      <c r="AQ31" s="80"/>
      <c r="AR31" s="80"/>
      <c r="AS31" s="80" t="s">
        <v>871</v>
      </c>
      <c r="AT31" s="85" t="str">
        <f>HYPERLINK("https://www.youtube.com/channel/UCFtZFrT1qchibJXIm7Lg4yQ")</f>
        <v>https://www.youtube.com/channel/UCFtZFrT1qchibJXIm7Lg4yQ</v>
      </c>
      <c r="AU31" s="80" t="str">
        <f>REPLACE(INDEX(GroupVertices[Group],MATCH(Vertices[[#This Row],[Vertex]],GroupVertices[Vertex],0)),1,1,"")</f>
        <v>1</v>
      </c>
      <c r="AV31" s="49">
        <v>2</v>
      </c>
      <c r="AW31" s="50">
        <v>40</v>
      </c>
      <c r="AX31" s="49">
        <v>2</v>
      </c>
      <c r="AY31" s="50">
        <v>40</v>
      </c>
      <c r="AZ31" s="49">
        <v>0</v>
      </c>
      <c r="BA31" s="50">
        <v>0</v>
      </c>
      <c r="BB31" s="49">
        <v>3</v>
      </c>
      <c r="BC31" s="50">
        <v>60</v>
      </c>
      <c r="BD31" s="49">
        <v>5</v>
      </c>
      <c r="BE31" s="49"/>
      <c r="BF31" s="49"/>
      <c r="BG31" s="49"/>
      <c r="BH31" s="49"/>
      <c r="BI31" s="49"/>
      <c r="BJ31" s="49"/>
      <c r="BK31" s="111" t="s">
        <v>1323</v>
      </c>
      <c r="BL31" s="111" t="s">
        <v>1323</v>
      </c>
      <c r="BM31" s="111" t="s">
        <v>1393</v>
      </c>
      <c r="BN31" s="111" t="s">
        <v>1393</v>
      </c>
      <c r="BO31" s="2"/>
      <c r="BP31" s="3"/>
      <c r="BQ31" s="3"/>
      <c r="BR31" s="3"/>
      <c r="BS31" s="3"/>
    </row>
    <row r="32" spans="1:71" ht="15">
      <c r="A32" s="65" t="s">
        <v>355</v>
      </c>
      <c r="B32" s="66"/>
      <c r="C32" s="66"/>
      <c r="D32" s="67">
        <v>150</v>
      </c>
      <c r="E32" s="69"/>
      <c r="F32" s="103" t="str">
        <f>HYPERLINK("https://yt3.ggpht.com/ytc/AAUvwngODsZW3ToUqxxRA3ph0vX5rg2sJavXOWn5Dw=s88-c-k-c0x00ffffff-no-rj")</f>
        <v>https://yt3.ggpht.com/ytc/AAUvwngODsZW3ToUqxxRA3ph0vX5rg2sJavXOWn5Dw=s88-c-k-c0x00ffffff-no-rj</v>
      </c>
      <c r="G32" s="66"/>
      <c r="H32" s="70" t="s">
        <v>695</v>
      </c>
      <c r="I32" s="71"/>
      <c r="J32" s="71" t="s">
        <v>159</v>
      </c>
      <c r="K32" s="70" t="s">
        <v>695</v>
      </c>
      <c r="L32" s="74">
        <v>1</v>
      </c>
      <c r="M32" s="75">
        <v>6947.2880859375</v>
      </c>
      <c r="N32" s="75">
        <v>5006.724609375</v>
      </c>
      <c r="O32" s="76"/>
      <c r="P32" s="77"/>
      <c r="Q32" s="77"/>
      <c r="R32" s="89"/>
      <c r="S32" s="49">
        <v>0</v>
      </c>
      <c r="T32" s="49">
        <v>1</v>
      </c>
      <c r="U32" s="50">
        <v>0</v>
      </c>
      <c r="V32" s="50">
        <v>0.002092</v>
      </c>
      <c r="W32" s="50">
        <v>0.000618</v>
      </c>
      <c r="X32" s="50">
        <v>0.571108</v>
      </c>
      <c r="Y32" s="50">
        <v>0</v>
      </c>
      <c r="Z32" s="50">
        <v>0</v>
      </c>
      <c r="AA32" s="72">
        <v>32</v>
      </c>
      <c r="AB32" s="72"/>
      <c r="AC32" s="73"/>
      <c r="AD32" s="80" t="s">
        <v>695</v>
      </c>
      <c r="AE32" s="80"/>
      <c r="AF32" s="80"/>
      <c r="AG32" s="80"/>
      <c r="AH32" s="80"/>
      <c r="AI32" s="80"/>
      <c r="AJ32" s="87">
        <v>43888.52476851852</v>
      </c>
      <c r="AK32" s="85" t="str">
        <f>HYPERLINK("https://yt3.ggpht.com/ytc/AAUvwngODsZW3ToUqxxRA3ph0vX5rg2sJavXOWn5Dw=s88-c-k-c0x00ffffff-no-rj")</f>
        <v>https://yt3.ggpht.com/ytc/AAUvwngODsZW3ToUqxxRA3ph0vX5rg2sJavXOWn5Dw=s88-c-k-c0x00ffffff-no-rj</v>
      </c>
      <c r="AL32" s="80">
        <v>0</v>
      </c>
      <c r="AM32" s="80">
        <v>0</v>
      </c>
      <c r="AN32" s="80">
        <v>0</v>
      </c>
      <c r="AO32" s="80" t="b">
        <v>0</v>
      </c>
      <c r="AP32" s="80">
        <v>0</v>
      </c>
      <c r="AQ32" s="80"/>
      <c r="AR32" s="80"/>
      <c r="AS32" s="80" t="s">
        <v>871</v>
      </c>
      <c r="AT32" s="85" t="str">
        <f>HYPERLINK("https://www.youtube.com/channel/UCnoEi3PvX_Cy_sP37Sefn0w")</f>
        <v>https://www.youtube.com/channel/UCnoEi3PvX_Cy_sP37Sefn0w</v>
      </c>
      <c r="AU32" s="80" t="str">
        <f>REPLACE(INDEX(GroupVertices[Group],MATCH(Vertices[[#This Row],[Vertex]],GroupVertices[Vertex],0)),1,1,"")</f>
        <v>8</v>
      </c>
      <c r="AV32" s="49">
        <v>1</v>
      </c>
      <c r="AW32" s="50">
        <v>11.11111111111111</v>
      </c>
      <c r="AX32" s="49">
        <v>1</v>
      </c>
      <c r="AY32" s="50">
        <v>11.11111111111111</v>
      </c>
      <c r="AZ32" s="49">
        <v>0</v>
      </c>
      <c r="BA32" s="50">
        <v>0</v>
      </c>
      <c r="BB32" s="49">
        <v>8</v>
      </c>
      <c r="BC32" s="50">
        <v>88.88888888888889</v>
      </c>
      <c r="BD32" s="49">
        <v>9</v>
      </c>
      <c r="BE32" s="49"/>
      <c r="BF32" s="49"/>
      <c r="BG32" s="49"/>
      <c r="BH32" s="49"/>
      <c r="BI32" s="49"/>
      <c r="BJ32" s="49"/>
      <c r="BK32" s="111" t="s">
        <v>1324</v>
      </c>
      <c r="BL32" s="111" t="s">
        <v>1324</v>
      </c>
      <c r="BM32" s="111" t="s">
        <v>1394</v>
      </c>
      <c r="BN32" s="111" t="s">
        <v>1394</v>
      </c>
      <c r="BO32" s="2"/>
      <c r="BP32" s="3"/>
      <c r="BQ32" s="3"/>
      <c r="BR32" s="3"/>
      <c r="BS32" s="3"/>
    </row>
    <row r="33" spans="1:71" ht="15">
      <c r="A33" s="65" t="s">
        <v>357</v>
      </c>
      <c r="B33" s="66"/>
      <c r="C33" s="66"/>
      <c r="D33" s="67">
        <v>575</v>
      </c>
      <c r="E33" s="69"/>
      <c r="F33" s="103" t="str">
        <f>HYPERLINK("https://yt3.ggpht.com/ytc/AAUvwnip976_X354_WgfICH7dN5k6SFOYQrASGP4jKHu9A=s88-c-k-c0x00ffffff-no-rj")</f>
        <v>https://yt3.ggpht.com/ytc/AAUvwnip976_X354_WgfICH7dN5k6SFOYQrASGP4jKHu9A=s88-c-k-c0x00ffffff-no-rj</v>
      </c>
      <c r="G33" s="66"/>
      <c r="H33" s="70" t="s">
        <v>697</v>
      </c>
      <c r="I33" s="71"/>
      <c r="J33" s="71" t="s">
        <v>159</v>
      </c>
      <c r="K33" s="70" t="s">
        <v>697</v>
      </c>
      <c r="L33" s="74">
        <v>160.968</v>
      </c>
      <c r="M33" s="75">
        <v>6947.2880859375</v>
      </c>
      <c r="N33" s="75">
        <v>4212.00634765625</v>
      </c>
      <c r="O33" s="76"/>
      <c r="P33" s="77"/>
      <c r="Q33" s="77"/>
      <c r="R33" s="89"/>
      <c r="S33" s="49">
        <v>2</v>
      </c>
      <c r="T33" s="49">
        <v>1</v>
      </c>
      <c r="U33" s="50">
        <v>602</v>
      </c>
      <c r="V33" s="50">
        <v>0.003058</v>
      </c>
      <c r="W33" s="50">
        <v>0.007239</v>
      </c>
      <c r="X33" s="50">
        <v>1.486263</v>
      </c>
      <c r="Y33" s="50">
        <v>0</v>
      </c>
      <c r="Z33" s="50">
        <v>0</v>
      </c>
      <c r="AA33" s="72">
        <v>33</v>
      </c>
      <c r="AB33" s="72"/>
      <c r="AC33" s="73"/>
      <c r="AD33" s="80" t="s">
        <v>697</v>
      </c>
      <c r="AE33" s="80"/>
      <c r="AF33" s="80"/>
      <c r="AG33" s="80"/>
      <c r="AH33" s="80"/>
      <c r="AI33" s="80"/>
      <c r="AJ33" s="87">
        <v>41394.946539351855</v>
      </c>
      <c r="AK33" s="85" t="str">
        <f>HYPERLINK("https://yt3.ggpht.com/ytc/AAUvwnip976_X354_WgfICH7dN5k6SFOYQrASGP4jKHu9A=s88-c-k-c0x00ffffff-no-rj")</f>
        <v>https://yt3.ggpht.com/ytc/AAUvwnip976_X354_WgfICH7dN5k6SFOYQrASGP4jKHu9A=s88-c-k-c0x00ffffff-no-rj</v>
      </c>
      <c r="AL33" s="80">
        <v>0</v>
      </c>
      <c r="AM33" s="80">
        <v>0</v>
      </c>
      <c r="AN33" s="80">
        <v>19</v>
      </c>
      <c r="AO33" s="80" t="b">
        <v>0</v>
      </c>
      <c r="AP33" s="80">
        <v>0</v>
      </c>
      <c r="AQ33" s="80"/>
      <c r="AR33" s="80"/>
      <c r="AS33" s="80" t="s">
        <v>871</v>
      </c>
      <c r="AT33" s="85" t="str">
        <f>HYPERLINK("https://www.youtube.com/channel/UC553r5zKT7KkG7bdWAt3XuA")</f>
        <v>https://www.youtube.com/channel/UC553r5zKT7KkG7bdWAt3XuA</v>
      </c>
      <c r="AU33" s="80" t="str">
        <f>REPLACE(INDEX(GroupVertices[Group],MATCH(Vertices[[#This Row],[Vertex]],GroupVertices[Vertex],0)),1,1,"")</f>
        <v>8</v>
      </c>
      <c r="AV33" s="49">
        <v>1</v>
      </c>
      <c r="AW33" s="50">
        <v>4</v>
      </c>
      <c r="AX33" s="49">
        <v>3</v>
      </c>
      <c r="AY33" s="50">
        <v>12</v>
      </c>
      <c r="AZ33" s="49">
        <v>0</v>
      </c>
      <c r="BA33" s="50">
        <v>0</v>
      </c>
      <c r="BB33" s="49">
        <v>22</v>
      </c>
      <c r="BC33" s="50">
        <v>88</v>
      </c>
      <c r="BD33" s="49">
        <v>25</v>
      </c>
      <c r="BE33" s="49"/>
      <c r="BF33" s="49"/>
      <c r="BG33" s="49"/>
      <c r="BH33" s="49"/>
      <c r="BI33" s="49"/>
      <c r="BJ33" s="49"/>
      <c r="BK33" s="111" t="s">
        <v>1491</v>
      </c>
      <c r="BL33" s="111" t="s">
        <v>1491</v>
      </c>
      <c r="BM33" s="111" t="s">
        <v>1556</v>
      </c>
      <c r="BN33" s="111" t="s">
        <v>1556</v>
      </c>
      <c r="BO33" s="2"/>
      <c r="BP33" s="3"/>
      <c r="BQ33" s="3"/>
      <c r="BR33" s="3"/>
      <c r="BS33" s="3"/>
    </row>
    <row r="34" spans="1:71" ht="15">
      <c r="A34" s="65" t="s">
        <v>356</v>
      </c>
      <c r="B34" s="66"/>
      <c r="C34" s="66"/>
      <c r="D34" s="67">
        <v>150</v>
      </c>
      <c r="E34" s="69"/>
      <c r="F34" s="103" t="str">
        <f>HYPERLINK("https://yt3.ggpht.com/ytc/AAUvwni7GJiNdbnV4i6IO5GFIX0LUV931FReJCSSkkOo=s88-c-k-c0x00ffffff-no-rj")</f>
        <v>https://yt3.ggpht.com/ytc/AAUvwni7GJiNdbnV4i6IO5GFIX0LUV931FReJCSSkkOo=s88-c-k-c0x00ffffff-no-rj</v>
      </c>
      <c r="G34" s="66"/>
      <c r="H34" s="70" t="s">
        <v>696</v>
      </c>
      <c r="I34" s="71"/>
      <c r="J34" s="71" t="s">
        <v>159</v>
      </c>
      <c r="K34" s="70" t="s">
        <v>696</v>
      </c>
      <c r="L34" s="74">
        <v>1</v>
      </c>
      <c r="M34" s="75">
        <v>7446.1767578125</v>
      </c>
      <c r="N34" s="75">
        <v>5006.724609375</v>
      </c>
      <c r="O34" s="76"/>
      <c r="P34" s="77"/>
      <c r="Q34" s="77"/>
      <c r="R34" s="89"/>
      <c r="S34" s="49">
        <v>0</v>
      </c>
      <c r="T34" s="49">
        <v>1</v>
      </c>
      <c r="U34" s="50">
        <v>0</v>
      </c>
      <c r="V34" s="50">
        <v>0.002092</v>
      </c>
      <c r="W34" s="50">
        <v>0.000618</v>
      </c>
      <c r="X34" s="50">
        <v>0.571108</v>
      </c>
      <c r="Y34" s="50">
        <v>0</v>
      </c>
      <c r="Z34" s="50">
        <v>0</v>
      </c>
      <c r="AA34" s="72">
        <v>34</v>
      </c>
      <c r="AB34" s="72"/>
      <c r="AC34" s="73"/>
      <c r="AD34" s="80" t="s">
        <v>696</v>
      </c>
      <c r="AE34" s="80"/>
      <c r="AF34" s="80"/>
      <c r="AG34" s="80"/>
      <c r="AH34" s="80"/>
      <c r="AI34" s="80"/>
      <c r="AJ34" s="87">
        <v>42511.50414351852</v>
      </c>
      <c r="AK34" s="85" t="str">
        <f>HYPERLINK("https://yt3.ggpht.com/ytc/AAUvwni7GJiNdbnV4i6IO5GFIX0LUV931FReJCSSkkOo=s88-c-k-c0x00ffffff-no-rj")</f>
        <v>https://yt3.ggpht.com/ytc/AAUvwni7GJiNdbnV4i6IO5GFIX0LUV931FReJCSSkkOo=s88-c-k-c0x00ffffff-no-rj</v>
      </c>
      <c r="AL34" s="80">
        <v>0</v>
      </c>
      <c r="AM34" s="80">
        <v>0</v>
      </c>
      <c r="AN34" s="80">
        <v>3</v>
      </c>
      <c r="AO34" s="80" t="b">
        <v>0</v>
      </c>
      <c r="AP34" s="80">
        <v>0</v>
      </c>
      <c r="AQ34" s="80"/>
      <c r="AR34" s="80"/>
      <c r="AS34" s="80" t="s">
        <v>871</v>
      </c>
      <c r="AT34" s="85" t="str">
        <f>HYPERLINK("https://www.youtube.com/channel/UCBBQVtSH7RfBLgLiLplXdsw")</f>
        <v>https://www.youtube.com/channel/UCBBQVtSH7RfBLgLiLplXdsw</v>
      </c>
      <c r="AU34" s="80" t="str">
        <f>REPLACE(INDEX(GroupVertices[Group],MATCH(Vertices[[#This Row],[Vertex]],GroupVertices[Vertex],0)),1,1,"")</f>
        <v>8</v>
      </c>
      <c r="AV34" s="49">
        <v>0</v>
      </c>
      <c r="AW34" s="50">
        <v>0</v>
      </c>
      <c r="AX34" s="49">
        <v>2</v>
      </c>
      <c r="AY34" s="50">
        <v>16.666666666666668</v>
      </c>
      <c r="AZ34" s="49">
        <v>0</v>
      </c>
      <c r="BA34" s="50">
        <v>0</v>
      </c>
      <c r="BB34" s="49">
        <v>10</v>
      </c>
      <c r="BC34" s="50">
        <v>83.33333333333333</v>
      </c>
      <c r="BD34" s="49">
        <v>12</v>
      </c>
      <c r="BE34" s="49"/>
      <c r="BF34" s="49"/>
      <c r="BG34" s="49"/>
      <c r="BH34" s="49"/>
      <c r="BI34" s="49"/>
      <c r="BJ34" s="49"/>
      <c r="BK34" s="111" t="s">
        <v>1492</v>
      </c>
      <c r="BL34" s="111" t="s">
        <v>1492</v>
      </c>
      <c r="BM34" s="111" t="s">
        <v>1557</v>
      </c>
      <c r="BN34" s="111" t="s">
        <v>1557</v>
      </c>
      <c r="BO34" s="2"/>
      <c r="BP34" s="3"/>
      <c r="BQ34" s="3"/>
      <c r="BR34" s="3"/>
      <c r="BS34" s="3"/>
    </row>
    <row r="35" spans="1:71" ht="15">
      <c r="A35" s="65" t="s">
        <v>358</v>
      </c>
      <c r="B35" s="66"/>
      <c r="C35" s="66"/>
      <c r="D35" s="67">
        <v>150</v>
      </c>
      <c r="E35" s="69"/>
      <c r="F35" s="103" t="str">
        <f>HYPERLINK("https://yt3.ggpht.com/ytc/AAUvwngJcep3bDt0_htETzaLHyiAVObHWIowrybOH13Q=s88-c-k-c0x00ffffff-no-rj")</f>
        <v>https://yt3.ggpht.com/ytc/AAUvwngJcep3bDt0_htETzaLHyiAVObHWIowrybOH13Q=s88-c-k-c0x00ffffff-no-rj</v>
      </c>
      <c r="G35" s="66"/>
      <c r="H35" s="70" t="s">
        <v>698</v>
      </c>
      <c r="I35" s="71"/>
      <c r="J35" s="71" t="s">
        <v>159</v>
      </c>
      <c r="K35" s="70" t="s">
        <v>698</v>
      </c>
      <c r="L35" s="74">
        <v>1</v>
      </c>
      <c r="M35" s="75">
        <v>2872.838623046875</v>
      </c>
      <c r="N35" s="75">
        <v>2893.44873046875</v>
      </c>
      <c r="O35" s="76"/>
      <c r="P35" s="77"/>
      <c r="Q35" s="77"/>
      <c r="R35" s="89"/>
      <c r="S35" s="49">
        <v>0</v>
      </c>
      <c r="T35" s="49">
        <v>1</v>
      </c>
      <c r="U35" s="50">
        <v>0</v>
      </c>
      <c r="V35" s="50">
        <v>0.003021</v>
      </c>
      <c r="W35" s="50">
        <v>0.007133</v>
      </c>
      <c r="X35" s="50">
        <v>0.515381</v>
      </c>
      <c r="Y35" s="50">
        <v>0</v>
      </c>
      <c r="Z35" s="50">
        <v>0</v>
      </c>
      <c r="AA35" s="72">
        <v>35</v>
      </c>
      <c r="AB35" s="72"/>
      <c r="AC35" s="73"/>
      <c r="AD35" s="80" t="s">
        <v>698</v>
      </c>
      <c r="AE35" s="80"/>
      <c r="AF35" s="80"/>
      <c r="AG35" s="80"/>
      <c r="AH35" s="80"/>
      <c r="AI35" s="80"/>
      <c r="AJ35" s="87">
        <v>44204.69186342593</v>
      </c>
      <c r="AK35" s="85" t="str">
        <f>HYPERLINK("https://yt3.ggpht.com/ytc/AAUvwngJcep3bDt0_htETzaLHyiAVObHWIowrybOH13Q=s88-c-k-c0x00ffffff-no-rj")</f>
        <v>https://yt3.ggpht.com/ytc/AAUvwngJcep3bDt0_htETzaLHyiAVObHWIowrybOH13Q=s88-c-k-c0x00ffffff-no-rj</v>
      </c>
      <c r="AL35" s="80">
        <v>0</v>
      </c>
      <c r="AM35" s="80">
        <v>0</v>
      </c>
      <c r="AN35" s="80">
        <v>1</v>
      </c>
      <c r="AO35" s="80" t="b">
        <v>0</v>
      </c>
      <c r="AP35" s="80">
        <v>0</v>
      </c>
      <c r="AQ35" s="80"/>
      <c r="AR35" s="80"/>
      <c r="AS35" s="80" t="s">
        <v>871</v>
      </c>
      <c r="AT35" s="85" t="str">
        <f>HYPERLINK("https://www.youtube.com/channel/UC9lCFBbUwe9g39h0aw0XLNQ")</f>
        <v>https://www.youtube.com/channel/UC9lCFBbUwe9g39h0aw0XLNQ</v>
      </c>
      <c r="AU35" s="80" t="str">
        <f>REPLACE(INDEX(GroupVertices[Group],MATCH(Vertices[[#This Row],[Vertex]],GroupVertices[Vertex],0)),1,1,"")</f>
        <v>1</v>
      </c>
      <c r="AV35" s="49">
        <v>1</v>
      </c>
      <c r="AW35" s="50">
        <v>50</v>
      </c>
      <c r="AX35" s="49">
        <v>1</v>
      </c>
      <c r="AY35" s="50">
        <v>50</v>
      </c>
      <c r="AZ35" s="49">
        <v>0</v>
      </c>
      <c r="BA35" s="50">
        <v>0</v>
      </c>
      <c r="BB35" s="49">
        <v>1</v>
      </c>
      <c r="BC35" s="50">
        <v>50</v>
      </c>
      <c r="BD35" s="49">
        <v>2</v>
      </c>
      <c r="BE35" s="49"/>
      <c r="BF35" s="49"/>
      <c r="BG35" s="49"/>
      <c r="BH35" s="49"/>
      <c r="BI35" s="49"/>
      <c r="BJ35" s="49"/>
      <c r="BK35" s="111" t="s">
        <v>1144</v>
      </c>
      <c r="BL35" s="111" t="s">
        <v>1144</v>
      </c>
      <c r="BM35" s="111" t="s">
        <v>843</v>
      </c>
      <c r="BN35" s="111" t="s">
        <v>843</v>
      </c>
      <c r="BO35" s="2"/>
      <c r="BP35" s="3"/>
      <c r="BQ35" s="3"/>
      <c r="BR35" s="3"/>
      <c r="BS35" s="3"/>
    </row>
    <row r="36" spans="1:71" ht="15">
      <c r="A36" s="65" t="s">
        <v>359</v>
      </c>
      <c r="B36" s="66"/>
      <c r="C36" s="66"/>
      <c r="D36" s="67">
        <v>150</v>
      </c>
      <c r="E36" s="69"/>
      <c r="F36" s="103" t="str">
        <f>HYPERLINK("https://yt3.ggpht.com/ytc/AAUvwniTMG5a2sx52C2lfe-W1e7567mCMNgYlGPjVw=s88-c-k-c0x00ffffff-no-rj")</f>
        <v>https://yt3.ggpht.com/ytc/AAUvwniTMG5a2sx52C2lfe-W1e7567mCMNgYlGPjVw=s88-c-k-c0x00ffffff-no-rj</v>
      </c>
      <c r="G36" s="66"/>
      <c r="H36" s="70" t="s">
        <v>699</v>
      </c>
      <c r="I36" s="71"/>
      <c r="J36" s="71" t="s">
        <v>159</v>
      </c>
      <c r="K36" s="70" t="s">
        <v>699</v>
      </c>
      <c r="L36" s="74">
        <v>1</v>
      </c>
      <c r="M36" s="75">
        <v>516.7620239257812</v>
      </c>
      <c r="N36" s="75">
        <v>6357.9951171875</v>
      </c>
      <c r="O36" s="76"/>
      <c r="P36" s="77"/>
      <c r="Q36" s="77"/>
      <c r="R36" s="89"/>
      <c r="S36" s="49">
        <v>0</v>
      </c>
      <c r="T36" s="49">
        <v>1</v>
      </c>
      <c r="U36" s="50">
        <v>0</v>
      </c>
      <c r="V36" s="50">
        <v>0.003021</v>
      </c>
      <c r="W36" s="50">
        <v>0.007133</v>
      </c>
      <c r="X36" s="50">
        <v>0.515381</v>
      </c>
      <c r="Y36" s="50">
        <v>0</v>
      </c>
      <c r="Z36" s="50">
        <v>0</v>
      </c>
      <c r="AA36" s="72">
        <v>36</v>
      </c>
      <c r="AB36" s="72"/>
      <c r="AC36" s="73"/>
      <c r="AD36" s="80" t="s">
        <v>699</v>
      </c>
      <c r="AE36" s="80"/>
      <c r="AF36" s="80"/>
      <c r="AG36" s="80"/>
      <c r="AH36" s="80"/>
      <c r="AI36" s="80"/>
      <c r="AJ36" s="87">
        <v>44092.76484953704</v>
      </c>
      <c r="AK36" s="85" t="str">
        <f>HYPERLINK("https://yt3.ggpht.com/ytc/AAUvwniTMG5a2sx52C2lfe-W1e7567mCMNgYlGPjVw=s88-c-k-c0x00ffffff-no-rj")</f>
        <v>https://yt3.ggpht.com/ytc/AAUvwniTMG5a2sx52C2lfe-W1e7567mCMNgYlGPjVw=s88-c-k-c0x00ffffff-no-rj</v>
      </c>
      <c r="AL36" s="80">
        <v>0</v>
      </c>
      <c r="AM36" s="80">
        <v>0</v>
      </c>
      <c r="AN36" s="80">
        <v>0</v>
      </c>
      <c r="AO36" s="80" t="b">
        <v>0</v>
      </c>
      <c r="AP36" s="80">
        <v>0</v>
      </c>
      <c r="AQ36" s="80"/>
      <c r="AR36" s="80"/>
      <c r="AS36" s="80" t="s">
        <v>871</v>
      </c>
      <c r="AT36" s="85" t="str">
        <f>HYPERLINK("https://www.youtube.com/channel/UC14Bw1lEduGx4Ier_6EFzFA")</f>
        <v>https://www.youtube.com/channel/UC14Bw1lEduGx4Ier_6EFzFA</v>
      </c>
      <c r="AU36" s="80" t="str">
        <f>REPLACE(INDEX(GroupVertices[Group],MATCH(Vertices[[#This Row],[Vertex]],GroupVertices[Vertex],0)),1,1,"")</f>
        <v>1</v>
      </c>
      <c r="AV36" s="49">
        <v>1</v>
      </c>
      <c r="AW36" s="50">
        <v>11.11111111111111</v>
      </c>
      <c r="AX36" s="49">
        <v>1</v>
      </c>
      <c r="AY36" s="50">
        <v>11.11111111111111</v>
      </c>
      <c r="AZ36" s="49">
        <v>0</v>
      </c>
      <c r="BA36" s="50">
        <v>0</v>
      </c>
      <c r="BB36" s="49">
        <v>7</v>
      </c>
      <c r="BC36" s="50">
        <v>77.77777777777777</v>
      </c>
      <c r="BD36" s="49">
        <v>9</v>
      </c>
      <c r="BE36" s="49"/>
      <c r="BF36" s="49"/>
      <c r="BG36" s="49"/>
      <c r="BH36" s="49"/>
      <c r="BI36" s="49"/>
      <c r="BJ36" s="49"/>
      <c r="BK36" s="111" t="s">
        <v>1325</v>
      </c>
      <c r="BL36" s="111" t="s">
        <v>1325</v>
      </c>
      <c r="BM36" s="111" t="s">
        <v>1395</v>
      </c>
      <c r="BN36" s="111" t="s">
        <v>1395</v>
      </c>
      <c r="BO36" s="2"/>
      <c r="BP36" s="3"/>
      <c r="BQ36" s="3"/>
      <c r="BR36" s="3"/>
      <c r="BS36" s="3"/>
    </row>
    <row r="37" spans="1:71" ht="15">
      <c r="A37" s="65" t="s">
        <v>360</v>
      </c>
      <c r="B37" s="66"/>
      <c r="C37" s="66"/>
      <c r="D37" s="67">
        <v>150</v>
      </c>
      <c r="E37" s="69"/>
      <c r="F37" s="103" t="str">
        <f>HYPERLINK("https://yt3.ggpht.com/ytc/AAUvwnhO-eGESJOy6MB3cTIvQg91S5-eh0G9Lydmtg=s88-c-k-c0x00ffffff-no-rj")</f>
        <v>https://yt3.ggpht.com/ytc/AAUvwnhO-eGESJOy6MB3cTIvQg91S5-eh0G9Lydmtg=s88-c-k-c0x00ffffff-no-rj</v>
      </c>
      <c r="G37" s="66"/>
      <c r="H37" s="70" t="s">
        <v>700</v>
      </c>
      <c r="I37" s="71"/>
      <c r="J37" s="71" t="s">
        <v>159</v>
      </c>
      <c r="K37" s="70" t="s">
        <v>700</v>
      </c>
      <c r="L37" s="74">
        <v>1</v>
      </c>
      <c r="M37" s="75">
        <v>1363.4517822265625</v>
      </c>
      <c r="N37" s="75">
        <v>1140.6258544921875</v>
      </c>
      <c r="O37" s="76"/>
      <c r="P37" s="77"/>
      <c r="Q37" s="77"/>
      <c r="R37" s="89"/>
      <c r="S37" s="49">
        <v>0</v>
      </c>
      <c r="T37" s="49">
        <v>1</v>
      </c>
      <c r="U37" s="50">
        <v>0</v>
      </c>
      <c r="V37" s="50">
        <v>0.003021</v>
      </c>
      <c r="W37" s="50">
        <v>0.007133</v>
      </c>
      <c r="X37" s="50">
        <v>0.515381</v>
      </c>
      <c r="Y37" s="50">
        <v>0</v>
      </c>
      <c r="Z37" s="50">
        <v>0</v>
      </c>
      <c r="AA37" s="72">
        <v>37</v>
      </c>
      <c r="AB37" s="72"/>
      <c r="AC37" s="73"/>
      <c r="AD37" s="80" t="s">
        <v>700</v>
      </c>
      <c r="AE37" s="80" t="s">
        <v>861</v>
      </c>
      <c r="AF37" s="80"/>
      <c r="AG37" s="80"/>
      <c r="AH37" s="80"/>
      <c r="AI37" s="80"/>
      <c r="AJ37" s="87">
        <v>44051.64331018519</v>
      </c>
      <c r="AK37" s="85" t="str">
        <f>HYPERLINK("https://yt3.ggpht.com/ytc/AAUvwnhO-eGESJOy6MB3cTIvQg91S5-eh0G9Lydmtg=s88-c-k-c0x00ffffff-no-rj")</f>
        <v>https://yt3.ggpht.com/ytc/AAUvwnhO-eGESJOy6MB3cTIvQg91S5-eh0G9Lydmtg=s88-c-k-c0x00ffffff-no-rj</v>
      </c>
      <c r="AL37" s="80">
        <v>0</v>
      </c>
      <c r="AM37" s="80">
        <v>0</v>
      </c>
      <c r="AN37" s="80">
        <v>0</v>
      </c>
      <c r="AO37" s="80" t="b">
        <v>0</v>
      </c>
      <c r="AP37" s="80">
        <v>0</v>
      </c>
      <c r="AQ37" s="80"/>
      <c r="AR37" s="80"/>
      <c r="AS37" s="80" t="s">
        <v>871</v>
      </c>
      <c r="AT37" s="85" t="str">
        <f>HYPERLINK("https://www.youtube.com/channel/UCpvC0AYTJDYzRx8Fo0Sjwng")</f>
        <v>https://www.youtube.com/channel/UCpvC0AYTJDYzRx8Fo0Sjwng</v>
      </c>
      <c r="AU37" s="80" t="str">
        <f>REPLACE(INDEX(GroupVertices[Group],MATCH(Vertices[[#This Row],[Vertex]],GroupVertices[Vertex],0)),1,1,"")</f>
        <v>1</v>
      </c>
      <c r="AV37" s="49">
        <v>1</v>
      </c>
      <c r="AW37" s="50">
        <v>5.555555555555555</v>
      </c>
      <c r="AX37" s="49">
        <v>2</v>
      </c>
      <c r="AY37" s="50">
        <v>11.11111111111111</v>
      </c>
      <c r="AZ37" s="49">
        <v>0</v>
      </c>
      <c r="BA37" s="50">
        <v>0</v>
      </c>
      <c r="BB37" s="49">
        <v>15</v>
      </c>
      <c r="BC37" s="50">
        <v>83.33333333333333</v>
      </c>
      <c r="BD37" s="49">
        <v>18</v>
      </c>
      <c r="BE37" s="49"/>
      <c r="BF37" s="49"/>
      <c r="BG37" s="49"/>
      <c r="BH37" s="49"/>
      <c r="BI37" s="49"/>
      <c r="BJ37" s="49"/>
      <c r="BK37" s="111" t="s">
        <v>1493</v>
      </c>
      <c r="BL37" s="111" t="s">
        <v>1493</v>
      </c>
      <c r="BM37" s="111" t="s">
        <v>1558</v>
      </c>
      <c r="BN37" s="111" t="s">
        <v>1558</v>
      </c>
      <c r="BO37" s="2"/>
      <c r="BP37" s="3"/>
      <c r="BQ37" s="3"/>
      <c r="BR37" s="3"/>
      <c r="BS37" s="3"/>
    </row>
    <row r="38" spans="1:71" ht="15">
      <c r="A38" s="65" t="s">
        <v>361</v>
      </c>
      <c r="B38" s="66"/>
      <c r="C38" s="66"/>
      <c r="D38" s="67">
        <v>150</v>
      </c>
      <c r="E38" s="69"/>
      <c r="F38" s="103" t="str">
        <f>HYPERLINK("https://yt3.ggpht.com/ytc/AAUvwngIJJ5NW5kkQ6Qekg-cC2Df4Ot11pJR3gISMQ=s88-c-k-c0x00ffffff-no-rj")</f>
        <v>https://yt3.ggpht.com/ytc/AAUvwngIJJ5NW5kkQ6Qekg-cC2Df4Ot11pJR3gISMQ=s88-c-k-c0x00ffffff-no-rj</v>
      </c>
      <c r="G38" s="66"/>
      <c r="H38" s="70" t="s">
        <v>701</v>
      </c>
      <c r="I38" s="71"/>
      <c r="J38" s="71" t="s">
        <v>159</v>
      </c>
      <c r="K38" s="70" t="s">
        <v>701</v>
      </c>
      <c r="L38" s="74">
        <v>1</v>
      </c>
      <c r="M38" s="75">
        <v>1084.2261962890625</v>
      </c>
      <c r="N38" s="75">
        <v>6912.5693359375</v>
      </c>
      <c r="O38" s="76"/>
      <c r="P38" s="77"/>
      <c r="Q38" s="77"/>
      <c r="R38" s="89"/>
      <c r="S38" s="49">
        <v>0</v>
      </c>
      <c r="T38" s="49">
        <v>1</v>
      </c>
      <c r="U38" s="50">
        <v>0</v>
      </c>
      <c r="V38" s="50">
        <v>0.003021</v>
      </c>
      <c r="W38" s="50">
        <v>0.007133</v>
      </c>
      <c r="X38" s="50">
        <v>0.515381</v>
      </c>
      <c r="Y38" s="50">
        <v>0</v>
      </c>
      <c r="Z38" s="50">
        <v>0</v>
      </c>
      <c r="AA38" s="72">
        <v>38</v>
      </c>
      <c r="AB38" s="72"/>
      <c r="AC38" s="73"/>
      <c r="AD38" s="80" t="s">
        <v>701</v>
      </c>
      <c r="AE38" s="80"/>
      <c r="AF38" s="80"/>
      <c r="AG38" s="80"/>
      <c r="AH38" s="80"/>
      <c r="AI38" s="80"/>
      <c r="AJ38" s="87">
        <v>40880.38023148148</v>
      </c>
      <c r="AK38" s="85" t="str">
        <f>HYPERLINK("https://yt3.ggpht.com/ytc/AAUvwngIJJ5NW5kkQ6Qekg-cC2Df4Ot11pJR3gISMQ=s88-c-k-c0x00ffffff-no-rj")</f>
        <v>https://yt3.ggpht.com/ytc/AAUvwngIJJ5NW5kkQ6Qekg-cC2Df4Ot11pJR3gISMQ=s88-c-k-c0x00ffffff-no-rj</v>
      </c>
      <c r="AL38" s="80">
        <v>0</v>
      </c>
      <c r="AM38" s="80">
        <v>0</v>
      </c>
      <c r="AN38" s="80">
        <v>0</v>
      </c>
      <c r="AO38" s="80" t="b">
        <v>0</v>
      </c>
      <c r="AP38" s="80">
        <v>0</v>
      </c>
      <c r="AQ38" s="80"/>
      <c r="AR38" s="80"/>
      <c r="AS38" s="80" t="s">
        <v>871</v>
      </c>
      <c r="AT38" s="85" t="str">
        <f>HYPERLINK("https://www.youtube.com/channel/UCBZhB7BmkDyoSkITH78tBJg")</f>
        <v>https://www.youtube.com/channel/UCBZhB7BmkDyoSkITH78tBJg</v>
      </c>
      <c r="AU38" s="80" t="str">
        <f>REPLACE(INDEX(GroupVertices[Group],MATCH(Vertices[[#This Row],[Vertex]],GroupVertices[Vertex],0)),1,1,"")</f>
        <v>1</v>
      </c>
      <c r="AV38" s="49">
        <v>1</v>
      </c>
      <c r="AW38" s="50">
        <v>100</v>
      </c>
      <c r="AX38" s="49">
        <v>1</v>
      </c>
      <c r="AY38" s="50">
        <v>100</v>
      </c>
      <c r="AZ38" s="49">
        <v>0</v>
      </c>
      <c r="BA38" s="50">
        <v>0</v>
      </c>
      <c r="BB38" s="49">
        <v>0</v>
      </c>
      <c r="BC38" s="50">
        <v>0</v>
      </c>
      <c r="BD38" s="49">
        <v>1</v>
      </c>
      <c r="BE38" s="49"/>
      <c r="BF38" s="49"/>
      <c r="BG38" s="49"/>
      <c r="BH38" s="49"/>
      <c r="BI38" s="49"/>
      <c r="BJ38" s="49"/>
      <c r="BK38" s="111" t="s">
        <v>1144</v>
      </c>
      <c r="BL38" s="111" t="s">
        <v>1144</v>
      </c>
      <c r="BM38" s="111" t="s">
        <v>843</v>
      </c>
      <c r="BN38" s="111" t="s">
        <v>843</v>
      </c>
      <c r="BO38" s="2"/>
      <c r="BP38" s="3"/>
      <c r="BQ38" s="3"/>
      <c r="BR38" s="3"/>
      <c r="BS38" s="3"/>
    </row>
    <row r="39" spans="1:71" ht="15">
      <c r="A39" s="65" t="s">
        <v>362</v>
      </c>
      <c r="B39" s="66"/>
      <c r="C39" s="66"/>
      <c r="D39" s="67">
        <v>150</v>
      </c>
      <c r="E39" s="69"/>
      <c r="F39" s="103" t="str">
        <f>HYPERLINK("https://yt3.ggpht.com/ytc/AAUvwnh8zcUM15h4-y0vigMHKCUdbCuQofrXaLmAMA=s88-c-k-c0x00ffffff-no-rj")</f>
        <v>https://yt3.ggpht.com/ytc/AAUvwnh8zcUM15h4-y0vigMHKCUdbCuQofrXaLmAMA=s88-c-k-c0x00ffffff-no-rj</v>
      </c>
      <c r="G39" s="66"/>
      <c r="H39" s="70" t="s">
        <v>702</v>
      </c>
      <c r="I39" s="71"/>
      <c r="J39" s="71" t="s">
        <v>159</v>
      </c>
      <c r="K39" s="70" t="s">
        <v>702</v>
      </c>
      <c r="L39" s="74">
        <v>1</v>
      </c>
      <c r="M39" s="75">
        <v>9542.5703125</v>
      </c>
      <c r="N39" s="75">
        <v>3312.530029296875</v>
      </c>
      <c r="O39" s="76"/>
      <c r="P39" s="77"/>
      <c r="Q39" s="77"/>
      <c r="R39" s="89"/>
      <c r="S39" s="49">
        <v>0</v>
      </c>
      <c r="T39" s="49">
        <v>1</v>
      </c>
      <c r="U39" s="50">
        <v>0</v>
      </c>
      <c r="V39" s="50">
        <v>0.002083</v>
      </c>
      <c r="W39" s="50">
        <v>0.000613</v>
      </c>
      <c r="X39" s="50">
        <v>0.577748</v>
      </c>
      <c r="Y39" s="50">
        <v>0</v>
      </c>
      <c r="Z39" s="50">
        <v>0</v>
      </c>
      <c r="AA39" s="72">
        <v>39</v>
      </c>
      <c r="AB39" s="72"/>
      <c r="AC39" s="73"/>
      <c r="AD39" s="80" t="s">
        <v>702</v>
      </c>
      <c r="AE39" s="80"/>
      <c r="AF39" s="80"/>
      <c r="AG39" s="80"/>
      <c r="AH39" s="80"/>
      <c r="AI39" s="80"/>
      <c r="AJ39" s="87">
        <v>43396.868483796294</v>
      </c>
      <c r="AK39" s="85" t="str">
        <f>HYPERLINK("https://yt3.ggpht.com/ytc/AAUvwnh8zcUM15h4-y0vigMHKCUdbCuQofrXaLmAMA=s88-c-k-c0x00ffffff-no-rj")</f>
        <v>https://yt3.ggpht.com/ytc/AAUvwnh8zcUM15h4-y0vigMHKCUdbCuQofrXaLmAMA=s88-c-k-c0x00ffffff-no-rj</v>
      </c>
      <c r="AL39" s="80">
        <v>0</v>
      </c>
      <c r="AM39" s="80">
        <v>0</v>
      </c>
      <c r="AN39" s="80">
        <v>0</v>
      </c>
      <c r="AO39" s="80" t="b">
        <v>0</v>
      </c>
      <c r="AP39" s="80">
        <v>0</v>
      </c>
      <c r="AQ39" s="80"/>
      <c r="AR39" s="80"/>
      <c r="AS39" s="80" t="s">
        <v>871</v>
      </c>
      <c r="AT39" s="85" t="str">
        <f>HYPERLINK("https://www.youtube.com/channel/UCDnbk1vF_Xsm-Aez4PiQJmg")</f>
        <v>https://www.youtube.com/channel/UCDnbk1vF_Xsm-Aez4PiQJmg</v>
      </c>
      <c r="AU39" s="80" t="str">
        <f>REPLACE(INDEX(GroupVertices[Group],MATCH(Vertices[[#This Row],[Vertex]],GroupVertices[Vertex],0)),1,1,"")</f>
        <v>16</v>
      </c>
      <c r="AV39" s="49">
        <v>2</v>
      </c>
      <c r="AW39" s="50">
        <v>11.764705882352942</v>
      </c>
      <c r="AX39" s="49">
        <v>0</v>
      </c>
      <c r="AY39" s="50">
        <v>0</v>
      </c>
      <c r="AZ39" s="49">
        <v>0</v>
      </c>
      <c r="BA39" s="50">
        <v>0</v>
      </c>
      <c r="BB39" s="49">
        <v>15</v>
      </c>
      <c r="BC39" s="50">
        <v>88.23529411764706</v>
      </c>
      <c r="BD39" s="49">
        <v>17</v>
      </c>
      <c r="BE39" s="49"/>
      <c r="BF39" s="49"/>
      <c r="BG39" s="49"/>
      <c r="BH39" s="49"/>
      <c r="BI39" s="49"/>
      <c r="BJ39" s="49"/>
      <c r="BK39" s="111" t="s">
        <v>1494</v>
      </c>
      <c r="BL39" s="111" t="s">
        <v>1494</v>
      </c>
      <c r="BM39" s="111" t="s">
        <v>1559</v>
      </c>
      <c r="BN39" s="111" t="s">
        <v>1559</v>
      </c>
      <c r="BO39" s="2"/>
      <c r="BP39" s="3"/>
      <c r="BQ39" s="3"/>
      <c r="BR39" s="3"/>
      <c r="BS39" s="3"/>
    </row>
    <row r="40" spans="1:71" ht="15">
      <c r="A40" s="65" t="s">
        <v>363</v>
      </c>
      <c r="B40" s="66"/>
      <c r="C40" s="66"/>
      <c r="D40" s="67">
        <v>362.5</v>
      </c>
      <c r="E40" s="69"/>
      <c r="F40" s="103" t="str">
        <f>HYPERLINK("https://yt3.ggpht.com/ytc/AAUvwniEBnRZrdlJy2JnrovWqzIK0IgICJ_l0vWzZQ=s88-c-k-c0x00ffffff-no-rj")</f>
        <v>https://yt3.ggpht.com/ytc/AAUvwniEBnRZrdlJy2JnrovWqzIK0IgICJ_l0vWzZQ=s88-c-k-c0x00ffffff-no-rj</v>
      </c>
      <c r="G40" s="66"/>
      <c r="H40" s="70" t="s">
        <v>703</v>
      </c>
      <c r="I40" s="71"/>
      <c r="J40" s="71" t="s">
        <v>159</v>
      </c>
      <c r="K40" s="70" t="s">
        <v>703</v>
      </c>
      <c r="L40" s="74">
        <v>80.984</v>
      </c>
      <c r="M40" s="75">
        <v>9542.5703125</v>
      </c>
      <c r="N40" s="75">
        <v>2597.28369140625</v>
      </c>
      <c r="O40" s="76"/>
      <c r="P40" s="77"/>
      <c r="Q40" s="77"/>
      <c r="R40" s="89"/>
      <c r="S40" s="49">
        <v>1</v>
      </c>
      <c r="T40" s="49">
        <v>1</v>
      </c>
      <c r="U40" s="50">
        <v>302</v>
      </c>
      <c r="V40" s="50">
        <v>0.00304</v>
      </c>
      <c r="W40" s="50">
        <v>0.007186</v>
      </c>
      <c r="X40" s="50">
        <v>1.006466</v>
      </c>
      <c r="Y40" s="50">
        <v>0</v>
      </c>
      <c r="Z40" s="50">
        <v>0</v>
      </c>
      <c r="AA40" s="72">
        <v>40</v>
      </c>
      <c r="AB40" s="72"/>
      <c r="AC40" s="73"/>
      <c r="AD40" s="80" t="s">
        <v>703</v>
      </c>
      <c r="AE40" s="80"/>
      <c r="AF40" s="80"/>
      <c r="AG40" s="80"/>
      <c r="AH40" s="80"/>
      <c r="AI40" s="80"/>
      <c r="AJ40" s="87">
        <v>44165.616736111115</v>
      </c>
      <c r="AK40" s="85" t="str">
        <f>HYPERLINK("https://yt3.ggpht.com/ytc/AAUvwniEBnRZrdlJy2JnrovWqzIK0IgICJ_l0vWzZQ=s88-c-k-c0x00ffffff-no-rj")</f>
        <v>https://yt3.ggpht.com/ytc/AAUvwniEBnRZrdlJy2JnrovWqzIK0IgICJ_l0vWzZQ=s88-c-k-c0x00ffffff-no-rj</v>
      </c>
      <c r="AL40" s="80">
        <v>0</v>
      </c>
      <c r="AM40" s="80">
        <v>0</v>
      </c>
      <c r="AN40" s="80">
        <v>0</v>
      </c>
      <c r="AO40" s="80" t="b">
        <v>0</v>
      </c>
      <c r="AP40" s="80">
        <v>0</v>
      </c>
      <c r="AQ40" s="80"/>
      <c r="AR40" s="80"/>
      <c r="AS40" s="80" t="s">
        <v>871</v>
      </c>
      <c r="AT40" s="85" t="str">
        <f>HYPERLINK("https://www.youtube.com/channel/UCBi2S797df91VqaRzGfntUA")</f>
        <v>https://www.youtube.com/channel/UCBi2S797df91VqaRzGfntUA</v>
      </c>
      <c r="AU40" s="80" t="str">
        <f>REPLACE(INDEX(GroupVertices[Group],MATCH(Vertices[[#This Row],[Vertex]],GroupVertices[Vertex],0)),1,1,"")</f>
        <v>16</v>
      </c>
      <c r="AV40" s="49">
        <v>6</v>
      </c>
      <c r="AW40" s="50">
        <v>11.11111111111111</v>
      </c>
      <c r="AX40" s="49">
        <v>6</v>
      </c>
      <c r="AY40" s="50">
        <v>11.11111111111111</v>
      </c>
      <c r="AZ40" s="49">
        <v>0</v>
      </c>
      <c r="BA40" s="50">
        <v>0</v>
      </c>
      <c r="BB40" s="49">
        <v>47</v>
      </c>
      <c r="BC40" s="50">
        <v>87.03703703703704</v>
      </c>
      <c r="BD40" s="49">
        <v>54</v>
      </c>
      <c r="BE40" s="49"/>
      <c r="BF40" s="49"/>
      <c r="BG40" s="49"/>
      <c r="BH40" s="49"/>
      <c r="BI40" s="49"/>
      <c r="BJ40" s="49"/>
      <c r="BK40" s="111" t="s">
        <v>1326</v>
      </c>
      <c r="BL40" s="111" t="s">
        <v>1326</v>
      </c>
      <c r="BM40" s="111" t="s">
        <v>1396</v>
      </c>
      <c r="BN40" s="111" t="s">
        <v>1396</v>
      </c>
      <c r="BO40" s="2"/>
      <c r="BP40" s="3"/>
      <c r="BQ40" s="3"/>
      <c r="BR40" s="3"/>
      <c r="BS40" s="3"/>
    </row>
    <row r="41" spans="1:71" ht="15">
      <c r="A41" s="65" t="s">
        <v>364</v>
      </c>
      <c r="B41" s="66"/>
      <c r="C41" s="66"/>
      <c r="D41" s="67">
        <v>150</v>
      </c>
      <c r="E41" s="69"/>
      <c r="F41" s="103" t="str">
        <f>HYPERLINK("https://yt3.ggpht.com/ytc/AAUvwnhTllULx_JHygpxoRdDGpmcduP6CxKhZy_QQw=s88-c-k-c0x00ffffff-no-rj")</f>
        <v>https://yt3.ggpht.com/ytc/AAUvwnhTllULx_JHygpxoRdDGpmcduP6CxKhZy_QQw=s88-c-k-c0x00ffffff-no-rj</v>
      </c>
      <c r="G41" s="66"/>
      <c r="H41" s="70" t="s">
        <v>704</v>
      </c>
      <c r="I41" s="71"/>
      <c r="J41" s="71" t="s">
        <v>159</v>
      </c>
      <c r="K41" s="70" t="s">
        <v>704</v>
      </c>
      <c r="L41" s="74">
        <v>1</v>
      </c>
      <c r="M41" s="75">
        <v>6095.62939453125</v>
      </c>
      <c r="N41" s="75">
        <v>2459.982177734375</v>
      </c>
      <c r="O41" s="76"/>
      <c r="P41" s="77"/>
      <c r="Q41" s="77"/>
      <c r="R41" s="89"/>
      <c r="S41" s="49">
        <v>0</v>
      </c>
      <c r="T41" s="49">
        <v>1</v>
      </c>
      <c r="U41" s="50">
        <v>0</v>
      </c>
      <c r="V41" s="50">
        <v>0.003021</v>
      </c>
      <c r="W41" s="50">
        <v>0.007133</v>
      </c>
      <c r="X41" s="50">
        <v>0.515381</v>
      </c>
      <c r="Y41" s="50">
        <v>0</v>
      </c>
      <c r="Z41" s="50">
        <v>0</v>
      </c>
      <c r="AA41" s="72">
        <v>41</v>
      </c>
      <c r="AB41" s="72"/>
      <c r="AC41" s="73"/>
      <c r="AD41" s="80" t="s">
        <v>704</v>
      </c>
      <c r="AE41" s="80"/>
      <c r="AF41" s="80"/>
      <c r="AG41" s="80"/>
      <c r="AH41" s="80"/>
      <c r="AI41" s="80"/>
      <c r="AJ41" s="87">
        <v>42163.32465277778</v>
      </c>
      <c r="AK41" s="85" t="str">
        <f>HYPERLINK("https://yt3.ggpht.com/ytc/AAUvwnhTllULx_JHygpxoRdDGpmcduP6CxKhZy_QQw=s88-c-k-c0x00ffffff-no-rj")</f>
        <v>https://yt3.ggpht.com/ytc/AAUvwnhTllULx_JHygpxoRdDGpmcduP6CxKhZy_QQw=s88-c-k-c0x00ffffff-no-rj</v>
      </c>
      <c r="AL41" s="80">
        <v>0</v>
      </c>
      <c r="AM41" s="80">
        <v>0</v>
      </c>
      <c r="AN41" s="80">
        <v>2</v>
      </c>
      <c r="AO41" s="80" t="b">
        <v>0</v>
      </c>
      <c r="AP41" s="80">
        <v>0</v>
      </c>
      <c r="AQ41" s="80"/>
      <c r="AR41" s="80"/>
      <c r="AS41" s="80" t="s">
        <v>871</v>
      </c>
      <c r="AT41" s="85" t="str">
        <f>HYPERLINK("https://www.youtube.com/channel/UCFi5-VNJF_wWECWQug1R2rg")</f>
        <v>https://www.youtube.com/channel/UCFi5-VNJF_wWECWQug1R2rg</v>
      </c>
      <c r="AU41" s="80" t="str">
        <f>REPLACE(INDEX(GroupVertices[Group],MATCH(Vertices[[#This Row],[Vertex]],GroupVertices[Vertex],0)),1,1,"")</f>
        <v>1</v>
      </c>
      <c r="AV41" s="49">
        <v>2</v>
      </c>
      <c r="AW41" s="50">
        <v>5.882352941176471</v>
      </c>
      <c r="AX41" s="49">
        <v>1</v>
      </c>
      <c r="AY41" s="50">
        <v>2.9411764705882355</v>
      </c>
      <c r="AZ41" s="49">
        <v>0</v>
      </c>
      <c r="BA41" s="50">
        <v>0</v>
      </c>
      <c r="BB41" s="49">
        <v>31</v>
      </c>
      <c r="BC41" s="50">
        <v>91.17647058823529</v>
      </c>
      <c r="BD41" s="49">
        <v>34</v>
      </c>
      <c r="BE41" s="49"/>
      <c r="BF41" s="49"/>
      <c r="BG41" s="49"/>
      <c r="BH41" s="49"/>
      <c r="BI41" s="49"/>
      <c r="BJ41" s="49"/>
      <c r="BK41" s="111" t="s">
        <v>1495</v>
      </c>
      <c r="BL41" s="111" t="s">
        <v>1495</v>
      </c>
      <c r="BM41" s="111" t="s">
        <v>1560</v>
      </c>
      <c r="BN41" s="111" t="s">
        <v>1560</v>
      </c>
      <c r="BO41" s="2"/>
      <c r="BP41" s="3"/>
      <c r="BQ41" s="3"/>
      <c r="BR41" s="3"/>
      <c r="BS41" s="3"/>
    </row>
    <row r="42" spans="1:71" ht="15">
      <c r="A42" s="65" t="s">
        <v>365</v>
      </c>
      <c r="B42" s="66"/>
      <c r="C42" s="66"/>
      <c r="D42" s="67">
        <v>150</v>
      </c>
      <c r="E42" s="69"/>
      <c r="F42" s="103" t="str">
        <f>HYPERLINK("https://yt3.ggpht.com/ytc/AAUvwniLALdsIZdQgpAbrQHMT7HOZYor2-eOeLnWNw=s88-c-k-c0x00ffffff-no-rj")</f>
        <v>https://yt3.ggpht.com/ytc/AAUvwniLALdsIZdQgpAbrQHMT7HOZYor2-eOeLnWNw=s88-c-k-c0x00ffffff-no-rj</v>
      </c>
      <c r="G42" s="66"/>
      <c r="H42" s="70" t="s">
        <v>705</v>
      </c>
      <c r="I42" s="71"/>
      <c r="J42" s="71" t="s">
        <v>159</v>
      </c>
      <c r="K42" s="70" t="s">
        <v>705</v>
      </c>
      <c r="L42" s="74">
        <v>1</v>
      </c>
      <c r="M42" s="75">
        <v>5539.537109375</v>
      </c>
      <c r="N42" s="75">
        <v>1392.015380859375</v>
      </c>
      <c r="O42" s="76"/>
      <c r="P42" s="77"/>
      <c r="Q42" s="77"/>
      <c r="R42" s="89"/>
      <c r="S42" s="49">
        <v>0</v>
      </c>
      <c r="T42" s="49">
        <v>1</v>
      </c>
      <c r="U42" s="50">
        <v>0</v>
      </c>
      <c r="V42" s="50">
        <v>0.003021</v>
      </c>
      <c r="W42" s="50">
        <v>0.007133</v>
      </c>
      <c r="X42" s="50">
        <v>0.515381</v>
      </c>
      <c r="Y42" s="50">
        <v>0</v>
      </c>
      <c r="Z42" s="50">
        <v>0</v>
      </c>
      <c r="AA42" s="72">
        <v>42</v>
      </c>
      <c r="AB42" s="72"/>
      <c r="AC42" s="73"/>
      <c r="AD42" s="80" t="s">
        <v>705</v>
      </c>
      <c r="AE42" s="80"/>
      <c r="AF42" s="80"/>
      <c r="AG42" s="80"/>
      <c r="AH42" s="80"/>
      <c r="AI42" s="80"/>
      <c r="AJ42" s="87">
        <v>44256.317083333335</v>
      </c>
      <c r="AK42" s="85" t="str">
        <f>HYPERLINK("https://yt3.ggpht.com/ytc/AAUvwniLALdsIZdQgpAbrQHMT7HOZYor2-eOeLnWNw=s88-c-k-c0x00ffffff-no-rj")</f>
        <v>https://yt3.ggpht.com/ytc/AAUvwniLALdsIZdQgpAbrQHMT7HOZYor2-eOeLnWNw=s88-c-k-c0x00ffffff-no-rj</v>
      </c>
      <c r="AL42" s="80">
        <v>0</v>
      </c>
      <c r="AM42" s="80">
        <v>0</v>
      </c>
      <c r="AN42" s="80">
        <v>0</v>
      </c>
      <c r="AO42" s="80" t="b">
        <v>0</v>
      </c>
      <c r="AP42" s="80">
        <v>0</v>
      </c>
      <c r="AQ42" s="80"/>
      <c r="AR42" s="80"/>
      <c r="AS42" s="80" t="s">
        <v>871</v>
      </c>
      <c r="AT42" s="85" t="str">
        <f>HYPERLINK("https://www.youtube.com/channel/UCmyT5zEwZIom3D-P8z41MaA")</f>
        <v>https://www.youtube.com/channel/UCmyT5zEwZIom3D-P8z41MaA</v>
      </c>
      <c r="AU42" s="80" t="str">
        <f>REPLACE(INDEX(GroupVertices[Group],MATCH(Vertices[[#This Row],[Vertex]],GroupVertices[Vertex],0)),1,1,"")</f>
        <v>1</v>
      </c>
      <c r="AV42" s="49">
        <v>1</v>
      </c>
      <c r="AW42" s="50">
        <v>33.333333333333336</v>
      </c>
      <c r="AX42" s="49">
        <v>0</v>
      </c>
      <c r="AY42" s="50">
        <v>0</v>
      </c>
      <c r="AZ42" s="49">
        <v>0</v>
      </c>
      <c r="BA42" s="50">
        <v>0</v>
      </c>
      <c r="BB42" s="49">
        <v>2</v>
      </c>
      <c r="BC42" s="50">
        <v>66.66666666666667</v>
      </c>
      <c r="BD42" s="49">
        <v>3</v>
      </c>
      <c r="BE42" s="49"/>
      <c r="BF42" s="49"/>
      <c r="BG42" s="49"/>
      <c r="BH42" s="49"/>
      <c r="BI42" s="49"/>
      <c r="BJ42" s="49"/>
      <c r="BK42" s="111" t="s">
        <v>1311</v>
      </c>
      <c r="BL42" s="111" t="s">
        <v>1311</v>
      </c>
      <c r="BM42" s="111" t="s">
        <v>1276</v>
      </c>
      <c r="BN42" s="111" t="s">
        <v>1276</v>
      </c>
      <c r="BO42" s="2"/>
      <c r="BP42" s="3"/>
      <c r="BQ42" s="3"/>
      <c r="BR42" s="3"/>
      <c r="BS42" s="3"/>
    </row>
    <row r="43" spans="1:71" ht="15">
      <c r="A43" s="65" t="s">
        <v>366</v>
      </c>
      <c r="B43" s="66"/>
      <c r="C43" s="66"/>
      <c r="D43" s="67">
        <v>150</v>
      </c>
      <c r="E43" s="69"/>
      <c r="F43" s="103" t="str">
        <f>HYPERLINK("https://yt3.ggpht.com/ytc/AAUvwngJMsKCcNVfb9dPLvh3X8XOaL5v651pyl6exw=s88-c-k-c0x00ffffff-no-rj")</f>
        <v>https://yt3.ggpht.com/ytc/AAUvwngJMsKCcNVfb9dPLvh3X8XOaL5v651pyl6exw=s88-c-k-c0x00ffffff-no-rj</v>
      </c>
      <c r="G43" s="66"/>
      <c r="H43" s="70" t="s">
        <v>706</v>
      </c>
      <c r="I43" s="71"/>
      <c r="J43" s="71" t="s">
        <v>159</v>
      </c>
      <c r="K43" s="70" t="s">
        <v>706</v>
      </c>
      <c r="L43" s="74">
        <v>1</v>
      </c>
      <c r="M43" s="75">
        <v>228.22708129882812</v>
      </c>
      <c r="N43" s="75">
        <v>3836.95947265625</v>
      </c>
      <c r="O43" s="76"/>
      <c r="P43" s="77"/>
      <c r="Q43" s="77"/>
      <c r="R43" s="89"/>
      <c r="S43" s="49">
        <v>0</v>
      </c>
      <c r="T43" s="49">
        <v>1</v>
      </c>
      <c r="U43" s="50">
        <v>0</v>
      </c>
      <c r="V43" s="50">
        <v>0.003021</v>
      </c>
      <c r="W43" s="50">
        <v>0.007133</v>
      </c>
      <c r="X43" s="50">
        <v>0.515381</v>
      </c>
      <c r="Y43" s="50">
        <v>0</v>
      </c>
      <c r="Z43" s="50">
        <v>0</v>
      </c>
      <c r="AA43" s="72">
        <v>43</v>
      </c>
      <c r="AB43" s="72"/>
      <c r="AC43" s="73"/>
      <c r="AD43" s="80" t="s">
        <v>706</v>
      </c>
      <c r="AE43" s="80"/>
      <c r="AF43" s="80"/>
      <c r="AG43" s="80"/>
      <c r="AH43" s="80"/>
      <c r="AI43" s="80"/>
      <c r="AJ43" s="87">
        <v>41420.04861111111</v>
      </c>
      <c r="AK43" s="85" t="str">
        <f>HYPERLINK("https://yt3.ggpht.com/ytc/AAUvwngJMsKCcNVfb9dPLvh3X8XOaL5v651pyl6exw=s88-c-k-c0x00ffffff-no-rj")</f>
        <v>https://yt3.ggpht.com/ytc/AAUvwngJMsKCcNVfb9dPLvh3X8XOaL5v651pyl6exw=s88-c-k-c0x00ffffff-no-rj</v>
      </c>
      <c r="AL43" s="80">
        <v>0</v>
      </c>
      <c r="AM43" s="80">
        <v>0</v>
      </c>
      <c r="AN43" s="80">
        <v>1</v>
      </c>
      <c r="AO43" s="80" t="b">
        <v>0</v>
      </c>
      <c r="AP43" s="80">
        <v>0</v>
      </c>
      <c r="AQ43" s="80"/>
      <c r="AR43" s="80"/>
      <c r="AS43" s="80" t="s">
        <v>871</v>
      </c>
      <c r="AT43" s="85" t="str">
        <f>HYPERLINK("https://www.youtube.com/channel/UCC1EVCiajteJsViVrJzvf9g")</f>
        <v>https://www.youtube.com/channel/UCC1EVCiajteJsViVrJzvf9g</v>
      </c>
      <c r="AU43" s="80" t="str">
        <f>REPLACE(INDEX(GroupVertices[Group],MATCH(Vertices[[#This Row],[Vertex]],GroupVertices[Vertex],0)),1,1,"")</f>
        <v>1</v>
      </c>
      <c r="AV43" s="49">
        <v>1</v>
      </c>
      <c r="AW43" s="50">
        <v>6.666666666666667</v>
      </c>
      <c r="AX43" s="49">
        <v>0</v>
      </c>
      <c r="AY43" s="50">
        <v>0</v>
      </c>
      <c r="AZ43" s="49">
        <v>0</v>
      </c>
      <c r="BA43" s="50">
        <v>0</v>
      </c>
      <c r="BB43" s="49">
        <v>14</v>
      </c>
      <c r="BC43" s="50">
        <v>93.33333333333333</v>
      </c>
      <c r="BD43" s="49">
        <v>15</v>
      </c>
      <c r="BE43" s="49"/>
      <c r="BF43" s="49"/>
      <c r="BG43" s="49"/>
      <c r="BH43" s="49"/>
      <c r="BI43" s="49"/>
      <c r="BJ43" s="49"/>
      <c r="BK43" s="111" t="s">
        <v>1327</v>
      </c>
      <c r="BL43" s="111" t="s">
        <v>1327</v>
      </c>
      <c r="BM43" s="111" t="s">
        <v>1397</v>
      </c>
      <c r="BN43" s="111" t="s">
        <v>1397</v>
      </c>
      <c r="BO43" s="2"/>
      <c r="BP43" s="3"/>
      <c r="BQ43" s="3"/>
      <c r="BR43" s="3"/>
      <c r="BS43" s="3"/>
    </row>
    <row r="44" spans="1:71" ht="15">
      <c r="A44" s="65" t="s">
        <v>367</v>
      </c>
      <c r="B44" s="66"/>
      <c r="C44" s="66"/>
      <c r="D44" s="67">
        <v>150</v>
      </c>
      <c r="E44" s="69"/>
      <c r="F44" s="103" t="str">
        <f>HYPERLINK("https://yt3.ggpht.com/ytc/AAUvwnhZFbRL0gZs6KELt41KgvwAJA0G3GT2U0VmUA=s88-c-k-c0x00ffffff-no-rj")</f>
        <v>https://yt3.ggpht.com/ytc/AAUvwnhZFbRL0gZs6KELt41KgvwAJA0G3GT2U0VmUA=s88-c-k-c0x00ffffff-no-rj</v>
      </c>
      <c r="G44" s="66"/>
      <c r="H44" s="70" t="s">
        <v>707</v>
      </c>
      <c r="I44" s="71"/>
      <c r="J44" s="71" t="s">
        <v>159</v>
      </c>
      <c r="K44" s="70" t="s">
        <v>707</v>
      </c>
      <c r="L44" s="74">
        <v>1</v>
      </c>
      <c r="M44" s="75">
        <v>5785.22314453125</v>
      </c>
      <c r="N44" s="75">
        <v>5051.52587890625</v>
      </c>
      <c r="O44" s="76"/>
      <c r="P44" s="77"/>
      <c r="Q44" s="77"/>
      <c r="R44" s="89"/>
      <c r="S44" s="49">
        <v>0</v>
      </c>
      <c r="T44" s="49">
        <v>1</v>
      </c>
      <c r="U44" s="50">
        <v>0</v>
      </c>
      <c r="V44" s="50">
        <v>0.003021</v>
      </c>
      <c r="W44" s="50">
        <v>0.007133</v>
      </c>
      <c r="X44" s="50">
        <v>0.515381</v>
      </c>
      <c r="Y44" s="50">
        <v>0</v>
      </c>
      <c r="Z44" s="50">
        <v>0</v>
      </c>
      <c r="AA44" s="72">
        <v>44</v>
      </c>
      <c r="AB44" s="72"/>
      <c r="AC44" s="73"/>
      <c r="AD44" s="80" t="s">
        <v>707</v>
      </c>
      <c r="AE44" s="80"/>
      <c r="AF44" s="80"/>
      <c r="AG44" s="80"/>
      <c r="AH44" s="80"/>
      <c r="AI44" s="80"/>
      <c r="AJ44" s="87">
        <v>43703.86415509259</v>
      </c>
      <c r="AK44" s="85" t="str">
        <f>HYPERLINK("https://yt3.ggpht.com/ytc/AAUvwnhZFbRL0gZs6KELt41KgvwAJA0G3GT2U0VmUA=s88-c-k-c0x00ffffff-no-rj")</f>
        <v>https://yt3.ggpht.com/ytc/AAUvwnhZFbRL0gZs6KELt41KgvwAJA0G3GT2U0VmUA=s88-c-k-c0x00ffffff-no-rj</v>
      </c>
      <c r="AL44" s="80">
        <v>0</v>
      </c>
      <c r="AM44" s="80">
        <v>0</v>
      </c>
      <c r="AN44" s="80">
        <v>2</v>
      </c>
      <c r="AO44" s="80" t="b">
        <v>0</v>
      </c>
      <c r="AP44" s="80">
        <v>0</v>
      </c>
      <c r="AQ44" s="80"/>
      <c r="AR44" s="80"/>
      <c r="AS44" s="80" t="s">
        <v>871</v>
      </c>
      <c r="AT44" s="85" t="str">
        <f>HYPERLINK("https://www.youtube.com/channel/UC0dGMGoFHPbm6UmaUd8U4ZA")</f>
        <v>https://www.youtube.com/channel/UC0dGMGoFHPbm6UmaUd8U4ZA</v>
      </c>
      <c r="AU44" s="80" t="str">
        <f>REPLACE(INDEX(GroupVertices[Group],MATCH(Vertices[[#This Row],[Vertex]],GroupVertices[Vertex],0)),1,1,"")</f>
        <v>1</v>
      </c>
      <c r="AV44" s="49">
        <v>0</v>
      </c>
      <c r="AW44" s="50">
        <v>0</v>
      </c>
      <c r="AX44" s="49">
        <v>4</v>
      </c>
      <c r="AY44" s="50">
        <v>25</v>
      </c>
      <c r="AZ44" s="49">
        <v>0</v>
      </c>
      <c r="BA44" s="50">
        <v>0</v>
      </c>
      <c r="BB44" s="49">
        <v>12</v>
      </c>
      <c r="BC44" s="50">
        <v>75</v>
      </c>
      <c r="BD44" s="49">
        <v>16</v>
      </c>
      <c r="BE44" s="49"/>
      <c r="BF44" s="49"/>
      <c r="BG44" s="49"/>
      <c r="BH44" s="49"/>
      <c r="BI44" s="49"/>
      <c r="BJ44" s="49"/>
      <c r="BK44" s="111" t="s">
        <v>1328</v>
      </c>
      <c r="BL44" s="111" t="s">
        <v>1328</v>
      </c>
      <c r="BM44" s="111" t="s">
        <v>1398</v>
      </c>
      <c r="BN44" s="111" t="s">
        <v>1398</v>
      </c>
      <c r="BO44" s="2"/>
      <c r="BP44" s="3"/>
      <c r="BQ44" s="3"/>
      <c r="BR44" s="3"/>
      <c r="BS44" s="3"/>
    </row>
    <row r="45" spans="1:71" ht="15">
      <c r="A45" s="65" t="s">
        <v>368</v>
      </c>
      <c r="B45" s="66"/>
      <c r="C45" s="66"/>
      <c r="D45" s="67">
        <v>150</v>
      </c>
      <c r="E45" s="69"/>
      <c r="F45" s="103" t="str">
        <f>HYPERLINK("https://yt3.ggpht.com/ytc/AAUvwngvoPL_qp9jsPoZ38hZJBqTKTCbn0BYeMSnzg=s88-c-k-c0x00ffffff-no-rj")</f>
        <v>https://yt3.ggpht.com/ytc/AAUvwngvoPL_qp9jsPoZ38hZJBqTKTCbn0BYeMSnzg=s88-c-k-c0x00ffffff-no-rj</v>
      </c>
      <c r="G45" s="66"/>
      <c r="H45" s="70" t="s">
        <v>708</v>
      </c>
      <c r="I45" s="71"/>
      <c r="J45" s="71" t="s">
        <v>159</v>
      </c>
      <c r="K45" s="70" t="s">
        <v>708</v>
      </c>
      <c r="L45" s="74">
        <v>1</v>
      </c>
      <c r="M45" s="75">
        <v>9848.802734375</v>
      </c>
      <c r="N45" s="75">
        <v>5548.578125</v>
      </c>
      <c r="O45" s="76"/>
      <c r="P45" s="77"/>
      <c r="Q45" s="77"/>
      <c r="R45" s="89"/>
      <c r="S45" s="49">
        <v>0</v>
      </c>
      <c r="T45" s="49">
        <v>1</v>
      </c>
      <c r="U45" s="50">
        <v>0</v>
      </c>
      <c r="V45" s="50">
        <v>0.002092</v>
      </c>
      <c r="W45" s="50">
        <v>0.000623</v>
      </c>
      <c r="X45" s="50">
        <v>0.530794</v>
      </c>
      <c r="Y45" s="50">
        <v>0</v>
      </c>
      <c r="Z45" s="50">
        <v>0</v>
      </c>
      <c r="AA45" s="72">
        <v>45</v>
      </c>
      <c r="AB45" s="72"/>
      <c r="AC45" s="73"/>
      <c r="AD45" s="80" t="s">
        <v>708</v>
      </c>
      <c r="AE45" s="80"/>
      <c r="AF45" s="80"/>
      <c r="AG45" s="80"/>
      <c r="AH45" s="80"/>
      <c r="AI45" s="80"/>
      <c r="AJ45" s="87">
        <v>42724.85052083333</v>
      </c>
      <c r="AK45" s="85" t="str">
        <f>HYPERLINK("https://yt3.ggpht.com/ytc/AAUvwngvoPL_qp9jsPoZ38hZJBqTKTCbn0BYeMSnzg=s88-c-k-c0x00ffffff-no-rj")</f>
        <v>https://yt3.ggpht.com/ytc/AAUvwngvoPL_qp9jsPoZ38hZJBqTKTCbn0BYeMSnzg=s88-c-k-c0x00ffffff-no-rj</v>
      </c>
      <c r="AL45" s="80">
        <v>0</v>
      </c>
      <c r="AM45" s="80">
        <v>0</v>
      </c>
      <c r="AN45" s="80">
        <v>1</v>
      </c>
      <c r="AO45" s="80" t="b">
        <v>0</v>
      </c>
      <c r="AP45" s="80">
        <v>0</v>
      </c>
      <c r="AQ45" s="80"/>
      <c r="AR45" s="80"/>
      <c r="AS45" s="80" t="s">
        <v>871</v>
      </c>
      <c r="AT45" s="85" t="str">
        <f>HYPERLINK("https://www.youtube.com/channel/UCU2yAsII27kZBZuIPozMZCQ")</f>
        <v>https://www.youtube.com/channel/UCU2yAsII27kZBZuIPozMZCQ</v>
      </c>
      <c r="AU45" s="80" t="str">
        <f>REPLACE(INDEX(GroupVertices[Group],MATCH(Vertices[[#This Row],[Vertex]],GroupVertices[Vertex],0)),1,1,"")</f>
        <v>4</v>
      </c>
      <c r="AV45" s="49">
        <v>0</v>
      </c>
      <c r="AW45" s="50">
        <v>0</v>
      </c>
      <c r="AX45" s="49">
        <v>0</v>
      </c>
      <c r="AY45" s="50">
        <v>0</v>
      </c>
      <c r="AZ45" s="49">
        <v>0</v>
      </c>
      <c r="BA45" s="50">
        <v>0</v>
      </c>
      <c r="BB45" s="49">
        <v>4</v>
      </c>
      <c r="BC45" s="50">
        <v>100</v>
      </c>
      <c r="BD45" s="49">
        <v>4</v>
      </c>
      <c r="BE45" s="49"/>
      <c r="BF45" s="49"/>
      <c r="BG45" s="49"/>
      <c r="BH45" s="49"/>
      <c r="BI45" s="49"/>
      <c r="BJ45" s="49"/>
      <c r="BK45" s="111" t="s">
        <v>1078</v>
      </c>
      <c r="BL45" s="111" t="s">
        <v>1078</v>
      </c>
      <c r="BM45" s="111" t="s">
        <v>843</v>
      </c>
      <c r="BN45" s="111" t="s">
        <v>843</v>
      </c>
      <c r="BO45" s="2"/>
      <c r="BP45" s="3"/>
      <c r="BQ45" s="3"/>
      <c r="BR45" s="3"/>
      <c r="BS45" s="3"/>
    </row>
    <row r="46" spans="1:71" ht="15">
      <c r="A46" s="65" t="s">
        <v>370</v>
      </c>
      <c r="B46" s="66"/>
      <c r="C46" s="66"/>
      <c r="D46" s="67">
        <v>575</v>
      </c>
      <c r="E46" s="69"/>
      <c r="F46" s="103" t="str">
        <f>HYPERLINK("https://yt3.ggpht.com/ytc/AAUvwngDVq6ruUeK8E__D8rllpx8FDZUbw3LpJGXwrSY=s88-c-k-c0x00ffffff-no-rj")</f>
        <v>https://yt3.ggpht.com/ytc/AAUvwngDVq6ruUeK8E__D8rllpx8FDZUbw3LpJGXwrSY=s88-c-k-c0x00ffffff-no-rj</v>
      </c>
      <c r="G46" s="66"/>
      <c r="H46" s="70" t="s">
        <v>710</v>
      </c>
      <c r="I46" s="71"/>
      <c r="J46" s="71" t="s">
        <v>159</v>
      </c>
      <c r="K46" s="70" t="s">
        <v>710</v>
      </c>
      <c r="L46" s="74">
        <v>160.968</v>
      </c>
      <c r="M46" s="75">
        <v>9512.345703125</v>
      </c>
      <c r="N46" s="75">
        <v>6003.7685546875</v>
      </c>
      <c r="O46" s="76"/>
      <c r="P46" s="77"/>
      <c r="Q46" s="77"/>
      <c r="R46" s="89"/>
      <c r="S46" s="49">
        <v>2</v>
      </c>
      <c r="T46" s="49">
        <v>1</v>
      </c>
      <c r="U46" s="50">
        <v>450</v>
      </c>
      <c r="V46" s="50">
        <v>0.003058</v>
      </c>
      <c r="W46" s="50">
        <v>0.007298</v>
      </c>
      <c r="X46" s="50">
        <v>1.34398</v>
      </c>
      <c r="Y46" s="50">
        <v>0</v>
      </c>
      <c r="Z46" s="50">
        <v>0</v>
      </c>
      <c r="AA46" s="72">
        <v>46</v>
      </c>
      <c r="AB46" s="72"/>
      <c r="AC46" s="73"/>
      <c r="AD46" s="80" t="s">
        <v>710</v>
      </c>
      <c r="AE46" s="80"/>
      <c r="AF46" s="80"/>
      <c r="AG46" s="80"/>
      <c r="AH46" s="80"/>
      <c r="AI46" s="80"/>
      <c r="AJ46" s="87">
        <v>42408.42851851852</v>
      </c>
      <c r="AK46" s="85" t="str">
        <f>HYPERLINK("https://yt3.ggpht.com/ytc/AAUvwngDVq6ruUeK8E__D8rllpx8FDZUbw3LpJGXwrSY=s88-c-k-c0x00ffffff-no-rj")</f>
        <v>https://yt3.ggpht.com/ytc/AAUvwngDVq6ruUeK8E__D8rllpx8FDZUbw3LpJGXwrSY=s88-c-k-c0x00ffffff-no-rj</v>
      </c>
      <c r="AL46" s="80">
        <v>0</v>
      </c>
      <c r="AM46" s="80">
        <v>0</v>
      </c>
      <c r="AN46" s="80">
        <v>0</v>
      </c>
      <c r="AO46" s="80" t="b">
        <v>0</v>
      </c>
      <c r="AP46" s="80">
        <v>0</v>
      </c>
      <c r="AQ46" s="80"/>
      <c r="AR46" s="80"/>
      <c r="AS46" s="80" t="s">
        <v>871</v>
      </c>
      <c r="AT46" s="85" t="str">
        <f>HYPERLINK("https://www.youtube.com/channel/UC-EiEjJHOpqaGvcT8f0pUIQ")</f>
        <v>https://www.youtube.com/channel/UC-EiEjJHOpqaGvcT8f0pUIQ</v>
      </c>
      <c r="AU46" s="80" t="str">
        <f>REPLACE(INDEX(GroupVertices[Group],MATCH(Vertices[[#This Row],[Vertex]],GroupVertices[Vertex],0)),1,1,"")</f>
        <v>4</v>
      </c>
      <c r="AV46" s="49">
        <v>0</v>
      </c>
      <c r="AW46" s="50">
        <v>0</v>
      </c>
      <c r="AX46" s="49">
        <v>0</v>
      </c>
      <c r="AY46" s="50">
        <v>0</v>
      </c>
      <c r="AZ46" s="49">
        <v>0</v>
      </c>
      <c r="BA46" s="50">
        <v>0</v>
      </c>
      <c r="BB46" s="49">
        <v>11</v>
      </c>
      <c r="BC46" s="50">
        <v>100</v>
      </c>
      <c r="BD46" s="49">
        <v>11</v>
      </c>
      <c r="BE46" s="49"/>
      <c r="BF46" s="49"/>
      <c r="BG46" s="49"/>
      <c r="BH46" s="49"/>
      <c r="BI46" s="49"/>
      <c r="BJ46" s="49"/>
      <c r="BK46" s="111" t="s">
        <v>1329</v>
      </c>
      <c r="BL46" s="111" t="s">
        <v>1329</v>
      </c>
      <c r="BM46" s="111" t="s">
        <v>1399</v>
      </c>
      <c r="BN46" s="111" t="s">
        <v>1399</v>
      </c>
      <c r="BO46" s="2"/>
      <c r="BP46" s="3"/>
      <c r="BQ46" s="3"/>
      <c r="BR46" s="3"/>
      <c r="BS46" s="3"/>
    </row>
    <row r="47" spans="1:71" ht="15">
      <c r="A47" s="65" t="s">
        <v>369</v>
      </c>
      <c r="B47" s="66"/>
      <c r="C47" s="66"/>
      <c r="D47" s="67">
        <v>150</v>
      </c>
      <c r="E47" s="69"/>
      <c r="F47" s="103" t="str">
        <f>HYPERLINK("https://yt3.ggpht.com/ytc/AAUvwnic-pkuMONcd7E_7hTvj9dcjfh5pY1jTz-wcg=s88-c-k-c0x00ffffff-no-rj")</f>
        <v>https://yt3.ggpht.com/ytc/AAUvwnic-pkuMONcd7E_7hTvj9dcjfh5pY1jTz-wcg=s88-c-k-c0x00ffffff-no-rj</v>
      </c>
      <c r="G47" s="66"/>
      <c r="H47" s="70" t="s">
        <v>709</v>
      </c>
      <c r="I47" s="71"/>
      <c r="J47" s="71" t="s">
        <v>159</v>
      </c>
      <c r="K47" s="70" t="s">
        <v>709</v>
      </c>
      <c r="L47" s="74">
        <v>1</v>
      </c>
      <c r="M47" s="75">
        <v>9132.830078125</v>
      </c>
      <c r="N47" s="75">
        <v>6460.67138671875</v>
      </c>
      <c r="O47" s="76"/>
      <c r="P47" s="77"/>
      <c r="Q47" s="77"/>
      <c r="R47" s="89"/>
      <c r="S47" s="49">
        <v>0</v>
      </c>
      <c r="T47" s="49">
        <v>2</v>
      </c>
      <c r="U47" s="50">
        <v>4</v>
      </c>
      <c r="V47" s="50">
        <v>0.00211</v>
      </c>
      <c r="W47" s="50">
        <v>0.001304</v>
      </c>
      <c r="X47" s="50">
        <v>0.888058</v>
      </c>
      <c r="Y47" s="50">
        <v>0</v>
      </c>
      <c r="Z47" s="50">
        <v>0</v>
      </c>
      <c r="AA47" s="72">
        <v>47</v>
      </c>
      <c r="AB47" s="72"/>
      <c r="AC47" s="73"/>
      <c r="AD47" s="80" t="s">
        <v>709</v>
      </c>
      <c r="AE47" s="80"/>
      <c r="AF47" s="80"/>
      <c r="AG47" s="80"/>
      <c r="AH47" s="80"/>
      <c r="AI47" s="80"/>
      <c r="AJ47" s="87">
        <v>44096.81145833333</v>
      </c>
      <c r="AK47" s="85" t="str">
        <f>HYPERLINK("https://yt3.ggpht.com/ytc/AAUvwnic-pkuMONcd7E_7hTvj9dcjfh5pY1jTz-wcg=s88-c-k-c0x00ffffff-no-rj")</f>
        <v>https://yt3.ggpht.com/ytc/AAUvwnic-pkuMONcd7E_7hTvj9dcjfh5pY1jTz-wcg=s88-c-k-c0x00ffffff-no-rj</v>
      </c>
      <c r="AL47" s="80">
        <v>0</v>
      </c>
      <c r="AM47" s="80">
        <v>0</v>
      </c>
      <c r="AN47" s="80">
        <v>0</v>
      </c>
      <c r="AO47" s="80" t="b">
        <v>0</v>
      </c>
      <c r="AP47" s="80">
        <v>0</v>
      </c>
      <c r="AQ47" s="80"/>
      <c r="AR47" s="80"/>
      <c r="AS47" s="80" t="s">
        <v>871</v>
      </c>
      <c r="AT47" s="85" t="str">
        <f>HYPERLINK("https://www.youtube.com/channel/UCa-c9vgdSoHvqOCFptOF0pw")</f>
        <v>https://www.youtube.com/channel/UCa-c9vgdSoHvqOCFptOF0pw</v>
      </c>
      <c r="AU47" s="80" t="str">
        <f>REPLACE(INDEX(GroupVertices[Group],MATCH(Vertices[[#This Row],[Vertex]],GroupVertices[Vertex],0)),1,1,"")</f>
        <v>4</v>
      </c>
      <c r="AV47" s="49">
        <v>4</v>
      </c>
      <c r="AW47" s="50">
        <v>6.0606060606060606</v>
      </c>
      <c r="AX47" s="49">
        <v>6</v>
      </c>
      <c r="AY47" s="50">
        <v>9.090909090909092</v>
      </c>
      <c r="AZ47" s="49">
        <v>0</v>
      </c>
      <c r="BA47" s="50">
        <v>0</v>
      </c>
      <c r="BB47" s="49">
        <v>59</v>
      </c>
      <c r="BC47" s="50">
        <v>89.39393939393939</v>
      </c>
      <c r="BD47" s="49">
        <v>66</v>
      </c>
      <c r="BE47" s="49"/>
      <c r="BF47" s="49"/>
      <c r="BG47" s="49"/>
      <c r="BH47" s="49"/>
      <c r="BI47" s="49"/>
      <c r="BJ47" s="49"/>
      <c r="BK47" s="111" t="s">
        <v>1496</v>
      </c>
      <c r="BL47" s="111" t="s">
        <v>1496</v>
      </c>
      <c r="BM47" s="111" t="s">
        <v>1561</v>
      </c>
      <c r="BN47" s="111" t="s">
        <v>1561</v>
      </c>
      <c r="BO47" s="2"/>
      <c r="BP47" s="3"/>
      <c r="BQ47" s="3"/>
      <c r="BR47" s="3"/>
      <c r="BS47" s="3"/>
    </row>
    <row r="48" spans="1:71" ht="15">
      <c r="A48" s="65" t="s">
        <v>371</v>
      </c>
      <c r="B48" s="66"/>
      <c r="C48" s="66"/>
      <c r="D48" s="67">
        <v>150</v>
      </c>
      <c r="E48" s="69"/>
      <c r="F48" s="103" t="str">
        <f>HYPERLINK("https://yt3.ggpht.com/ytc/AAUvwnhH30h2qEY3RnptqUetR9ia7RULrBR_1Vhxag=s88-c-k-c0x00ffffff-no-rj")</f>
        <v>https://yt3.ggpht.com/ytc/AAUvwnhH30h2qEY3RnptqUetR9ia7RULrBR_1Vhxag=s88-c-k-c0x00ffffff-no-rj</v>
      </c>
      <c r="G48" s="66"/>
      <c r="H48" s="70" t="s">
        <v>711</v>
      </c>
      <c r="I48" s="71"/>
      <c r="J48" s="71" t="s">
        <v>159</v>
      </c>
      <c r="K48" s="70" t="s">
        <v>711</v>
      </c>
      <c r="L48" s="74">
        <v>1</v>
      </c>
      <c r="M48" s="75">
        <v>7276.44482421875</v>
      </c>
      <c r="N48" s="75">
        <v>9794.5400390625</v>
      </c>
      <c r="O48" s="76"/>
      <c r="P48" s="77"/>
      <c r="Q48" s="77"/>
      <c r="R48" s="89"/>
      <c r="S48" s="49">
        <v>0</v>
      </c>
      <c r="T48" s="49">
        <v>1</v>
      </c>
      <c r="U48" s="50">
        <v>0</v>
      </c>
      <c r="V48" s="50">
        <v>0.002105</v>
      </c>
      <c r="W48" s="50">
        <v>0.000746</v>
      </c>
      <c r="X48" s="50">
        <v>0.485708</v>
      </c>
      <c r="Y48" s="50">
        <v>0</v>
      </c>
      <c r="Z48" s="50">
        <v>0</v>
      </c>
      <c r="AA48" s="72">
        <v>48</v>
      </c>
      <c r="AB48" s="72"/>
      <c r="AC48" s="73"/>
      <c r="AD48" s="80" t="s">
        <v>711</v>
      </c>
      <c r="AE48" s="80"/>
      <c r="AF48" s="80"/>
      <c r="AG48" s="80"/>
      <c r="AH48" s="80"/>
      <c r="AI48" s="80"/>
      <c r="AJ48" s="87">
        <v>41167.26184027778</v>
      </c>
      <c r="AK48" s="85" t="str">
        <f>HYPERLINK("https://yt3.ggpht.com/ytc/AAUvwnhH30h2qEY3RnptqUetR9ia7RULrBR_1Vhxag=s88-c-k-c0x00ffffff-no-rj")</f>
        <v>https://yt3.ggpht.com/ytc/AAUvwnhH30h2qEY3RnptqUetR9ia7RULrBR_1Vhxag=s88-c-k-c0x00ffffff-no-rj</v>
      </c>
      <c r="AL48" s="80">
        <v>0</v>
      </c>
      <c r="AM48" s="80">
        <v>0</v>
      </c>
      <c r="AN48" s="80">
        <v>2</v>
      </c>
      <c r="AO48" s="80" t="b">
        <v>0</v>
      </c>
      <c r="AP48" s="80">
        <v>0</v>
      </c>
      <c r="AQ48" s="80"/>
      <c r="AR48" s="80"/>
      <c r="AS48" s="80" t="s">
        <v>871</v>
      </c>
      <c r="AT48" s="85" t="str">
        <f>HYPERLINK("https://www.youtube.com/channel/UCgnW8W4825dIsXARVEjRtNQ")</f>
        <v>https://www.youtube.com/channel/UCgnW8W4825dIsXARVEjRtNQ</v>
      </c>
      <c r="AU48" s="80" t="str">
        <f>REPLACE(INDEX(GroupVertices[Group],MATCH(Vertices[[#This Row],[Vertex]],GroupVertices[Vertex],0)),1,1,"")</f>
        <v>2</v>
      </c>
      <c r="AV48" s="49">
        <v>0</v>
      </c>
      <c r="AW48" s="50">
        <v>0</v>
      </c>
      <c r="AX48" s="49">
        <v>0</v>
      </c>
      <c r="AY48" s="50">
        <v>0</v>
      </c>
      <c r="AZ48" s="49">
        <v>0</v>
      </c>
      <c r="BA48" s="50">
        <v>0</v>
      </c>
      <c r="BB48" s="49">
        <v>5</v>
      </c>
      <c r="BC48" s="50">
        <v>100</v>
      </c>
      <c r="BD48" s="49">
        <v>5</v>
      </c>
      <c r="BE48" s="49"/>
      <c r="BF48" s="49"/>
      <c r="BG48" s="49"/>
      <c r="BH48" s="49"/>
      <c r="BI48" s="49"/>
      <c r="BJ48" s="49"/>
      <c r="BK48" s="111" t="s">
        <v>1330</v>
      </c>
      <c r="BL48" s="111" t="s">
        <v>1330</v>
      </c>
      <c r="BM48" s="111" t="s">
        <v>1400</v>
      </c>
      <c r="BN48" s="111" t="s">
        <v>1400</v>
      </c>
      <c r="BO48" s="2"/>
      <c r="BP48" s="3"/>
      <c r="BQ48" s="3"/>
      <c r="BR48" s="3"/>
      <c r="BS48" s="3"/>
    </row>
    <row r="49" spans="1:71" ht="15">
      <c r="A49" s="65" t="s">
        <v>372</v>
      </c>
      <c r="B49" s="66"/>
      <c r="C49" s="66"/>
      <c r="D49" s="67">
        <v>150</v>
      </c>
      <c r="E49" s="69"/>
      <c r="F49" s="103" t="str">
        <f>HYPERLINK("https://yt3.ggpht.com/ytc/AAUvwngF7b5Z76oJ8z_A7s5nZSfk0-URaaK_rvR20JKF=s88-c-k-c0x00ffffff-no-rj")</f>
        <v>https://yt3.ggpht.com/ytc/AAUvwngF7b5Z76oJ8z_A7s5nZSfk0-URaaK_rvR20JKF=s88-c-k-c0x00ffffff-no-rj</v>
      </c>
      <c r="G49" s="66"/>
      <c r="H49" s="70" t="s">
        <v>712</v>
      </c>
      <c r="I49" s="71"/>
      <c r="J49" s="71" t="s">
        <v>159</v>
      </c>
      <c r="K49" s="70" t="s">
        <v>712</v>
      </c>
      <c r="L49" s="74">
        <v>1</v>
      </c>
      <c r="M49" s="75">
        <v>6697.84375</v>
      </c>
      <c r="N49" s="75">
        <v>8885.4619140625</v>
      </c>
      <c r="O49" s="76"/>
      <c r="P49" s="77"/>
      <c r="Q49" s="77"/>
      <c r="R49" s="89"/>
      <c r="S49" s="49">
        <v>0</v>
      </c>
      <c r="T49" s="49">
        <v>2</v>
      </c>
      <c r="U49" s="50">
        <v>0</v>
      </c>
      <c r="V49" s="50">
        <v>0.003049</v>
      </c>
      <c r="W49" s="50">
        <v>0.007879</v>
      </c>
      <c r="X49" s="50">
        <v>0.851089</v>
      </c>
      <c r="Y49" s="50">
        <v>0.5</v>
      </c>
      <c r="Z49" s="50">
        <v>0</v>
      </c>
      <c r="AA49" s="72">
        <v>49</v>
      </c>
      <c r="AB49" s="72"/>
      <c r="AC49" s="73"/>
      <c r="AD49" s="80" t="s">
        <v>712</v>
      </c>
      <c r="AE49" s="80"/>
      <c r="AF49" s="80"/>
      <c r="AG49" s="80"/>
      <c r="AH49" s="80"/>
      <c r="AI49" s="80"/>
      <c r="AJ49" s="87">
        <v>42784.05861111111</v>
      </c>
      <c r="AK49" s="85" t="str">
        <f>HYPERLINK("https://yt3.ggpht.com/ytc/AAUvwngF7b5Z76oJ8z_A7s5nZSfk0-URaaK_rvR20JKF=s88-c-k-c0x00ffffff-no-rj")</f>
        <v>https://yt3.ggpht.com/ytc/AAUvwngF7b5Z76oJ8z_A7s5nZSfk0-URaaK_rvR20JKF=s88-c-k-c0x00ffffff-no-rj</v>
      </c>
      <c r="AL49" s="80">
        <v>0</v>
      </c>
      <c r="AM49" s="80">
        <v>0</v>
      </c>
      <c r="AN49" s="80">
        <v>1</v>
      </c>
      <c r="AO49" s="80" t="b">
        <v>0</v>
      </c>
      <c r="AP49" s="80">
        <v>0</v>
      </c>
      <c r="AQ49" s="80"/>
      <c r="AR49" s="80"/>
      <c r="AS49" s="80" t="s">
        <v>871</v>
      </c>
      <c r="AT49" s="85" t="str">
        <f>HYPERLINK("https://www.youtube.com/channel/UC92ojIkKymGd2b41Oq-aWDA")</f>
        <v>https://www.youtube.com/channel/UC92ojIkKymGd2b41Oq-aWDA</v>
      </c>
      <c r="AU49" s="80" t="str">
        <f>REPLACE(INDEX(GroupVertices[Group],MATCH(Vertices[[#This Row],[Vertex]],GroupVertices[Vertex],0)),1,1,"")</f>
        <v>2</v>
      </c>
      <c r="AV49" s="49">
        <v>0</v>
      </c>
      <c r="AW49" s="50">
        <v>0</v>
      </c>
      <c r="AX49" s="49">
        <v>1</v>
      </c>
      <c r="AY49" s="50">
        <v>3.225806451612903</v>
      </c>
      <c r="AZ49" s="49">
        <v>0</v>
      </c>
      <c r="BA49" s="50">
        <v>0</v>
      </c>
      <c r="BB49" s="49">
        <v>30</v>
      </c>
      <c r="BC49" s="50">
        <v>96.7741935483871</v>
      </c>
      <c r="BD49" s="49">
        <v>31</v>
      </c>
      <c r="BE49" s="49"/>
      <c r="BF49" s="49"/>
      <c r="BG49" s="49"/>
      <c r="BH49" s="49"/>
      <c r="BI49" s="49"/>
      <c r="BJ49" s="49"/>
      <c r="BK49" s="111" t="s">
        <v>1373</v>
      </c>
      <c r="BL49" s="111" t="s">
        <v>1373</v>
      </c>
      <c r="BM49" s="111" t="s">
        <v>1562</v>
      </c>
      <c r="BN49" s="111" t="s">
        <v>1562</v>
      </c>
      <c r="BO49" s="2"/>
      <c r="BP49" s="3"/>
      <c r="BQ49" s="3"/>
      <c r="BR49" s="3"/>
      <c r="BS49" s="3"/>
    </row>
    <row r="50" spans="1:71" ht="15">
      <c r="A50" s="65" t="s">
        <v>373</v>
      </c>
      <c r="B50" s="66"/>
      <c r="C50" s="66"/>
      <c r="D50" s="67">
        <v>150</v>
      </c>
      <c r="E50" s="69"/>
      <c r="F50" s="103" t="str">
        <f>HYPERLINK("https://yt3.ggpht.com/ytc/AAUvwnjaBFqxjyWc5nPBdzABtC-s7M8tI5qW-OYoXQ=s88-c-k-c0x00ffffff-no-rj")</f>
        <v>https://yt3.ggpht.com/ytc/AAUvwnjaBFqxjyWc5nPBdzABtC-s7M8tI5qW-OYoXQ=s88-c-k-c0x00ffffff-no-rj</v>
      </c>
      <c r="G50" s="66"/>
      <c r="H50" s="70" t="s">
        <v>713</v>
      </c>
      <c r="I50" s="71"/>
      <c r="J50" s="71" t="s">
        <v>159</v>
      </c>
      <c r="K50" s="70" t="s">
        <v>713</v>
      </c>
      <c r="L50" s="74">
        <v>1</v>
      </c>
      <c r="M50" s="75">
        <v>4726.462890625</v>
      </c>
      <c r="N50" s="75">
        <v>9347.9091796875</v>
      </c>
      <c r="O50" s="76"/>
      <c r="P50" s="77"/>
      <c r="Q50" s="77"/>
      <c r="R50" s="89"/>
      <c r="S50" s="49">
        <v>0</v>
      </c>
      <c r="T50" s="49">
        <v>1</v>
      </c>
      <c r="U50" s="50">
        <v>0</v>
      </c>
      <c r="V50" s="50">
        <v>0.003021</v>
      </c>
      <c r="W50" s="50">
        <v>0.007133</v>
      </c>
      <c r="X50" s="50">
        <v>0.515381</v>
      </c>
      <c r="Y50" s="50">
        <v>0</v>
      </c>
      <c r="Z50" s="50">
        <v>0</v>
      </c>
      <c r="AA50" s="72">
        <v>50</v>
      </c>
      <c r="AB50" s="72"/>
      <c r="AC50" s="73"/>
      <c r="AD50" s="80" t="s">
        <v>713</v>
      </c>
      <c r="AE50" s="80"/>
      <c r="AF50" s="80"/>
      <c r="AG50" s="80"/>
      <c r="AH50" s="80"/>
      <c r="AI50" s="80"/>
      <c r="AJ50" s="87">
        <v>41991.58193287037</v>
      </c>
      <c r="AK50" s="85" t="str">
        <f>HYPERLINK("https://yt3.ggpht.com/ytc/AAUvwnjaBFqxjyWc5nPBdzABtC-s7M8tI5qW-OYoXQ=s88-c-k-c0x00ffffff-no-rj")</f>
        <v>https://yt3.ggpht.com/ytc/AAUvwnjaBFqxjyWc5nPBdzABtC-s7M8tI5qW-OYoXQ=s88-c-k-c0x00ffffff-no-rj</v>
      </c>
      <c r="AL50" s="80">
        <v>0</v>
      </c>
      <c r="AM50" s="80">
        <v>0</v>
      </c>
      <c r="AN50" s="80">
        <v>1</v>
      </c>
      <c r="AO50" s="80" t="b">
        <v>0</v>
      </c>
      <c r="AP50" s="80">
        <v>0</v>
      </c>
      <c r="AQ50" s="80"/>
      <c r="AR50" s="80"/>
      <c r="AS50" s="80" t="s">
        <v>871</v>
      </c>
      <c r="AT50" s="85" t="str">
        <f>HYPERLINK("https://www.youtube.com/channel/UC9UCsZNI5I9e8ez07eCzRBg")</f>
        <v>https://www.youtube.com/channel/UC9UCsZNI5I9e8ez07eCzRBg</v>
      </c>
      <c r="AU50" s="80" t="str">
        <f>REPLACE(INDEX(GroupVertices[Group],MATCH(Vertices[[#This Row],[Vertex]],GroupVertices[Vertex],0)),1,1,"")</f>
        <v>1</v>
      </c>
      <c r="AV50" s="49">
        <v>0</v>
      </c>
      <c r="AW50" s="50">
        <v>0</v>
      </c>
      <c r="AX50" s="49">
        <v>0</v>
      </c>
      <c r="AY50" s="50">
        <v>0</v>
      </c>
      <c r="AZ50" s="49">
        <v>0</v>
      </c>
      <c r="BA50" s="50">
        <v>0</v>
      </c>
      <c r="BB50" s="49">
        <v>14</v>
      </c>
      <c r="BC50" s="50">
        <v>100</v>
      </c>
      <c r="BD50" s="49">
        <v>14</v>
      </c>
      <c r="BE50" s="49"/>
      <c r="BF50" s="49"/>
      <c r="BG50" s="49"/>
      <c r="BH50" s="49"/>
      <c r="BI50" s="49"/>
      <c r="BJ50" s="49"/>
      <c r="BK50" s="111" t="s">
        <v>1497</v>
      </c>
      <c r="BL50" s="111" t="s">
        <v>1497</v>
      </c>
      <c r="BM50" s="111" t="s">
        <v>1563</v>
      </c>
      <c r="BN50" s="111" t="s">
        <v>1563</v>
      </c>
      <c r="BO50" s="2"/>
      <c r="BP50" s="3"/>
      <c r="BQ50" s="3"/>
      <c r="BR50" s="3"/>
      <c r="BS50" s="3"/>
    </row>
    <row r="51" spans="1:71" ht="15">
      <c r="A51" s="65" t="s">
        <v>374</v>
      </c>
      <c r="B51" s="66"/>
      <c r="C51" s="66"/>
      <c r="D51" s="67">
        <v>150</v>
      </c>
      <c r="E51" s="69"/>
      <c r="F51" s="103" t="str">
        <f>HYPERLINK("https://yt3.ggpht.com/ytc/AAUvwnjCtSMhn1TF6RebNoHQqnkuYSAvUiOcpv2E2w=s88-c-k-c0x00ffffff-no-rj")</f>
        <v>https://yt3.ggpht.com/ytc/AAUvwnjCtSMhn1TF6RebNoHQqnkuYSAvUiOcpv2E2w=s88-c-k-c0x00ffffff-no-rj</v>
      </c>
      <c r="G51" s="66"/>
      <c r="H51" s="70" t="s">
        <v>714</v>
      </c>
      <c r="I51" s="71"/>
      <c r="J51" s="71" t="s">
        <v>159</v>
      </c>
      <c r="K51" s="70" t="s">
        <v>714</v>
      </c>
      <c r="L51" s="74">
        <v>1</v>
      </c>
      <c r="M51" s="75">
        <v>5992.55224609375</v>
      </c>
      <c r="N51" s="75">
        <v>5914.72412109375</v>
      </c>
      <c r="O51" s="76"/>
      <c r="P51" s="77"/>
      <c r="Q51" s="77"/>
      <c r="R51" s="89"/>
      <c r="S51" s="49">
        <v>0</v>
      </c>
      <c r="T51" s="49">
        <v>1</v>
      </c>
      <c r="U51" s="50">
        <v>0</v>
      </c>
      <c r="V51" s="50">
        <v>0.003021</v>
      </c>
      <c r="W51" s="50">
        <v>0.007133</v>
      </c>
      <c r="X51" s="50">
        <v>0.515381</v>
      </c>
      <c r="Y51" s="50">
        <v>0</v>
      </c>
      <c r="Z51" s="50">
        <v>0</v>
      </c>
      <c r="AA51" s="72">
        <v>51</v>
      </c>
      <c r="AB51" s="72"/>
      <c r="AC51" s="73"/>
      <c r="AD51" s="80" t="s">
        <v>714</v>
      </c>
      <c r="AE51" s="80"/>
      <c r="AF51" s="80"/>
      <c r="AG51" s="80"/>
      <c r="AH51" s="80"/>
      <c r="AI51" s="80"/>
      <c r="AJ51" s="87">
        <v>44140.90971064815</v>
      </c>
      <c r="AK51" s="85" t="str">
        <f>HYPERLINK("https://yt3.ggpht.com/ytc/AAUvwnjCtSMhn1TF6RebNoHQqnkuYSAvUiOcpv2E2w=s88-c-k-c0x00ffffff-no-rj")</f>
        <v>https://yt3.ggpht.com/ytc/AAUvwnjCtSMhn1TF6RebNoHQqnkuYSAvUiOcpv2E2w=s88-c-k-c0x00ffffff-no-rj</v>
      </c>
      <c r="AL51" s="80">
        <v>0</v>
      </c>
      <c r="AM51" s="80">
        <v>0</v>
      </c>
      <c r="AN51" s="80">
        <v>2</v>
      </c>
      <c r="AO51" s="80" t="b">
        <v>0</v>
      </c>
      <c r="AP51" s="80">
        <v>0</v>
      </c>
      <c r="AQ51" s="80"/>
      <c r="AR51" s="80"/>
      <c r="AS51" s="80" t="s">
        <v>871</v>
      </c>
      <c r="AT51" s="85" t="str">
        <f>HYPERLINK("https://www.youtube.com/channel/UC7rN8ep2nPZ65sy5UwanQ8Q")</f>
        <v>https://www.youtube.com/channel/UC7rN8ep2nPZ65sy5UwanQ8Q</v>
      </c>
      <c r="AU51" s="80" t="str">
        <f>REPLACE(INDEX(GroupVertices[Group],MATCH(Vertices[[#This Row],[Vertex]],GroupVertices[Vertex],0)),1,1,"")</f>
        <v>1</v>
      </c>
      <c r="AV51" s="49">
        <v>0</v>
      </c>
      <c r="AW51" s="50">
        <v>0</v>
      </c>
      <c r="AX51" s="49">
        <v>0</v>
      </c>
      <c r="AY51" s="50">
        <v>0</v>
      </c>
      <c r="AZ51" s="49">
        <v>0</v>
      </c>
      <c r="BA51" s="50">
        <v>0</v>
      </c>
      <c r="BB51" s="49">
        <v>5</v>
      </c>
      <c r="BC51" s="50">
        <v>100</v>
      </c>
      <c r="BD51" s="49">
        <v>5</v>
      </c>
      <c r="BE51" s="49"/>
      <c r="BF51" s="49"/>
      <c r="BG51" s="49"/>
      <c r="BH51" s="49"/>
      <c r="BI51" s="49"/>
      <c r="BJ51" s="49"/>
      <c r="BK51" s="111" t="s">
        <v>1331</v>
      </c>
      <c r="BL51" s="111" t="s">
        <v>1331</v>
      </c>
      <c r="BM51" s="111" t="s">
        <v>1401</v>
      </c>
      <c r="BN51" s="111" t="s">
        <v>1401</v>
      </c>
      <c r="BO51" s="2"/>
      <c r="BP51" s="3"/>
      <c r="BQ51" s="3"/>
      <c r="BR51" s="3"/>
      <c r="BS51" s="3"/>
    </row>
    <row r="52" spans="1:71" ht="15">
      <c r="A52" s="65" t="s">
        <v>375</v>
      </c>
      <c r="B52" s="66"/>
      <c r="C52" s="66"/>
      <c r="D52" s="67">
        <v>150</v>
      </c>
      <c r="E52" s="69"/>
      <c r="F52" s="103" t="str">
        <f>HYPERLINK("https://yt3.ggpht.com/ytc/AAUvwniWrkIOFagSaFqjXQezsLUQG22k9ma_eoAMIg=s88-c-k-c0x00ffffff-no-rj")</f>
        <v>https://yt3.ggpht.com/ytc/AAUvwniWrkIOFagSaFqjXQezsLUQG22k9ma_eoAMIg=s88-c-k-c0x00ffffff-no-rj</v>
      </c>
      <c r="G52" s="66"/>
      <c r="H52" s="70" t="s">
        <v>715</v>
      </c>
      <c r="I52" s="71"/>
      <c r="J52" s="71" t="s">
        <v>159</v>
      </c>
      <c r="K52" s="70" t="s">
        <v>715</v>
      </c>
      <c r="L52" s="74">
        <v>1</v>
      </c>
      <c r="M52" s="75">
        <v>1900.3057861328125</v>
      </c>
      <c r="N52" s="75">
        <v>595.6920776367188</v>
      </c>
      <c r="O52" s="76"/>
      <c r="P52" s="77"/>
      <c r="Q52" s="77"/>
      <c r="R52" s="89"/>
      <c r="S52" s="49">
        <v>0</v>
      </c>
      <c r="T52" s="49">
        <v>1</v>
      </c>
      <c r="U52" s="50">
        <v>0</v>
      </c>
      <c r="V52" s="50">
        <v>0.003021</v>
      </c>
      <c r="W52" s="50">
        <v>0.007133</v>
      </c>
      <c r="X52" s="50">
        <v>0.515381</v>
      </c>
      <c r="Y52" s="50">
        <v>0</v>
      </c>
      <c r="Z52" s="50">
        <v>0</v>
      </c>
      <c r="AA52" s="72">
        <v>52</v>
      </c>
      <c r="AB52" s="72"/>
      <c r="AC52" s="73"/>
      <c r="AD52" s="80" t="s">
        <v>715</v>
      </c>
      <c r="AE52" s="80"/>
      <c r="AF52" s="80"/>
      <c r="AG52" s="80"/>
      <c r="AH52" s="80"/>
      <c r="AI52" s="80"/>
      <c r="AJ52" s="87">
        <v>39547.00989583333</v>
      </c>
      <c r="AK52" s="85" t="str">
        <f>HYPERLINK("https://yt3.ggpht.com/ytc/AAUvwniWrkIOFagSaFqjXQezsLUQG22k9ma_eoAMIg=s88-c-k-c0x00ffffff-no-rj")</f>
        <v>https://yt3.ggpht.com/ytc/AAUvwniWrkIOFagSaFqjXQezsLUQG22k9ma_eoAMIg=s88-c-k-c0x00ffffff-no-rj</v>
      </c>
      <c r="AL52" s="80">
        <v>0</v>
      </c>
      <c r="AM52" s="80">
        <v>0</v>
      </c>
      <c r="AN52" s="80">
        <v>1</v>
      </c>
      <c r="AO52" s="80" t="b">
        <v>0</v>
      </c>
      <c r="AP52" s="80">
        <v>0</v>
      </c>
      <c r="AQ52" s="80"/>
      <c r="AR52" s="80"/>
      <c r="AS52" s="80" t="s">
        <v>871</v>
      </c>
      <c r="AT52" s="85" t="str">
        <f>HYPERLINK("https://www.youtube.com/channel/UC2clEWhfiTxokUFuneYQPQg")</f>
        <v>https://www.youtube.com/channel/UC2clEWhfiTxokUFuneYQPQg</v>
      </c>
      <c r="AU52" s="80" t="str">
        <f>REPLACE(INDEX(GroupVertices[Group],MATCH(Vertices[[#This Row],[Vertex]],GroupVertices[Vertex],0)),1,1,"")</f>
        <v>1</v>
      </c>
      <c r="AV52" s="49">
        <v>4</v>
      </c>
      <c r="AW52" s="50">
        <v>10.526315789473685</v>
      </c>
      <c r="AX52" s="49">
        <v>5</v>
      </c>
      <c r="AY52" s="50">
        <v>13.157894736842104</v>
      </c>
      <c r="AZ52" s="49">
        <v>0</v>
      </c>
      <c r="BA52" s="50">
        <v>0</v>
      </c>
      <c r="BB52" s="49">
        <v>32</v>
      </c>
      <c r="BC52" s="50">
        <v>84.21052631578948</v>
      </c>
      <c r="BD52" s="49">
        <v>38</v>
      </c>
      <c r="BE52" s="49"/>
      <c r="BF52" s="49"/>
      <c r="BG52" s="49"/>
      <c r="BH52" s="49"/>
      <c r="BI52" s="49"/>
      <c r="BJ52" s="49"/>
      <c r="BK52" s="111" t="s">
        <v>1498</v>
      </c>
      <c r="BL52" s="111" t="s">
        <v>1498</v>
      </c>
      <c r="BM52" s="111" t="s">
        <v>1564</v>
      </c>
      <c r="BN52" s="111" t="s">
        <v>1564</v>
      </c>
      <c r="BO52" s="2"/>
      <c r="BP52" s="3"/>
      <c r="BQ52" s="3"/>
      <c r="BR52" s="3"/>
      <c r="BS52" s="3"/>
    </row>
    <row r="53" spans="1:71" ht="15">
      <c r="A53" s="65" t="s">
        <v>376</v>
      </c>
      <c r="B53" s="66"/>
      <c r="C53" s="66"/>
      <c r="D53" s="67">
        <v>150</v>
      </c>
      <c r="E53" s="69"/>
      <c r="F53" s="103" t="str">
        <f>HYPERLINK("https://yt3.ggpht.com/ytc/AAUvwngh-SzdSmocf3XzPwtsleXPbQCxYTF7IMrPZY8Q=s88-c-k-c0x00ffffff-no-rj")</f>
        <v>https://yt3.ggpht.com/ytc/AAUvwngh-SzdSmocf3XzPwtsleXPbQCxYTF7IMrPZY8Q=s88-c-k-c0x00ffffff-no-rj</v>
      </c>
      <c r="G53" s="66"/>
      <c r="H53" s="70" t="s">
        <v>716</v>
      </c>
      <c r="I53" s="71"/>
      <c r="J53" s="71" t="s">
        <v>159</v>
      </c>
      <c r="K53" s="70" t="s">
        <v>716</v>
      </c>
      <c r="L53" s="74">
        <v>1</v>
      </c>
      <c r="M53" s="75">
        <v>804.064453125</v>
      </c>
      <c r="N53" s="75">
        <v>3863.56396484375</v>
      </c>
      <c r="O53" s="76"/>
      <c r="P53" s="77"/>
      <c r="Q53" s="77"/>
      <c r="R53" s="89"/>
      <c r="S53" s="49">
        <v>0</v>
      </c>
      <c r="T53" s="49">
        <v>1</v>
      </c>
      <c r="U53" s="50">
        <v>0</v>
      </c>
      <c r="V53" s="50">
        <v>0.003021</v>
      </c>
      <c r="W53" s="50">
        <v>0.007133</v>
      </c>
      <c r="X53" s="50">
        <v>0.515381</v>
      </c>
      <c r="Y53" s="50">
        <v>0</v>
      </c>
      <c r="Z53" s="50">
        <v>0</v>
      </c>
      <c r="AA53" s="72">
        <v>53</v>
      </c>
      <c r="AB53" s="72"/>
      <c r="AC53" s="73"/>
      <c r="AD53" s="80" t="s">
        <v>716</v>
      </c>
      <c r="AE53" s="80"/>
      <c r="AF53" s="80"/>
      <c r="AG53" s="80"/>
      <c r="AH53" s="80"/>
      <c r="AI53" s="80"/>
      <c r="AJ53" s="87">
        <v>43676.68974537037</v>
      </c>
      <c r="AK53" s="85" t="str">
        <f>HYPERLINK("https://yt3.ggpht.com/ytc/AAUvwngh-SzdSmocf3XzPwtsleXPbQCxYTF7IMrPZY8Q=s88-c-k-c0x00ffffff-no-rj")</f>
        <v>https://yt3.ggpht.com/ytc/AAUvwngh-SzdSmocf3XzPwtsleXPbQCxYTF7IMrPZY8Q=s88-c-k-c0x00ffffff-no-rj</v>
      </c>
      <c r="AL53" s="80">
        <v>0</v>
      </c>
      <c r="AM53" s="80">
        <v>0</v>
      </c>
      <c r="AN53" s="80">
        <v>102</v>
      </c>
      <c r="AO53" s="80" t="b">
        <v>0</v>
      </c>
      <c r="AP53" s="80">
        <v>0</v>
      </c>
      <c r="AQ53" s="80"/>
      <c r="AR53" s="80"/>
      <c r="AS53" s="80" t="s">
        <v>871</v>
      </c>
      <c r="AT53" s="85" t="str">
        <f>HYPERLINK("https://www.youtube.com/channel/UCBMWmvja3c_GS4jk8TazobA")</f>
        <v>https://www.youtube.com/channel/UCBMWmvja3c_GS4jk8TazobA</v>
      </c>
      <c r="AU53" s="80" t="str">
        <f>REPLACE(INDEX(GroupVertices[Group],MATCH(Vertices[[#This Row],[Vertex]],GroupVertices[Vertex],0)),1,1,"")</f>
        <v>1</v>
      </c>
      <c r="AV53" s="49">
        <v>8</v>
      </c>
      <c r="AW53" s="50">
        <v>9.195402298850574</v>
      </c>
      <c r="AX53" s="49">
        <v>6</v>
      </c>
      <c r="AY53" s="50">
        <v>6.896551724137931</v>
      </c>
      <c r="AZ53" s="49">
        <v>0</v>
      </c>
      <c r="BA53" s="50">
        <v>0</v>
      </c>
      <c r="BB53" s="49">
        <v>79</v>
      </c>
      <c r="BC53" s="50">
        <v>90.80459770114942</v>
      </c>
      <c r="BD53" s="49">
        <v>87</v>
      </c>
      <c r="BE53" s="49"/>
      <c r="BF53" s="49"/>
      <c r="BG53" s="49"/>
      <c r="BH53" s="49"/>
      <c r="BI53" s="49"/>
      <c r="BJ53" s="49"/>
      <c r="BK53" s="111" t="s">
        <v>1499</v>
      </c>
      <c r="BL53" s="111" t="s">
        <v>1374</v>
      </c>
      <c r="BM53" s="111" t="s">
        <v>1565</v>
      </c>
      <c r="BN53" s="111" t="s">
        <v>1445</v>
      </c>
      <c r="BO53" s="2"/>
      <c r="BP53" s="3"/>
      <c r="BQ53" s="3"/>
      <c r="BR53" s="3"/>
      <c r="BS53" s="3"/>
    </row>
    <row r="54" spans="1:71" ht="15">
      <c r="A54" s="65" t="s">
        <v>377</v>
      </c>
      <c r="B54" s="66"/>
      <c r="C54" s="66"/>
      <c r="D54" s="67">
        <v>150</v>
      </c>
      <c r="E54" s="69"/>
      <c r="F54" s="103" t="str">
        <f>HYPERLINK("https://yt3.ggpht.com/ytc/AAUvwni2Y75Q6pPMSAhLiykV5kDrbh2UnF3wXTZk4A=s88-c-k-c0x00ffffff-no-rj")</f>
        <v>https://yt3.ggpht.com/ytc/AAUvwni2Y75Q6pPMSAhLiykV5kDrbh2UnF3wXTZk4A=s88-c-k-c0x00ffffff-no-rj</v>
      </c>
      <c r="G54" s="66"/>
      <c r="H54" s="70" t="s">
        <v>717</v>
      </c>
      <c r="I54" s="71"/>
      <c r="J54" s="71" t="s">
        <v>159</v>
      </c>
      <c r="K54" s="70" t="s">
        <v>717</v>
      </c>
      <c r="L54" s="74">
        <v>1</v>
      </c>
      <c r="M54" s="75">
        <v>6550.7275390625</v>
      </c>
      <c r="N54" s="75">
        <v>6046.21923828125</v>
      </c>
      <c r="O54" s="76"/>
      <c r="P54" s="77"/>
      <c r="Q54" s="77"/>
      <c r="R54" s="89"/>
      <c r="S54" s="49">
        <v>0</v>
      </c>
      <c r="T54" s="49">
        <v>1</v>
      </c>
      <c r="U54" s="50">
        <v>0</v>
      </c>
      <c r="V54" s="50">
        <v>0.003021</v>
      </c>
      <c r="W54" s="50">
        <v>0.007133</v>
      </c>
      <c r="X54" s="50">
        <v>0.515381</v>
      </c>
      <c r="Y54" s="50">
        <v>0</v>
      </c>
      <c r="Z54" s="50">
        <v>0</v>
      </c>
      <c r="AA54" s="72">
        <v>54</v>
      </c>
      <c r="AB54" s="72"/>
      <c r="AC54" s="73"/>
      <c r="AD54" s="80" t="s">
        <v>717</v>
      </c>
      <c r="AE54" s="80"/>
      <c r="AF54" s="80"/>
      <c r="AG54" s="80"/>
      <c r="AH54" s="80"/>
      <c r="AI54" s="80"/>
      <c r="AJ54" s="87">
        <v>44120.99878472222</v>
      </c>
      <c r="AK54" s="85" t="str">
        <f>HYPERLINK("https://yt3.ggpht.com/ytc/AAUvwni2Y75Q6pPMSAhLiykV5kDrbh2UnF3wXTZk4A=s88-c-k-c0x00ffffff-no-rj")</f>
        <v>https://yt3.ggpht.com/ytc/AAUvwni2Y75Q6pPMSAhLiykV5kDrbh2UnF3wXTZk4A=s88-c-k-c0x00ffffff-no-rj</v>
      </c>
      <c r="AL54" s="80">
        <v>0</v>
      </c>
      <c r="AM54" s="80">
        <v>0</v>
      </c>
      <c r="AN54" s="80">
        <v>1</v>
      </c>
      <c r="AO54" s="80" t="b">
        <v>0</v>
      </c>
      <c r="AP54" s="80">
        <v>0</v>
      </c>
      <c r="AQ54" s="80"/>
      <c r="AR54" s="80"/>
      <c r="AS54" s="80" t="s">
        <v>871</v>
      </c>
      <c r="AT54" s="85" t="str">
        <f>HYPERLINK("https://www.youtube.com/channel/UCcMtkpfkQVuIi6F5bxuX-0w")</f>
        <v>https://www.youtube.com/channel/UCcMtkpfkQVuIi6F5bxuX-0w</v>
      </c>
      <c r="AU54" s="80" t="str">
        <f>REPLACE(INDEX(GroupVertices[Group],MATCH(Vertices[[#This Row],[Vertex]],GroupVertices[Vertex],0)),1,1,"")</f>
        <v>1</v>
      </c>
      <c r="AV54" s="49">
        <v>1</v>
      </c>
      <c r="AW54" s="50">
        <v>25</v>
      </c>
      <c r="AX54" s="49">
        <v>0</v>
      </c>
      <c r="AY54" s="50">
        <v>0</v>
      </c>
      <c r="AZ54" s="49">
        <v>0</v>
      </c>
      <c r="BA54" s="50">
        <v>0</v>
      </c>
      <c r="BB54" s="49">
        <v>3</v>
      </c>
      <c r="BC54" s="50">
        <v>75</v>
      </c>
      <c r="BD54" s="49">
        <v>4</v>
      </c>
      <c r="BE54" s="49"/>
      <c r="BF54" s="49"/>
      <c r="BG54" s="49"/>
      <c r="BH54" s="49"/>
      <c r="BI54" s="49"/>
      <c r="BJ54" s="49"/>
      <c r="BK54" s="111" t="s">
        <v>1332</v>
      </c>
      <c r="BL54" s="111" t="s">
        <v>1332</v>
      </c>
      <c r="BM54" s="111" t="s">
        <v>1402</v>
      </c>
      <c r="BN54" s="111" t="s">
        <v>1402</v>
      </c>
      <c r="BO54" s="2"/>
      <c r="BP54" s="3"/>
      <c r="BQ54" s="3"/>
      <c r="BR54" s="3"/>
      <c r="BS54" s="3"/>
    </row>
    <row r="55" spans="1:71" ht="15">
      <c r="A55" s="65" t="s">
        <v>378</v>
      </c>
      <c r="B55" s="66"/>
      <c r="C55" s="66"/>
      <c r="D55" s="67">
        <v>150</v>
      </c>
      <c r="E55" s="69"/>
      <c r="F55" s="103" t="str">
        <f>HYPERLINK("https://yt3.ggpht.com/ytc/AAUvwniEtHteD6Qo9WDk_yZCvmEs6U9oP9rE1OWdDQ=s88-c-k-c0x00ffffff-no-rj")</f>
        <v>https://yt3.ggpht.com/ytc/AAUvwniEtHteD6Qo9WDk_yZCvmEs6U9oP9rE1OWdDQ=s88-c-k-c0x00ffffff-no-rj</v>
      </c>
      <c r="G55" s="66"/>
      <c r="H55" s="70" t="s">
        <v>718</v>
      </c>
      <c r="I55" s="71"/>
      <c r="J55" s="71" t="s">
        <v>159</v>
      </c>
      <c r="K55" s="70" t="s">
        <v>718</v>
      </c>
      <c r="L55" s="74">
        <v>1</v>
      </c>
      <c r="M55" s="75">
        <v>3526.005615234375</v>
      </c>
      <c r="N55" s="75">
        <v>9794.5400390625</v>
      </c>
      <c r="O55" s="76"/>
      <c r="P55" s="77"/>
      <c r="Q55" s="77"/>
      <c r="R55" s="89"/>
      <c r="S55" s="49">
        <v>0</v>
      </c>
      <c r="T55" s="49">
        <v>1</v>
      </c>
      <c r="U55" s="50">
        <v>0</v>
      </c>
      <c r="V55" s="50">
        <v>0.003021</v>
      </c>
      <c r="W55" s="50">
        <v>0.007133</v>
      </c>
      <c r="X55" s="50">
        <v>0.515381</v>
      </c>
      <c r="Y55" s="50">
        <v>0</v>
      </c>
      <c r="Z55" s="50">
        <v>0</v>
      </c>
      <c r="AA55" s="72">
        <v>55</v>
      </c>
      <c r="AB55" s="72"/>
      <c r="AC55" s="73"/>
      <c r="AD55" s="80" t="s">
        <v>718</v>
      </c>
      <c r="AE55" s="80"/>
      <c r="AF55" s="80"/>
      <c r="AG55" s="80"/>
      <c r="AH55" s="80"/>
      <c r="AI55" s="80"/>
      <c r="AJ55" s="87">
        <v>43823.00855324074</v>
      </c>
      <c r="AK55" s="85" t="str">
        <f>HYPERLINK("https://yt3.ggpht.com/ytc/AAUvwniEtHteD6Qo9WDk_yZCvmEs6U9oP9rE1OWdDQ=s88-c-k-c0x00ffffff-no-rj")</f>
        <v>https://yt3.ggpht.com/ytc/AAUvwniEtHteD6Qo9WDk_yZCvmEs6U9oP9rE1OWdDQ=s88-c-k-c0x00ffffff-no-rj</v>
      </c>
      <c r="AL55" s="80">
        <v>1049</v>
      </c>
      <c r="AM55" s="80">
        <v>0</v>
      </c>
      <c r="AN55" s="80">
        <v>2</v>
      </c>
      <c r="AO55" s="80" t="b">
        <v>0</v>
      </c>
      <c r="AP55" s="80">
        <v>1</v>
      </c>
      <c r="AQ55" s="80"/>
      <c r="AR55" s="80"/>
      <c r="AS55" s="80" t="s">
        <v>871</v>
      </c>
      <c r="AT55" s="85" t="str">
        <f>HYPERLINK("https://www.youtube.com/channel/UCWfOzUjfeErYNcOaL4VcKvA")</f>
        <v>https://www.youtube.com/channel/UCWfOzUjfeErYNcOaL4VcKvA</v>
      </c>
      <c r="AU55" s="80" t="str">
        <f>REPLACE(INDEX(GroupVertices[Group],MATCH(Vertices[[#This Row],[Vertex]],GroupVertices[Vertex],0)),1,1,"")</f>
        <v>1</v>
      </c>
      <c r="AV55" s="49">
        <v>0</v>
      </c>
      <c r="AW55" s="50">
        <v>0</v>
      </c>
      <c r="AX55" s="49">
        <v>0</v>
      </c>
      <c r="AY55" s="50">
        <v>0</v>
      </c>
      <c r="AZ55" s="49">
        <v>0</v>
      </c>
      <c r="BA55" s="50">
        <v>0</v>
      </c>
      <c r="BB55" s="49">
        <v>0</v>
      </c>
      <c r="BC55" s="50">
        <v>0</v>
      </c>
      <c r="BD55" s="49">
        <v>0</v>
      </c>
      <c r="BE55" s="49"/>
      <c r="BF55" s="49"/>
      <c r="BG55" s="49"/>
      <c r="BH55" s="49"/>
      <c r="BI55" s="49"/>
      <c r="BJ55" s="49"/>
      <c r="BK55" s="111" t="s">
        <v>843</v>
      </c>
      <c r="BL55" s="111" t="s">
        <v>843</v>
      </c>
      <c r="BM55" s="111" t="s">
        <v>843</v>
      </c>
      <c r="BN55" s="111" t="s">
        <v>843</v>
      </c>
      <c r="BO55" s="2"/>
      <c r="BP55" s="3"/>
      <c r="BQ55" s="3"/>
      <c r="BR55" s="3"/>
      <c r="BS55" s="3"/>
    </row>
    <row r="56" spans="1:71" ht="15">
      <c r="A56" s="65" t="s">
        <v>379</v>
      </c>
      <c r="B56" s="66"/>
      <c r="C56" s="66"/>
      <c r="D56" s="67">
        <v>150</v>
      </c>
      <c r="E56" s="69"/>
      <c r="F56" s="103" t="str">
        <f>HYPERLINK("https://yt3.ggpht.com/ytc/AAUvwng4Dp_-oMHD8oBrdGYfMhEeBnkj2hBM2ahWtQ=s88-c-k-c0x00ffffff-no-rj")</f>
        <v>https://yt3.ggpht.com/ytc/AAUvwng4Dp_-oMHD8oBrdGYfMhEeBnkj2hBM2ahWtQ=s88-c-k-c0x00ffffff-no-rj</v>
      </c>
      <c r="G56" s="66"/>
      <c r="H56" s="70" t="s">
        <v>719</v>
      </c>
      <c r="I56" s="71"/>
      <c r="J56" s="71" t="s">
        <v>159</v>
      </c>
      <c r="K56" s="70" t="s">
        <v>719</v>
      </c>
      <c r="L56" s="74">
        <v>1</v>
      </c>
      <c r="M56" s="75">
        <v>4334.1357421875</v>
      </c>
      <c r="N56" s="75">
        <v>9577.6513671875</v>
      </c>
      <c r="O56" s="76"/>
      <c r="P56" s="77"/>
      <c r="Q56" s="77"/>
      <c r="R56" s="89"/>
      <c r="S56" s="49">
        <v>0</v>
      </c>
      <c r="T56" s="49">
        <v>1</v>
      </c>
      <c r="U56" s="50">
        <v>0</v>
      </c>
      <c r="V56" s="50">
        <v>0.003021</v>
      </c>
      <c r="W56" s="50">
        <v>0.007133</v>
      </c>
      <c r="X56" s="50">
        <v>0.515381</v>
      </c>
      <c r="Y56" s="50">
        <v>0</v>
      </c>
      <c r="Z56" s="50">
        <v>0</v>
      </c>
      <c r="AA56" s="72">
        <v>56</v>
      </c>
      <c r="AB56" s="72"/>
      <c r="AC56" s="73"/>
      <c r="AD56" s="80" t="s">
        <v>719</v>
      </c>
      <c r="AE56" s="80"/>
      <c r="AF56" s="80"/>
      <c r="AG56" s="80"/>
      <c r="AH56" s="80"/>
      <c r="AI56" s="80"/>
      <c r="AJ56" s="87">
        <v>43595.64877314815</v>
      </c>
      <c r="AK56" s="85" t="str">
        <f>HYPERLINK("https://yt3.ggpht.com/ytc/AAUvwng4Dp_-oMHD8oBrdGYfMhEeBnkj2hBM2ahWtQ=s88-c-k-c0x00ffffff-no-rj")</f>
        <v>https://yt3.ggpht.com/ytc/AAUvwng4Dp_-oMHD8oBrdGYfMhEeBnkj2hBM2ahWtQ=s88-c-k-c0x00ffffff-no-rj</v>
      </c>
      <c r="AL56" s="80">
        <v>0</v>
      </c>
      <c r="AM56" s="80">
        <v>0</v>
      </c>
      <c r="AN56" s="80">
        <v>0</v>
      </c>
      <c r="AO56" s="80" t="b">
        <v>0</v>
      </c>
      <c r="AP56" s="80">
        <v>0</v>
      </c>
      <c r="AQ56" s="80"/>
      <c r="AR56" s="80"/>
      <c r="AS56" s="80" t="s">
        <v>871</v>
      </c>
      <c r="AT56" s="85" t="str">
        <f>HYPERLINK("https://www.youtube.com/channel/UCeeL1I50sPpXQ0-0IaswtEg")</f>
        <v>https://www.youtube.com/channel/UCeeL1I50sPpXQ0-0IaswtEg</v>
      </c>
      <c r="AU56" s="80" t="str">
        <f>REPLACE(INDEX(GroupVertices[Group],MATCH(Vertices[[#This Row],[Vertex]],GroupVertices[Vertex],0)),1,1,"")</f>
        <v>1</v>
      </c>
      <c r="AV56" s="49">
        <v>0</v>
      </c>
      <c r="AW56" s="50">
        <v>0</v>
      </c>
      <c r="AX56" s="49">
        <v>1</v>
      </c>
      <c r="AY56" s="50">
        <v>33.333333333333336</v>
      </c>
      <c r="AZ56" s="49">
        <v>0</v>
      </c>
      <c r="BA56" s="50">
        <v>0</v>
      </c>
      <c r="BB56" s="49">
        <v>2</v>
      </c>
      <c r="BC56" s="50">
        <v>66.66666666666667</v>
      </c>
      <c r="BD56" s="49">
        <v>3</v>
      </c>
      <c r="BE56" s="49"/>
      <c r="BF56" s="49"/>
      <c r="BG56" s="49"/>
      <c r="BH56" s="49"/>
      <c r="BI56" s="49"/>
      <c r="BJ56" s="49"/>
      <c r="BK56" s="111" t="s">
        <v>1333</v>
      </c>
      <c r="BL56" s="111" t="s">
        <v>1333</v>
      </c>
      <c r="BM56" s="111" t="s">
        <v>1403</v>
      </c>
      <c r="BN56" s="111" t="s">
        <v>1403</v>
      </c>
      <c r="BO56" s="2"/>
      <c r="BP56" s="3"/>
      <c r="BQ56" s="3"/>
      <c r="BR56" s="3"/>
      <c r="BS56" s="3"/>
    </row>
    <row r="57" spans="1:71" ht="15">
      <c r="A57" s="65" t="s">
        <v>380</v>
      </c>
      <c r="B57" s="66"/>
      <c r="C57" s="66"/>
      <c r="D57" s="67">
        <v>150</v>
      </c>
      <c r="E57" s="69"/>
      <c r="F57" s="103" t="str">
        <f>HYPERLINK("https://yt3.ggpht.com/ytc/AAUvwngVaj_umRKoybJvAlQ_8J_HzuZrQc_57sU1OQ=s88-c-k-c0x00ffffff-no-rj")</f>
        <v>https://yt3.ggpht.com/ytc/AAUvwngVaj_umRKoybJvAlQ_8J_HzuZrQc_57sU1OQ=s88-c-k-c0x00ffffff-no-rj</v>
      </c>
      <c r="G57" s="66"/>
      <c r="H57" s="70" t="s">
        <v>720</v>
      </c>
      <c r="I57" s="71"/>
      <c r="J57" s="71" t="s">
        <v>159</v>
      </c>
      <c r="K57" s="70" t="s">
        <v>720</v>
      </c>
      <c r="L57" s="74">
        <v>1</v>
      </c>
      <c r="M57" s="75">
        <v>1927.0341796875</v>
      </c>
      <c r="N57" s="75">
        <v>3117.089599609375</v>
      </c>
      <c r="O57" s="76"/>
      <c r="P57" s="77"/>
      <c r="Q57" s="77"/>
      <c r="R57" s="89"/>
      <c r="S57" s="49">
        <v>0</v>
      </c>
      <c r="T57" s="49">
        <v>1</v>
      </c>
      <c r="U57" s="50">
        <v>0</v>
      </c>
      <c r="V57" s="50">
        <v>0.003021</v>
      </c>
      <c r="W57" s="50">
        <v>0.007133</v>
      </c>
      <c r="X57" s="50">
        <v>0.515381</v>
      </c>
      <c r="Y57" s="50">
        <v>0</v>
      </c>
      <c r="Z57" s="50">
        <v>0</v>
      </c>
      <c r="AA57" s="72">
        <v>57</v>
      </c>
      <c r="AB57" s="72"/>
      <c r="AC57" s="73"/>
      <c r="AD57" s="80" t="s">
        <v>720</v>
      </c>
      <c r="AE57" s="80"/>
      <c r="AF57" s="80"/>
      <c r="AG57" s="80"/>
      <c r="AH57" s="80"/>
      <c r="AI57" s="80"/>
      <c r="AJ57" s="87">
        <v>43991.57950231482</v>
      </c>
      <c r="AK57" s="85" t="str">
        <f>HYPERLINK("https://yt3.ggpht.com/ytc/AAUvwngVaj_umRKoybJvAlQ_8J_HzuZrQc_57sU1OQ=s88-c-k-c0x00ffffff-no-rj")</f>
        <v>https://yt3.ggpht.com/ytc/AAUvwngVaj_umRKoybJvAlQ_8J_HzuZrQc_57sU1OQ=s88-c-k-c0x00ffffff-no-rj</v>
      </c>
      <c r="AL57" s="80">
        <v>0</v>
      </c>
      <c r="AM57" s="80">
        <v>0</v>
      </c>
      <c r="AN57" s="80">
        <v>0</v>
      </c>
      <c r="AO57" s="80" t="b">
        <v>0</v>
      </c>
      <c r="AP57" s="80">
        <v>0</v>
      </c>
      <c r="AQ57" s="80"/>
      <c r="AR57" s="80"/>
      <c r="AS57" s="80" t="s">
        <v>871</v>
      </c>
      <c r="AT57" s="85" t="str">
        <f>HYPERLINK("https://www.youtube.com/channel/UC2YGSUJ7Q7r_bWzcHvqGvaA")</f>
        <v>https://www.youtube.com/channel/UC2YGSUJ7Q7r_bWzcHvqGvaA</v>
      </c>
      <c r="AU57" s="80" t="str">
        <f>REPLACE(INDEX(GroupVertices[Group],MATCH(Vertices[[#This Row],[Vertex]],GroupVertices[Vertex],0)),1,1,"")</f>
        <v>1</v>
      </c>
      <c r="AV57" s="49">
        <v>0</v>
      </c>
      <c r="AW57" s="50">
        <v>0</v>
      </c>
      <c r="AX57" s="49">
        <v>1</v>
      </c>
      <c r="AY57" s="50">
        <v>14.285714285714286</v>
      </c>
      <c r="AZ57" s="49">
        <v>0</v>
      </c>
      <c r="BA57" s="50">
        <v>0</v>
      </c>
      <c r="BB57" s="49">
        <v>6</v>
      </c>
      <c r="BC57" s="50">
        <v>85.71428571428571</v>
      </c>
      <c r="BD57" s="49">
        <v>7</v>
      </c>
      <c r="BE57" s="49"/>
      <c r="BF57" s="49"/>
      <c r="BG57" s="49"/>
      <c r="BH57" s="49"/>
      <c r="BI57" s="49"/>
      <c r="BJ57" s="49"/>
      <c r="BK57" s="111" t="s">
        <v>1334</v>
      </c>
      <c r="BL57" s="111" t="s">
        <v>1334</v>
      </c>
      <c r="BM57" s="111" t="s">
        <v>1404</v>
      </c>
      <c r="BN57" s="111" t="s">
        <v>1404</v>
      </c>
      <c r="BO57" s="2"/>
      <c r="BP57" s="3"/>
      <c r="BQ57" s="3"/>
      <c r="BR57" s="3"/>
      <c r="BS57" s="3"/>
    </row>
    <row r="58" spans="1:71" ht="15">
      <c r="A58" s="65" t="s">
        <v>381</v>
      </c>
      <c r="B58" s="66"/>
      <c r="C58" s="66"/>
      <c r="D58" s="67">
        <v>150</v>
      </c>
      <c r="E58" s="69"/>
      <c r="F58" s="103" t="str">
        <f>HYPERLINK("https://yt3.ggpht.com/ytc/AAUvwni6mj9Jf78LG5Yl1gxDF1gUjwf7W-H7bxcPdKFAyw=s88-c-k-c0x00ffffff-no-rj")</f>
        <v>https://yt3.ggpht.com/ytc/AAUvwni6mj9Jf78LG5Yl1gxDF1gUjwf7W-H7bxcPdKFAyw=s88-c-k-c0x00ffffff-no-rj</v>
      </c>
      <c r="G58" s="66"/>
      <c r="H58" s="70" t="s">
        <v>721</v>
      </c>
      <c r="I58" s="71"/>
      <c r="J58" s="71" t="s">
        <v>159</v>
      </c>
      <c r="K58" s="70" t="s">
        <v>721</v>
      </c>
      <c r="L58" s="74">
        <v>1</v>
      </c>
      <c r="M58" s="75">
        <v>5740.18994140625</v>
      </c>
      <c r="N58" s="75">
        <v>6963.87060546875</v>
      </c>
      <c r="O58" s="76"/>
      <c r="P58" s="77"/>
      <c r="Q58" s="77"/>
      <c r="R58" s="89"/>
      <c r="S58" s="49">
        <v>0</v>
      </c>
      <c r="T58" s="49">
        <v>1</v>
      </c>
      <c r="U58" s="50">
        <v>0</v>
      </c>
      <c r="V58" s="50">
        <v>0.003021</v>
      </c>
      <c r="W58" s="50">
        <v>0.007133</v>
      </c>
      <c r="X58" s="50">
        <v>0.515381</v>
      </c>
      <c r="Y58" s="50">
        <v>0</v>
      </c>
      <c r="Z58" s="50">
        <v>0</v>
      </c>
      <c r="AA58" s="72">
        <v>58</v>
      </c>
      <c r="AB58" s="72"/>
      <c r="AC58" s="73"/>
      <c r="AD58" s="80" t="s">
        <v>721</v>
      </c>
      <c r="AE58" s="80" t="s">
        <v>862</v>
      </c>
      <c r="AF58" s="80"/>
      <c r="AG58" s="80"/>
      <c r="AH58" s="80"/>
      <c r="AI58" s="80"/>
      <c r="AJ58" s="87">
        <v>41862.64858796296</v>
      </c>
      <c r="AK58" s="85" t="str">
        <f>HYPERLINK("https://yt3.ggpht.com/ytc/AAUvwni6mj9Jf78LG5Yl1gxDF1gUjwf7W-H7bxcPdKFAyw=s88-c-k-c0x00ffffff-no-rj")</f>
        <v>https://yt3.ggpht.com/ytc/AAUvwni6mj9Jf78LG5Yl1gxDF1gUjwf7W-H7bxcPdKFAyw=s88-c-k-c0x00ffffff-no-rj</v>
      </c>
      <c r="AL58" s="80">
        <v>387</v>
      </c>
      <c r="AM58" s="80">
        <v>0</v>
      </c>
      <c r="AN58" s="80">
        <v>1</v>
      </c>
      <c r="AO58" s="80" t="b">
        <v>0</v>
      </c>
      <c r="AP58" s="80">
        <v>4</v>
      </c>
      <c r="AQ58" s="80"/>
      <c r="AR58" s="80"/>
      <c r="AS58" s="80" t="s">
        <v>871</v>
      </c>
      <c r="AT58" s="85" t="str">
        <f>HYPERLINK("https://www.youtube.com/channel/UCRItJ0PKDY9MWYne5EKovMQ")</f>
        <v>https://www.youtube.com/channel/UCRItJ0PKDY9MWYne5EKovMQ</v>
      </c>
      <c r="AU58" s="80" t="str">
        <f>REPLACE(INDEX(GroupVertices[Group],MATCH(Vertices[[#This Row],[Vertex]],GroupVertices[Vertex],0)),1,1,"")</f>
        <v>1</v>
      </c>
      <c r="AV58" s="49">
        <v>0</v>
      </c>
      <c r="AW58" s="50">
        <v>0</v>
      </c>
      <c r="AX58" s="49">
        <v>0</v>
      </c>
      <c r="AY58" s="50">
        <v>0</v>
      </c>
      <c r="AZ58" s="49">
        <v>0</v>
      </c>
      <c r="BA58" s="50">
        <v>0</v>
      </c>
      <c r="BB58" s="49">
        <v>4</v>
      </c>
      <c r="BC58" s="50">
        <v>100</v>
      </c>
      <c r="BD58" s="49">
        <v>4</v>
      </c>
      <c r="BE58" s="49"/>
      <c r="BF58" s="49"/>
      <c r="BG58" s="49"/>
      <c r="BH58" s="49"/>
      <c r="BI58" s="49"/>
      <c r="BJ58" s="49"/>
      <c r="BK58" s="111" t="s">
        <v>1500</v>
      </c>
      <c r="BL58" s="111" t="s">
        <v>1500</v>
      </c>
      <c r="BM58" s="111" t="s">
        <v>1566</v>
      </c>
      <c r="BN58" s="111" t="s">
        <v>1566</v>
      </c>
      <c r="BO58" s="2"/>
      <c r="BP58" s="3"/>
      <c r="BQ58" s="3"/>
      <c r="BR58" s="3"/>
      <c r="BS58" s="3"/>
    </row>
    <row r="59" spans="1:71" ht="15">
      <c r="A59" s="65" t="s">
        <v>382</v>
      </c>
      <c r="B59" s="66"/>
      <c r="C59" s="66"/>
      <c r="D59" s="67">
        <v>150</v>
      </c>
      <c r="E59" s="69"/>
      <c r="F59" s="103" t="str">
        <f>HYPERLINK("https://yt3.ggpht.com/ytc/AAUvwnj5tFB4WIZbmwbVVOD84RjfdJ1-mE8HC9PhrQ=s88-c-k-c0x00ffffff-no-rj")</f>
        <v>https://yt3.ggpht.com/ytc/AAUvwnj5tFB4WIZbmwbVVOD84RjfdJ1-mE8HC9PhrQ=s88-c-k-c0x00ffffff-no-rj</v>
      </c>
      <c r="G59" s="66"/>
      <c r="H59" s="70" t="s">
        <v>722</v>
      </c>
      <c r="I59" s="71"/>
      <c r="J59" s="71" t="s">
        <v>159</v>
      </c>
      <c r="K59" s="70" t="s">
        <v>722</v>
      </c>
      <c r="L59" s="74">
        <v>1</v>
      </c>
      <c r="M59" s="75">
        <v>1742.751953125</v>
      </c>
      <c r="N59" s="75">
        <v>5101.1865234375</v>
      </c>
      <c r="O59" s="76"/>
      <c r="P59" s="77"/>
      <c r="Q59" s="77"/>
      <c r="R59" s="89"/>
      <c r="S59" s="49">
        <v>0</v>
      </c>
      <c r="T59" s="49">
        <v>1</v>
      </c>
      <c r="U59" s="50">
        <v>0</v>
      </c>
      <c r="V59" s="50">
        <v>0.003021</v>
      </c>
      <c r="W59" s="50">
        <v>0.007133</v>
      </c>
      <c r="X59" s="50">
        <v>0.515381</v>
      </c>
      <c r="Y59" s="50">
        <v>0</v>
      </c>
      <c r="Z59" s="50">
        <v>0</v>
      </c>
      <c r="AA59" s="72">
        <v>59</v>
      </c>
      <c r="AB59" s="72"/>
      <c r="AC59" s="73"/>
      <c r="AD59" s="80" t="s">
        <v>722</v>
      </c>
      <c r="AE59" s="80"/>
      <c r="AF59" s="80"/>
      <c r="AG59" s="80"/>
      <c r="AH59" s="80"/>
      <c r="AI59" s="80"/>
      <c r="AJ59" s="87">
        <v>42948.653495370374</v>
      </c>
      <c r="AK59" s="85" t="str">
        <f>HYPERLINK("https://yt3.ggpht.com/ytc/AAUvwnj5tFB4WIZbmwbVVOD84RjfdJ1-mE8HC9PhrQ=s88-c-k-c0x00ffffff-no-rj")</f>
        <v>https://yt3.ggpht.com/ytc/AAUvwnj5tFB4WIZbmwbVVOD84RjfdJ1-mE8HC9PhrQ=s88-c-k-c0x00ffffff-no-rj</v>
      </c>
      <c r="AL59" s="80">
        <v>0</v>
      </c>
      <c r="AM59" s="80">
        <v>0</v>
      </c>
      <c r="AN59" s="80">
        <v>4</v>
      </c>
      <c r="AO59" s="80" t="b">
        <v>0</v>
      </c>
      <c r="AP59" s="80">
        <v>0</v>
      </c>
      <c r="AQ59" s="80"/>
      <c r="AR59" s="80"/>
      <c r="AS59" s="80" t="s">
        <v>871</v>
      </c>
      <c r="AT59" s="85" t="str">
        <f>HYPERLINK("https://www.youtube.com/channel/UCeV58bfiRGauOf8N_45041A")</f>
        <v>https://www.youtube.com/channel/UCeV58bfiRGauOf8N_45041A</v>
      </c>
      <c r="AU59" s="80" t="str">
        <f>REPLACE(INDEX(GroupVertices[Group],MATCH(Vertices[[#This Row],[Vertex]],GroupVertices[Vertex],0)),1,1,"")</f>
        <v>1</v>
      </c>
      <c r="AV59" s="49">
        <v>1</v>
      </c>
      <c r="AW59" s="50">
        <v>2.6315789473684212</v>
      </c>
      <c r="AX59" s="49">
        <v>2</v>
      </c>
      <c r="AY59" s="50">
        <v>5.2631578947368425</v>
      </c>
      <c r="AZ59" s="49">
        <v>0</v>
      </c>
      <c r="BA59" s="50">
        <v>0</v>
      </c>
      <c r="BB59" s="49">
        <v>35</v>
      </c>
      <c r="BC59" s="50">
        <v>92.10526315789474</v>
      </c>
      <c r="BD59" s="49">
        <v>38</v>
      </c>
      <c r="BE59" s="49"/>
      <c r="BF59" s="49"/>
      <c r="BG59" s="49"/>
      <c r="BH59" s="49"/>
      <c r="BI59" s="49"/>
      <c r="BJ59" s="49"/>
      <c r="BK59" s="111" t="s">
        <v>1335</v>
      </c>
      <c r="BL59" s="111" t="s">
        <v>1335</v>
      </c>
      <c r="BM59" s="111" t="s">
        <v>1405</v>
      </c>
      <c r="BN59" s="111" t="s">
        <v>1405</v>
      </c>
      <c r="BO59" s="2"/>
      <c r="BP59" s="3"/>
      <c r="BQ59" s="3"/>
      <c r="BR59" s="3"/>
      <c r="BS59" s="3"/>
    </row>
    <row r="60" spans="1:71" ht="15">
      <c r="A60" s="65" t="s">
        <v>383</v>
      </c>
      <c r="B60" s="66"/>
      <c r="C60" s="66"/>
      <c r="D60" s="67">
        <v>150</v>
      </c>
      <c r="E60" s="69"/>
      <c r="F60" s="103" t="str">
        <f>HYPERLINK("https://yt3.ggpht.com/ytc/AAUvwniaU7nqc0l1CtWtO51_grJ2C9S_ysi0Dg4WqQ=s88-c-k-c0x00ffffff-no-rj")</f>
        <v>https://yt3.ggpht.com/ytc/AAUvwniaU7nqc0l1CtWtO51_grJ2C9S_ysi0Dg4WqQ=s88-c-k-c0x00ffffff-no-rj</v>
      </c>
      <c r="G60" s="66"/>
      <c r="H60" s="70" t="s">
        <v>723</v>
      </c>
      <c r="I60" s="71"/>
      <c r="J60" s="71" t="s">
        <v>159</v>
      </c>
      <c r="K60" s="70" t="s">
        <v>723</v>
      </c>
      <c r="L60" s="74">
        <v>1</v>
      </c>
      <c r="M60" s="75">
        <v>6586.42529296875</v>
      </c>
      <c r="N60" s="75">
        <v>4854.05419921875</v>
      </c>
      <c r="O60" s="76"/>
      <c r="P60" s="77"/>
      <c r="Q60" s="77"/>
      <c r="R60" s="89"/>
      <c r="S60" s="49">
        <v>0</v>
      </c>
      <c r="T60" s="49">
        <v>1</v>
      </c>
      <c r="U60" s="50">
        <v>0</v>
      </c>
      <c r="V60" s="50">
        <v>0.003021</v>
      </c>
      <c r="W60" s="50">
        <v>0.007133</v>
      </c>
      <c r="X60" s="50">
        <v>0.515381</v>
      </c>
      <c r="Y60" s="50">
        <v>0</v>
      </c>
      <c r="Z60" s="50">
        <v>0</v>
      </c>
      <c r="AA60" s="72">
        <v>60</v>
      </c>
      <c r="AB60" s="72"/>
      <c r="AC60" s="73"/>
      <c r="AD60" s="80" t="s">
        <v>723</v>
      </c>
      <c r="AE60" s="80"/>
      <c r="AF60" s="80"/>
      <c r="AG60" s="80"/>
      <c r="AH60" s="80"/>
      <c r="AI60" s="80"/>
      <c r="AJ60" s="87">
        <v>42584.61732638889</v>
      </c>
      <c r="AK60" s="85" t="str">
        <f>HYPERLINK("https://yt3.ggpht.com/ytc/AAUvwniaU7nqc0l1CtWtO51_grJ2C9S_ysi0Dg4WqQ=s88-c-k-c0x00ffffff-no-rj")</f>
        <v>https://yt3.ggpht.com/ytc/AAUvwniaU7nqc0l1CtWtO51_grJ2C9S_ysi0Dg4WqQ=s88-c-k-c0x00ffffff-no-rj</v>
      </c>
      <c r="AL60" s="80">
        <v>0</v>
      </c>
      <c r="AM60" s="80">
        <v>0</v>
      </c>
      <c r="AN60" s="80">
        <v>0</v>
      </c>
      <c r="AO60" s="80" t="b">
        <v>0</v>
      </c>
      <c r="AP60" s="80">
        <v>0</v>
      </c>
      <c r="AQ60" s="80"/>
      <c r="AR60" s="80"/>
      <c r="AS60" s="80" t="s">
        <v>871</v>
      </c>
      <c r="AT60" s="85" t="str">
        <f>HYPERLINK("https://www.youtube.com/channel/UCSCzVOLLdSoDPwOZG9LE78w")</f>
        <v>https://www.youtube.com/channel/UCSCzVOLLdSoDPwOZG9LE78w</v>
      </c>
      <c r="AU60" s="80" t="str">
        <f>REPLACE(INDEX(GroupVertices[Group],MATCH(Vertices[[#This Row],[Vertex]],GroupVertices[Vertex],0)),1,1,"")</f>
        <v>1</v>
      </c>
      <c r="AV60" s="49">
        <v>0</v>
      </c>
      <c r="AW60" s="50">
        <v>0</v>
      </c>
      <c r="AX60" s="49">
        <v>0</v>
      </c>
      <c r="AY60" s="50">
        <v>0</v>
      </c>
      <c r="AZ60" s="49">
        <v>0</v>
      </c>
      <c r="BA60" s="50">
        <v>0</v>
      </c>
      <c r="BB60" s="49">
        <v>19</v>
      </c>
      <c r="BC60" s="50">
        <v>100</v>
      </c>
      <c r="BD60" s="49">
        <v>19</v>
      </c>
      <c r="BE60" s="49"/>
      <c r="BF60" s="49"/>
      <c r="BG60" s="49"/>
      <c r="BH60" s="49"/>
      <c r="BI60" s="49"/>
      <c r="BJ60" s="49"/>
      <c r="BK60" s="111" t="s">
        <v>1501</v>
      </c>
      <c r="BL60" s="111" t="s">
        <v>1501</v>
      </c>
      <c r="BM60" s="111" t="s">
        <v>1567</v>
      </c>
      <c r="BN60" s="111" t="s">
        <v>1567</v>
      </c>
      <c r="BO60" s="2"/>
      <c r="BP60" s="3"/>
      <c r="BQ60" s="3"/>
      <c r="BR60" s="3"/>
      <c r="BS60" s="3"/>
    </row>
    <row r="61" spans="1:71" ht="15">
      <c r="A61" s="65" t="s">
        <v>384</v>
      </c>
      <c r="B61" s="66"/>
      <c r="C61" s="66"/>
      <c r="D61" s="67">
        <v>150</v>
      </c>
      <c r="E61" s="69"/>
      <c r="F61" s="103" t="str">
        <f>HYPERLINK("https://yt3.ggpht.com/ytc/AAUvwngZTWIp2NT8IUU0QRsFc_H94e2Eq1sGqWYyzFtbRQ=s88-c-k-c0x00ffffff-no-rj")</f>
        <v>https://yt3.ggpht.com/ytc/AAUvwngZTWIp2NT8IUU0QRsFc_H94e2Eq1sGqWYyzFtbRQ=s88-c-k-c0x00ffffff-no-rj</v>
      </c>
      <c r="G61" s="66"/>
      <c r="H61" s="70" t="s">
        <v>724</v>
      </c>
      <c r="I61" s="71"/>
      <c r="J61" s="71" t="s">
        <v>159</v>
      </c>
      <c r="K61" s="70" t="s">
        <v>724</v>
      </c>
      <c r="L61" s="74">
        <v>1</v>
      </c>
      <c r="M61" s="75">
        <v>1295.7423095703125</v>
      </c>
      <c r="N61" s="75">
        <v>7764.40625</v>
      </c>
      <c r="O61" s="76"/>
      <c r="P61" s="77"/>
      <c r="Q61" s="77"/>
      <c r="R61" s="89"/>
      <c r="S61" s="49">
        <v>0</v>
      </c>
      <c r="T61" s="49">
        <v>1</v>
      </c>
      <c r="U61" s="50">
        <v>0</v>
      </c>
      <c r="V61" s="50">
        <v>0.003021</v>
      </c>
      <c r="W61" s="50">
        <v>0.007133</v>
      </c>
      <c r="X61" s="50">
        <v>0.515381</v>
      </c>
      <c r="Y61" s="50">
        <v>0</v>
      </c>
      <c r="Z61" s="50">
        <v>0</v>
      </c>
      <c r="AA61" s="72">
        <v>61</v>
      </c>
      <c r="AB61" s="72"/>
      <c r="AC61" s="73"/>
      <c r="AD61" s="80" t="s">
        <v>724</v>
      </c>
      <c r="AE61" s="80"/>
      <c r="AF61" s="80"/>
      <c r="AG61" s="80"/>
      <c r="AH61" s="80"/>
      <c r="AI61" s="80"/>
      <c r="AJ61" s="87">
        <v>40855.591365740744</v>
      </c>
      <c r="AK61" s="85" t="str">
        <f>HYPERLINK("https://yt3.ggpht.com/ytc/AAUvwngZTWIp2NT8IUU0QRsFc_H94e2Eq1sGqWYyzFtbRQ=s88-c-k-c0x00ffffff-no-rj")</f>
        <v>https://yt3.ggpht.com/ytc/AAUvwngZTWIp2NT8IUU0QRsFc_H94e2Eq1sGqWYyzFtbRQ=s88-c-k-c0x00ffffff-no-rj</v>
      </c>
      <c r="AL61" s="80">
        <v>122</v>
      </c>
      <c r="AM61" s="80">
        <v>0</v>
      </c>
      <c r="AN61" s="80">
        <v>6</v>
      </c>
      <c r="AO61" s="80" t="b">
        <v>0</v>
      </c>
      <c r="AP61" s="80">
        <v>4</v>
      </c>
      <c r="AQ61" s="80"/>
      <c r="AR61" s="80"/>
      <c r="AS61" s="80" t="s">
        <v>871</v>
      </c>
      <c r="AT61" s="85" t="str">
        <f>HYPERLINK("https://www.youtube.com/channel/UCl6TpekMDFS5YA7Llp8CMFA")</f>
        <v>https://www.youtube.com/channel/UCl6TpekMDFS5YA7Llp8CMFA</v>
      </c>
      <c r="AU61" s="80" t="str">
        <f>REPLACE(INDEX(GroupVertices[Group],MATCH(Vertices[[#This Row],[Vertex]],GroupVertices[Vertex],0)),1,1,"")</f>
        <v>1</v>
      </c>
      <c r="AV61" s="49">
        <v>0</v>
      </c>
      <c r="AW61" s="50">
        <v>0</v>
      </c>
      <c r="AX61" s="49">
        <v>0</v>
      </c>
      <c r="AY61" s="50">
        <v>0</v>
      </c>
      <c r="AZ61" s="49">
        <v>0</v>
      </c>
      <c r="BA61" s="50">
        <v>0</v>
      </c>
      <c r="BB61" s="49">
        <v>2</v>
      </c>
      <c r="BC61" s="50">
        <v>100</v>
      </c>
      <c r="BD61" s="49">
        <v>2</v>
      </c>
      <c r="BE61" s="49"/>
      <c r="BF61" s="49"/>
      <c r="BG61" s="49"/>
      <c r="BH61" s="49"/>
      <c r="BI61" s="49"/>
      <c r="BJ61" s="49"/>
      <c r="BK61" s="111" t="s">
        <v>1336</v>
      </c>
      <c r="BL61" s="111" t="s">
        <v>1336</v>
      </c>
      <c r="BM61" s="111" t="s">
        <v>1406</v>
      </c>
      <c r="BN61" s="111" t="s">
        <v>1406</v>
      </c>
      <c r="BO61" s="2"/>
      <c r="BP61" s="3"/>
      <c r="BQ61" s="3"/>
      <c r="BR61" s="3"/>
      <c r="BS61" s="3"/>
    </row>
    <row r="62" spans="1:71" ht="15">
      <c r="A62" s="65" t="s">
        <v>385</v>
      </c>
      <c r="B62" s="66"/>
      <c r="C62" s="66"/>
      <c r="D62" s="67">
        <v>150</v>
      </c>
      <c r="E62" s="69"/>
      <c r="F62" s="103" t="str">
        <f>HYPERLINK("https://yt3.ggpht.com/ytc/AAUvwnjLGoMgy6bXPYgMifgAVDUjD1YpT27FnqNHxL1_JA=s88-c-k-c0x00ffffff-no-rj")</f>
        <v>https://yt3.ggpht.com/ytc/AAUvwnjLGoMgy6bXPYgMifgAVDUjD1YpT27FnqNHxL1_JA=s88-c-k-c0x00ffffff-no-rj</v>
      </c>
      <c r="G62" s="66"/>
      <c r="H62" s="70" t="s">
        <v>725</v>
      </c>
      <c r="I62" s="71"/>
      <c r="J62" s="71" t="s">
        <v>159</v>
      </c>
      <c r="K62" s="70" t="s">
        <v>725</v>
      </c>
      <c r="L62" s="74">
        <v>1</v>
      </c>
      <c r="M62" s="75">
        <v>3755.667236328125</v>
      </c>
      <c r="N62" s="75">
        <v>6665.63525390625</v>
      </c>
      <c r="O62" s="76"/>
      <c r="P62" s="77"/>
      <c r="Q62" s="77"/>
      <c r="R62" s="89"/>
      <c r="S62" s="49">
        <v>0</v>
      </c>
      <c r="T62" s="49">
        <v>1</v>
      </c>
      <c r="U62" s="50">
        <v>0</v>
      </c>
      <c r="V62" s="50">
        <v>0.003021</v>
      </c>
      <c r="W62" s="50">
        <v>0.007133</v>
      </c>
      <c r="X62" s="50">
        <v>0.515381</v>
      </c>
      <c r="Y62" s="50">
        <v>0</v>
      </c>
      <c r="Z62" s="50">
        <v>0</v>
      </c>
      <c r="AA62" s="72">
        <v>62</v>
      </c>
      <c r="AB62" s="72"/>
      <c r="AC62" s="73"/>
      <c r="AD62" s="80" t="s">
        <v>725</v>
      </c>
      <c r="AE62" s="80"/>
      <c r="AF62" s="80"/>
      <c r="AG62" s="80"/>
      <c r="AH62" s="80"/>
      <c r="AI62" s="80"/>
      <c r="AJ62" s="87">
        <v>43023.57833333333</v>
      </c>
      <c r="AK62" s="85" t="str">
        <f>HYPERLINK("https://yt3.ggpht.com/ytc/AAUvwnjLGoMgy6bXPYgMifgAVDUjD1YpT27FnqNHxL1_JA=s88-c-k-c0x00ffffff-no-rj")</f>
        <v>https://yt3.ggpht.com/ytc/AAUvwnjLGoMgy6bXPYgMifgAVDUjD1YpT27FnqNHxL1_JA=s88-c-k-c0x00ffffff-no-rj</v>
      </c>
      <c r="AL62" s="80">
        <v>2</v>
      </c>
      <c r="AM62" s="80">
        <v>0</v>
      </c>
      <c r="AN62" s="80">
        <v>0</v>
      </c>
      <c r="AO62" s="80" t="b">
        <v>0</v>
      </c>
      <c r="AP62" s="80">
        <v>1</v>
      </c>
      <c r="AQ62" s="80"/>
      <c r="AR62" s="80"/>
      <c r="AS62" s="80" t="s">
        <v>871</v>
      </c>
      <c r="AT62" s="85" t="str">
        <f>HYPERLINK("https://www.youtube.com/channel/UCIHuJRBYVtuBMSdxgXbheiA")</f>
        <v>https://www.youtube.com/channel/UCIHuJRBYVtuBMSdxgXbheiA</v>
      </c>
      <c r="AU62" s="80" t="str">
        <f>REPLACE(INDEX(GroupVertices[Group],MATCH(Vertices[[#This Row],[Vertex]],GroupVertices[Vertex],0)),1,1,"")</f>
        <v>1</v>
      </c>
      <c r="AV62" s="49">
        <v>0</v>
      </c>
      <c r="AW62" s="50">
        <v>0</v>
      </c>
      <c r="AX62" s="49">
        <v>0</v>
      </c>
      <c r="AY62" s="50">
        <v>0</v>
      </c>
      <c r="AZ62" s="49">
        <v>0</v>
      </c>
      <c r="BA62" s="50">
        <v>0</v>
      </c>
      <c r="BB62" s="49">
        <v>0</v>
      </c>
      <c r="BC62" s="50">
        <v>0</v>
      </c>
      <c r="BD62" s="49">
        <v>0</v>
      </c>
      <c r="BE62" s="49"/>
      <c r="BF62" s="49"/>
      <c r="BG62" s="49"/>
      <c r="BH62" s="49"/>
      <c r="BI62" s="49"/>
      <c r="BJ62" s="49"/>
      <c r="BK62" s="111" t="s">
        <v>843</v>
      </c>
      <c r="BL62" s="111" t="s">
        <v>843</v>
      </c>
      <c r="BM62" s="111" t="s">
        <v>843</v>
      </c>
      <c r="BN62" s="111" t="s">
        <v>843</v>
      </c>
      <c r="BO62" s="2"/>
      <c r="BP62" s="3"/>
      <c r="BQ62" s="3"/>
      <c r="BR62" s="3"/>
      <c r="BS62" s="3"/>
    </row>
    <row r="63" spans="1:71" ht="15">
      <c r="A63" s="65" t="s">
        <v>386</v>
      </c>
      <c r="B63" s="66"/>
      <c r="C63" s="66"/>
      <c r="D63" s="67">
        <v>150</v>
      </c>
      <c r="E63" s="69"/>
      <c r="F63" s="103" t="str">
        <f>HYPERLINK("https://yt3.ggpht.com/ytc/AAUvwnjYDH6uLes2Nf1Q7NKOzcG3zGvr6apO0HmfhfPu=s88-c-k-c0x00ffffff-no-rj")</f>
        <v>https://yt3.ggpht.com/ytc/AAUvwnjYDH6uLes2Nf1Q7NKOzcG3zGvr6apO0HmfhfPu=s88-c-k-c0x00ffffff-no-rj</v>
      </c>
      <c r="G63" s="66"/>
      <c r="H63" s="70" t="s">
        <v>726</v>
      </c>
      <c r="I63" s="71"/>
      <c r="J63" s="71" t="s">
        <v>159</v>
      </c>
      <c r="K63" s="70" t="s">
        <v>726</v>
      </c>
      <c r="L63" s="74">
        <v>1</v>
      </c>
      <c r="M63" s="75">
        <v>2314.58349609375</v>
      </c>
      <c r="N63" s="75">
        <v>8571.7685546875</v>
      </c>
      <c r="O63" s="76"/>
      <c r="P63" s="77"/>
      <c r="Q63" s="77"/>
      <c r="R63" s="89"/>
      <c r="S63" s="49">
        <v>0</v>
      </c>
      <c r="T63" s="49">
        <v>1</v>
      </c>
      <c r="U63" s="50">
        <v>0</v>
      </c>
      <c r="V63" s="50">
        <v>0.003021</v>
      </c>
      <c r="W63" s="50">
        <v>0.007133</v>
      </c>
      <c r="X63" s="50">
        <v>0.515381</v>
      </c>
      <c r="Y63" s="50">
        <v>0</v>
      </c>
      <c r="Z63" s="50">
        <v>0</v>
      </c>
      <c r="AA63" s="72">
        <v>63</v>
      </c>
      <c r="AB63" s="72"/>
      <c r="AC63" s="73"/>
      <c r="AD63" s="80" t="s">
        <v>726</v>
      </c>
      <c r="AE63" s="80"/>
      <c r="AF63" s="80"/>
      <c r="AG63" s="80"/>
      <c r="AH63" s="80"/>
      <c r="AI63" s="80"/>
      <c r="AJ63" s="87">
        <v>41215.590474537035</v>
      </c>
      <c r="AK63" s="85" t="str">
        <f>HYPERLINK("https://yt3.ggpht.com/ytc/AAUvwnjYDH6uLes2Nf1Q7NKOzcG3zGvr6apO0HmfhfPu=s88-c-k-c0x00ffffff-no-rj")</f>
        <v>https://yt3.ggpht.com/ytc/AAUvwnjYDH6uLes2Nf1Q7NKOzcG3zGvr6apO0HmfhfPu=s88-c-k-c0x00ffffff-no-rj</v>
      </c>
      <c r="AL63" s="80">
        <v>0</v>
      </c>
      <c r="AM63" s="80">
        <v>0</v>
      </c>
      <c r="AN63" s="80">
        <v>3</v>
      </c>
      <c r="AO63" s="80" t="b">
        <v>0</v>
      </c>
      <c r="AP63" s="80">
        <v>0</v>
      </c>
      <c r="AQ63" s="80"/>
      <c r="AR63" s="80"/>
      <c r="AS63" s="80" t="s">
        <v>871</v>
      </c>
      <c r="AT63" s="85" t="str">
        <f>HYPERLINK("https://www.youtube.com/channel/UC3mmq2lODpoaRt80Sb2Rz6g")</f>
        <v>https://www.youtube.com/channel/UC3mmq2lODpoaRt80Sb2Rz6g</v>
      </c>
      <c r="AU63" s="80" t="str">
        <f>REPLACE(INDEX(GroupVertices[Group],MATCH(Vertices[[#This Row],[Vertex]],GroupVertices[Vertex],0)),1,1,"")</f>
        <v>1</v>
      </c>
      <c r="AV63" s="49">
        <v>3</v>
      </c>
      <c r="AW63" s="50">
        <v>25</v>
      </c>
      <c r="AX63" s="49">
        <v>2</v>
      </c>
      <c r="AY63" s="50">
        <v>16.666666666666668</v>
      </c>
      <c r="AZ63" s="49">
        <v>0</v>
      </c>
      <c r="BA63" s="50">
        <v>0</v>
      </c>
      <c r="BB63" s="49">
        <v>9</v>
      </c>
      <c r="BC63" s="50">
        <v>75</v>
      </c>
      <c r="BD63" s="49">
        <v>12</v>
      </c>
      <c r="BE63" s="49"/>
      <c r="BF63" s="49"/>
      <c r="BG63" s="49"/>
      <c r="BH63" s="49"/>
      <c r="BI63" s="49"/>
      <c r="BJ63" s="49"/>
      <c r="BK63" s="111" t="s">
        <v>1337</v>
      </c>
      <c r="BL63" s="111" t="s">
        <v>1337</v>
      </c>
      <c r="BM63" s="111" t="s">
        <v>1407</v>
      </c>
      <c r="BN63" s="111" t="s">
        <v>1407</v>
      </c>
      <c r="BO63" s="2"/>
      <c r="BP63" s="3"/>
      <c r="BQ63" s="3"/>
      <c r="BR63" s="3"/>
      <c r="BS63" s="3"/>
    </row>
    <row r="64" spans="1:71" ht="15">
      <c r="A64" s="65" t="s">
        <v>387</v>
      </c>
      <c r="B64" s="66"/>
      <c r="C64" s="66"/>
      <c r="D64" s="67">
        <v>150</v>
      </c>
      <c r="E64" s="69"/>
      <c r="F64" s="103" t="str">
        <f>HYPERLINK("https://yt3.ggpht.com/ytc/AAUvwngwBFWhszudYQgyomMVYGaNEHsuQy-kw_p-DQ=s88-c-k-c0x00ffffff-no-rj")</f>
        <v>https://yt3.ggpht.com/ytc/AAUvwngwBFWhszudYQgyomMVYGaNEHsuQy-kw_p-DQ=s88-c-k-c0x00ffffff-no-rj</v>
      </c>
      <c r="G64" s="66"/>
      <c r="H64" s="70" t="s">
        <v>727</v>
      </c>
      <c r="I64" s="71"/>
      <c r="J64" s="71" t="s">
        <v>159</v>
      </c>
      <c r="K64" s="70" t="s">
        <v>727</v>
      </c>
      <c r="L64" s="74">
        <v>1</v>
      </c>
      <c r="M64" s="75">
        <v>8481.10546875</v>
      </c>
      <c r="N64" s="75">
        <v>7484.80078125</v>
      </c>
      <c r="O64" s="76"/>
      <c r="P64" s="77"/>
      <c r="Q64" s="77"/>
      <c r="R64" s="89"/>
      <c r="S64" s="49">
        <v>0</v>
      </c>
      <c r="T64" s="49">
        <v>2</v>
      </c>
      <c r="U64" s="50">
        <v>0</v>
      </c>
      <c r="V64" s="50">
        <v>0.00304</v>
      </c>
      <c r="W64" s="50">
        <v>0.007808</v>
      </c>
      <c r="X64" s="50">
        <v>0.873898</v>
      </c>
      <c r="Y64" s="50">
        <v>0.5</v>
      </c>
      <c r="Z64" s="50">
        <v>0</v>
      </c>
      <c r="AA64" s="72">
        <v>64</v>
      </c>
      <c r="AB64" s="72"/>
      <c r="AC64" s="73"/>
      <c r="AD64" s="80" t="s">
        <v>727</v>
      </c>
      <c r="AE64" s="80"/>
      <c r="AF64" s="80"/>
      <c r="AG64" s="80"/>
      <c r="AH64" s="80"/>
      <c r="AI64" s="80"/>
      <c r="AJ64" s="87">
        <v>44153.54819444445</v>
      </c>
      <c r="AK64" s="85" t="str">
        <f>HYPERLINK("https://yt3.ggpht.com/ytc/AAUvwngwBFWhszudYQgyomMVYGaNEHsuQy-kw_p-DQ=s88-c-k-c0x00ffffff-no-rj")</f>
        <v>https://yt3.ggpht.com/ytc/AAUvwngwBFWhszudYQgyomMVYGaNEHsuQy-kw_p-DQ=s88-c-k-c0x00ffffff-no-rj</v>
      </c>
      <c r="AL64" s="80">
        <v>0</v>
      </c>
      <c r="AM64" s="80">
        <v>0</v>
      </c>
      <c r="AN64" s="80">
        <v>0</v>
      </c>
      <c r="AO64" s="80" t="b">
        <v>0</v>
      </c>
      <c r="AP64" s="80">
        <v>0</v>
      </c>
      <c r="AQ64" s="80"/>
      <c r="AR64" s="80"/>
      <c r="AS64" s="80" t="s">
        <v>871</v>
      </c>
      <c r="AT64" s="85" t="str">
        <f>HYPERLINK("https://www.youtube.com/channel/UCeDtLNEDoMVNjXOzXfJlvfA")</f>
        <v>https://www.youtube.com/channel/UCeDtLNEDoMVNjXOzXfJlvfA</v>
      </c>
      <c r="AU64" s="80" t="str">
        <f>REPLACE(INDEX(GroupVertices[Group],MATCH(Vertices[[#This Row],[Vertex]],GroupVertices[Vertex],0)),1,1,"")</f>
        <v>3</v>
      </c>
      <c r="AV64" s="49">
        <v>1</v>
      </c>
      <c r="AW64" s="50">
        <v>1.9607843137254901</v>
      </c>
      <c r="AX64" s="49">
        <v>0</v>
      </c>
      <c r="AY64" s="50">
        <v>0</v>
      </c>
      <c r="AZ64" s="49">
        <v>0</v>
      </c>
      <c r="BA64" s="50">
        <v>0</v>
      </c>
      <c r="BB64" s="49">
        <v>50</v>
      </c>
      <c r="BC64" s="50">
        <v>98.03921568627452</v>
      </c>
      <c r="BD64" s="49">
        <v>51</v>
      </c>
      <c r="BE64" s="49"/>
      <c r="BF64" s="49"/>
      <c r="BG64" s="49"/>
      <c r="BH64" s="49"/>
      <c r="BI64" s="49"/>
      <c r="BJ64" s="49"/>
      <c r="BK64" s="111" t="s">
        <v>1375</v>
      </c>
      <c r="BL64" s="111" t="s">
        <v>1375</v>
      </c>
      <c r="BM64" s="111" t="s">
        <v>1568</v>
      </c>
      <c r="BN64" s="111" t="s">
        <v>1568</v>
      </c>
      <c r="BO64" s="2"/>
      <c r="BP64" s="3"/>
      <c r="BQ64" s="3"/>
      <c r="BR64" s="3"/>
      <c r="BS64" s="3"/>
    </row>
    <row r="65" spans="1:71" ht="15">
      <c r="A65" s="65" t="s">
        <v>389</v>
      </c>
      <c r="B65" s="66"/>
      <c r="C65" s="66"/>
      <c r="D65" s="67">
        <v>575</v>
      </c>
      <c r="E65" s="69"/>
      <c r="F65" s="103" t="str">
        <f>HYPERLINK("https://yt3.ggpht.com/ytc/AAUvwnh8YFfTie31uHXgqp4WgX0c6L1EjBGiAwxDUA=s88-c-k-c0x00ffffff-no-rj")</f>
        <v>https://yt3.ggpht.com/ytc/AAUvwnh8YFfTie31uHXgqp4WgX0c6L1EjBGiAwxDUA=s88-c-k-c0x00ffffff-no-rj</v>
      </c>
      <c r="G65" s="66"/>
      <c r="H65" s="70" t="s">
        <v>729</v>
      </c>
      <c r="I65" s="71"/>
      <c r="J65" s="71" t="s">
        <v>159</v>
      </c>
      <c r="K65" s="70" t="s">
        <v>729</v>
      </c>
      <c r="L65" s="74">
        <v>160.968</v>
      </c>
      <c r="M65" s="75">
        <v>8826.068359375</v>
      </c>
      <c r="N65" s="75">
        <v>7900.5380859375</v>
      </c>
      <c r="O65" s="76"/>
      <c r="P65" s="77"/>
      <c r="Q65" s="77"/>
      <c r="R65" s="89"/>
      <c r="S65" s="49">
        <v>2</v>
      </c>
      <c r="T65" s="49">
        <v>1</v>
      </c>
      <c r="U65" s="50">
        <v>149</v>
      </c>
      <c r="V65" s="50">
        <v>0.003049</v>
      </c>
      <c r="W65" s="50">
        <v>0.00791</v>
      </c>
      <c r="X65" s="50">
        <v>1.265356</v>
      </c>
      <c r="Y65" s="50">
        <v>0.16666666666666666</v>
      </c>
      <c r="Z65" s="50">
        <v>0</v>
      </c>
      <c r="AA65" s="72">
        <v>65</v>
      </c>
      <c r="AB65" s="72"/>
      <c r="AC65" s="73"/>
      <c r="AD65" s="80" t="s">
        <v>729</v>
      </c>
      <c r="AE65" s="80"/>
      <c r="AF65" s="80"/>
      <c r="AG65" s="80"/>
      <c r="AH65" s="80"/>
      <c r="AI65" s="80"/>
      <c r="AJ65" s="87">
        <v>43871.67172453704</v>
      </c>
      <c r="AK65" s="85" t="str">
        <f>HYPERLINK("https://yt3.ggpht.com/ytc/AAUvwnh8YFfTie31uHXgqp4WgX0c6L1EjBGiAwxDUA=s88-c-k-c0x00ffffff-no-rj")</f>
        <v>https://yt3.ggpht.com/ytc/AAUvwnh8YFfTie31uHXgqp4WgX0c6L1EjBGiAwxDUA=s88-c-k-c0x00ffffff-no-rj</v>
      </c>
      <c r="AL65" s="80">
        <v>0</v>
      </c>
      <c r="AM65" s="80">
        <v>0</v>
      </c>
      <c r="AN65" s="80">
        <v>3</v>
      </c>
      <c r="AO65" s="80" t="b">
        <v>0</v>
      </c>
      <c r="AP65" s="80">
        <v>0</v>
      </c>
      <c r="AQ65" s="80"/>
      <c r="AR65" s="80"/>
      <c r="AS65" s="80" t="s">
        <v>871</v>
      </c>
      <c r="AT65" s="85" t="str">
        <f>HYPERLINK("https://www.youtube.com/channel/UCHMxpmznEsdtL_ui-7H_IqA")</f>
        <v>https://www.youtube.com/channel/UCHMxpmznEsdtL_ui-7H_IqA</v>
      </c>
      <c r="AU65" s="80" t="str">
        <f>REPLACE(INDEX(GroupVertices[Group],MATCH(Vertices[[#This Row],[Vertex]],GroupVertices[Vertex],0)),1,1,"")</f>
        <v>3</v>
      </c>
      <c r="AV65" s="49">
        <v>6</v>
      </c>
      <c r="AW65" s="50">
        <v>12.76595744680851</v>
      </c>
      <c r="AX65" s="49">
        <v>4</v>
      </c>
      <c r="AY65" s="50">
        <v>8.51063829787234</v>
      </c>
      <c r="AZ65" s="49">
        <v>0</v>
      </c>
      <c r="BA65" s="50">
        <v>0</v>
      </c>
      <c r="BB65" s="49">
        <v>41</v>
      </c>
      <c r="BC65" s="50">
        <v>87.23404255319149</v>
      </c>
      <c r="BD65" s="49">
        <v>47</v>
      </c>
      <c r="BE65" s="49"/>
      <c r="BF65" s="49"/>
      <c r="BG65" s="49"/>
      <c r="BH65" s="49"/>
      <c r="BI65" s="49"/>
      <c r="BJ65" s="49"/>
      <c r="BK65" s="111" t="s">
        <v>1338</v>
      </c>
      <c r="BL65" s="111" t="s">
        <v>1338</v>
      </c>
      <c r="BM65" s="111" t="s">
        <v>1408</v>
      </c>
      <c r="BN65" s="111" t="s">
        <v>1408</v>
      </c>
      <c r="BO65" s="2"/>
      <c r="BP65" s="3"/>
      <c r="BQ65" s="3"/>
      <c r="BR65" s="3"/>
      <c r="BS65" s="3"/>
    </row>
    <row r="66" spans="1:71" ht="15">
      <c r="A66" s="65" t="s">
        <v>388</v>
      </c>
      <c r="B66" s="66"/>
      <c r="C66" s="66"/>
      <c r="D66" s="67">
        <v>150</v>
      </c>
      <c r="E66" s="69"/>
      <c r="F66" s="103" t="str">
        <f>HYPERLINK("https://yt3.ggpht.com/ytc/AAUvwnh-Y7Uq5l8py_t3yDiWVnIPZ84PtNj8DqSinQ=s88-c-k-c0x00ffffff-no-rj")</f>
        <v>https://yt3.ggpht.com/ytc/AAUvwnh-Y7Uq5l8py_t3yDiWVnIPZ84PtNj8DqSinQ=s88-c-k-c0x00ffffff-no-rj</v>
      </c>
      <c r="G66" s="66"/>
      <c r="H66" s="70" t="s">
        <v>728</v>
      </c>
      <c r="I66" s="71"/>
      <c r="J66" s="71" t="s">
        <v>159</v>
      </c>
      <c r="K66" s="70" t="s">
        <v>728</v>
      </c>
      <c r="L66" s="74">
        <v>1</v>
      </c>
      <c r="M66" s="75">
        <v>9181.2626953125</v>
      </c>
      <c r="N66" s="75">
        <v>8260.8271484375</v>
      </c>
      <c r="O66" s="76"/>
      <c r="P66" s="77"/>
      <c r="Q66" s="77"/>
      <c r="R66" s="89"/>
      <c r="S66" s="49">
        <v>0</v>
      </c>
      <c r="T66" s="49">
        <v>2</v>
      </c>
      <c r="U66" s="50">
        <v>3</v>
      </c>
      <c r="V66" s="50">
        <v>0.002114</v>
      </c>
      <c r="W66" s="50">
        <v>0.001302</v>
      </c>
      <c r="X66" s="50">
        <v>0.89075</v>
      </c>
      <c r="Y66" s="50">
        <v>0</v>
      </c>
      <c r="Z66" s="50">
        <v>0</v>
      </c>
      <c r="AA66" s="72">
        <v>66</v>
      </c>
      <c r="AB66" s="72"/>
      <c r="AC66" s="73"/>
      <c r="AD66" s="80" t="s">
        <v>728</v>
      </c>
      <c r="AE66" s="80"/>
      <c r="AF66" s="80"/>
      <c r="AG66" s="80"/>
      <c r="AH66" s="80"/>
      <c r="AI66" s="80"/>
      <c r="AJ66" s="87">
        <v>44142.89103009259</v>
      </c>
      <c r="AK66" s="85" t="str">
        <f>HYPERLINK("https://yt3.ggpht.com/ytc/AAUvwnh-Y7Uq5l8py_t3yDiWVnIPZ84PtNj8DqSinQ=s88-c-k-c0x00ffffff-no-rj")</f>
        <v>https://yt3.ggpht.com/ytc/AAUvwnh-Y7Uq5l8py_t3yDiWVnIPZ84PtNj8DqSinQ=s88-c-k-c0x00ffffff-no-rj</v>
      </c>
      <c r="AL66" s="80">
        <v>0</v>
      </c>
      <c r="AM66" s="80">
        <v>0</v>
      </c>
      <c r="AN66" s="80">
        <v>0</v>
      </c>
      <c r="AO66" s="80" t="b">
        <v>0</v>
      </c>
      <c r="AP66" s="80">
        <v>0</v>
      </c>
      <c r="AQ66" s="80"/>
      <c r="AR66" s="80"/>
      <c r="AS66" s="80" t="s">
        <v>871</v>
      </c>
      <c r="AT66" s="85" t="str">
        <f>HYPERLINK("https://www.youtube.com/channel/UCUNOTEzOFt3gZ53n2hAjWtw")</f>
        <v>https://www.youtube.com/channel/UCUNOTEzOFt3gZ53n2hAjWtw</v>
      </c>
      <c r="AU66" s="80" t="str">
        <f>REPLACE(INDEX(GroupVertices[Group],MATCH(Vertices[[#This Row],[Vertex]],GroupVertices[Vertex],0)),1,1,"")</f>
        <v>3</v>
      </c>
      <c r="AV66" s="49">
        <v>3</v>
      </c>
      <c r="AW66" s="50">
        <v>3.3333333333333335</v>
      </c>
      <c r="AX66" s="49">
        <v>4</v>
      </c>
      <c r="AY66" s="50">
        <v>4.444444444444445</v>
      </c>
      <c r="AZ66" s="49">
        <v>0</v>
      </c>
      <c r="BA66" s="50">
        <v>0</v>
      </c>
      <c r="BB66" s="49">
        <v>85</v>
      </c>
      <c r="BC66" s="50">
        <v>94.44444444444444</v>
      </c>
      <c r="BD66" s="49">
        <v>90</v>
      </c>
      <c r="BE66" s="49"/>
      <c r="BF66" s="49"/>
      <c r="BG66" s="49"/>
      <c r="BH66" s="49"/>
      <c r="BI66" s="49"/>
      <c r="BJ66" s="49"/>
      <c r="BK66" s="111" t="s">
        <v>1502</v>
      </c>
      <c r="BL66" s="111" t="s">
        <v>1376</v>
      </c>
      <c r="BM66" s="111" t="s">
        <v>1569</v>
      </c>
      <c r="BN66" s="111" t="s">
        <v>1569</v>
      </c>
      <c r="BO66" s="2"/>
      <c r="BP66" s="3"/>
      <c r="BQ66" s="3"/>
      <c r="BR66" s="3"/>
      <c r="BS66" s="3"/>
    </row>
    <row r="67" spans="1:71" ht="15">
      <c r="A67" s="65" t="s">
        <v>390</v>
      </c>
      <c r="B67" s="66"/>
      <c r="C67" s="66"/>
      <c r="D67" s="67">
        <v>150</v>
      </c>
      <c r="E67" s="69"/>
      <c r="F67" s="103" t="str">
        <f>HYPERLINK("https://yt3.ggpht.com/ytc/AAUvwnhb-yh80g0vzURGcH5Bd9laTBsfW_B51aRpDQ=s88-c-k-c0x00ffffff-no-rj")</f>
        <v>https://yt3.ggpht.com/ytc/AAUvwnhb-yh80g0vzURGcH5Bd9laTBsfW_B51aRpDQ=s88-c-k-c0x00ffffff-no-rj</v>
      </c>
      <c r="G67" s="66"/>
      <c r="H67" s="70" t="s">
        <v>730</v>
      </c>
      <c r="I67" s="71"/>
      <c r="J67" s="71" t="s">
        <v>159</v>
      </c>
      <c r="K67" s="70" t="s">
        <v>730</v>
      </c>
      <c r="L67" s="74">
        <v>1</v>
      </c>
      <c r="M67" s="75">
        <v>6005.26611328125</v>
      </c>
      <c r="N67" s="75">
        <v>7765.56005859375</v>
      </c>
      <c r="O67" s="76"/>
      <c r="P67" s="77"/>
      <c r="Q67" s="77"/>
      <c r="R67" s="89"/>
      <c r="S67" s="49">
        <v>0</v>
      </c>
      <c r="T67" s="49">
        <v>1</v>
      </c>
      <c r="U67" s="50">
        <v>0</v>
      </c>
      <c r="V67" s="50">
        <v>0.003021</v>
      </c>
      <c r="W67" s="50">
        <v>0.007133</v>
      </c>
      <c r="X67" s="50">
        <v>0.515381</v>
      </c>
      <c r="Y67" s="50">
        <v>0</v>
      </c>
      <c r="Z67" s="50">
        <v>0</v>
      </c>
      <c r="AA67" s="72">
        <v>67</v>
      </c>
      <c r="AB67" s="72"/>
      <c r="AC67" s="73"/>
      <c r="AD67" s="80" t="s">
        <v>730</v>
      </c>
      <c r="AE67" s="80"/>
      <c r="AF67" s="80"/>
      <c r="AG67" s="80"/>
      <c r="AH67" s="80"/>
      <c r="AI67" s="80"/>
      <c r="AJ67" s="87">
        <v>44075.51761574074</v>
      </c>
      <c r="AK67" s="85" t="str">
        <f>HYPERLINK("https://yt3.ggpht.com/ytc/AAUvwnhb-yh80g0vzURGcH5Bd9laTBsfW_B51aRpDQ=s88-c-k-c0x00ffffff-no-rj")</f>
        <v>https://yt3.ggpht.com/ytc/AAUvwnhb-yh80g0vzURGcH5Bd9laTBsfW_B51aRpDQ=s88-c-k-c0x00ffffff-no-rj</v>
      </c>
      <c r="AL67" s="80">
        <v>0</v>
      </c>
      <c r="AM67" s="80">
        <v>0</v>
      </c>
      <c r="AN67" s="80">
        <v>0</v>
      </c>
      <c r="AO67" s="80" t="b">
        <v>0</v>
      </c>
      <c r="AP67" s="80">
        <v>0</v>
      </c>
      <c r="AQ67" s="80"/>
      <c r="AR67" s="80"/>
      <c r="AS67" s="80" t="s">
        <v>871</v>
      </c>
      <c r="AT67" s="85" t="str">
        <f>HYPERLINK("https://www.youtube.com/channel/UC5u6IjH6W_pWntKlbny1GPQ")</f>
        <v>https://www.youtube.com/channel/UC5u6IjH6W_pWntKlbny1GPQ</v>
      </c>
      <c r="AU67" s="80" t="str">
        <f>REPLACE(INDEX(GroupVertices[Group],MATCH(Vertices[[#This Row],[Vertex]],GroupVertices[Vertex],0)),1,1,"")</f>
        <v>1</v>
      </c>
      <c r="AV67" s="49">
        <v>0</v>
      </c>
      <c r="AW67" s="50">
        <v>0</v>
      </c>
      <c r="AX67" s="49">
        <v>0</v>
      </c>
      <c r="AY67" s="50">
        <v>0</v>
      </c>
      <c r="AZ67" s="49">
        <v>0</v>
      </c>
      <c r="BA67" s="50">
        <v>0</v>
      </c>
      <c r="BB67" s="49">
        <v>15</v>
      </c>
      <c r="BC67" s="50">
        <v>100</v>
      </c>
      <c r="BD67" s="49">
        <v>15</v>
      </c>
      <c r="BE67" s="49"/>
      <c r="BF67" s="49"/>
      <c r="BG67" s="49"/>
      <c r="BH67" s="49"/>
      <c r="BI67" s="49"/>
      <c r="BJ67" s="49"/>
      <c r="BK67" s="111" t="s">
        <v>1339</v>
      </c>
      <c r="BL67" s="111" t="s">
        <v>1339</v>
      </c>
      <c r="BM67" s="111" t="s">
        <v>1409</v>
      </c>
      <c r="BN67" s="111" t="s">
        <v>1409</v>
      </c>
      <c r="BO67" s="2"/>
      <c r="BP67" s="3"/>
      <c r="BQ67" s="3"/>
      <c r="BR67" s="3"/>
      <c r="BS67" s="3"/>
    </row>
    <row r="68" spans="1:71" ht="15">
      <c r="A68" s="65" t="s">
        <v>391</v>
      </c>
      <c r="B68" s="66"/>
      <c r="C68" s="66"/>
      <c r="D68" s="67">
        <v>150</v>
      </c>
      <c r="E68" s="69"/>
      <c r="F68" s="103" t="str">
        <f>HYPERLINK("https://yt3.ggpht.com/ytc/AAUvwnhFhnneki84YvlLN4a3iO9eJmyDNV9zVX7_rQ=s88-c-k-c0x00ffffff-no-rj")</f>
        <v>https://yt3.ggpht.com/ytc/AAUvwnhFhnneki84YvlLN4a3iO9eJmyDNV9zVX7_rQ=s88-c-k-c0x00ffffff-no-rj</v>
      </c>
      <c r="G68" s="66"/>
      <c r="H68" s="70" t="s">
        <v>731</v>
      </c>
      <c r="I68" s="71"/>
      <c r="J68" s="71" t="s">
        <v>159</v>
      </c>
      <c r="K68" s="70" t="s">
        <v>731</v>
      </c>
      <c r="L68" s="74">
        <v>1</v>
      </c>
      <c r="M68" s="75">
        <v>4433.51025390625</v>
      </c>
      <c r="N68" s="75">
        <v>1103.1759033203125</v>
      </c>
      <c r="O68" s="76"/>
      <c r="P68" s="77"/>
      <c r="Q68" s="77"/>
      <c r="R68" s="89"/>
      <c r="S68" s="49">
        <v>0</v>
      </c>
      <c r="T68" s="49">
        <v>1</v>
      </c>
      <c r="U68" s="50">
        <v>0</v>
      </c>
      <c r="V68" s="50">
        <v>0.003021</v>
      </c>
      <c r="W68" s="50">
        <v>0.007133</v>
      </c>
      <c r="X68" s="50">
        <v>0.515381</v>
      </c>
      <c r="Y68" s="50">
        <v>0</v>
      </c>
      <c r="Z68" s="50">
        <v>0</v>
      </c>
      <c r="AA68" s="72">
        <v>68</v>
      </c>
      <c r="AB68" s="72"/>
      <c r="AC68" s="73"/>
      <c r="AD68" s="80" t="s">
        <v>731</v>
      </c>
      <c r="AE68" s="80"/>
      <c r="AF68" s="80"/>
      <c r="AG68" s="80"/>
      <c r="AH68" s="80"/>
      <c r="AI68" s="80"/>
      <c r="AJ68" s="87">
        <v>44235.06847222222</v>
      </c>
      <c r="AK68" s="85" t="str">
        <f>HYPERLINK("https://yt3.ggpht.com/ytc/AAUvwnhFhnneki84YvlLN4a3iO9eJmyDNV9zVX7_rQ=s88-c-k-c0x00ffffff-no-rj")</f>
        <v>https://yt3.ggpht.com/ytc/AAUvwnhFhnneki84YvlLN4a3iO9eJmyDNV9zVX7_rQ=s88-c-k-c0x00ffffff-no-rj</v>
      </c>
      <c r="AL68" s="80">
        <v>0</v>
      </c>
      <c r="AM68" s="80">
        <v>0</v>
      </c>
      <c r="AN68" s="80">
        <v>0</v>
      </c>
      <c r="AO68" s="80" t="b">
        <v>0</v>
      </c>
      <c r="AP68" s="80">
        <v>0</v>
      </c>
      <c r="AQ68" s="80"/>
      <c r="AR68" s="80"/>
      <c r="AS68" s="80" t="s">
        <v>871</v>
      </c>
      <c r="AT68" s="85" t="str">
        <f>HYPERLINK("https://www.youtube.com/channel/UCgAVcUfZsrNQ_ZDzwfGN42g")</f>
        <v>https://www.youtube.com/channel/UCgAVcUfZsrNQ_ZDzwfGN42g</v>
      </c>
      <c r="AU68" s="80" t="str">
        <f>REPLACE(INDEX(GroupVertices[Group],MATCH(Vertices[[#This Row],[Vertex]],GroupVertices[Vertex],0)),1,1,"")</f>
        <v>1</v>
      </c>
      <c r="AV68" s="49">
        <v>0</v>
      </c>
      <c r="AW68" s="50">
        <v>0</v>
      </c>
      <c r="AX68" s="49">
        <v>0</v>
      </c>
      <c r="AY68" s="50">
        <v>0</v>
      </c>
      <c r="AZ68" s="49">
        <v>0</v>
      </c>
      <c r="BA68" s="50">
        <v>0</v>
      </c>
      <c r="BB68" s="49">
        <v>0</v>
      </c>
      <c r="BC68" s="50">
        <v>0</v>
      </c>
      <c r="BD68" s="49">
        <v>0</v>
      </c>
      <c r="BE68" s="49"/>
      <c r="BF68" s="49"/>
      <c r="BG68" s="49"/>
      <c r="BH68" s="49"/>
      <c r="BI68" s="49"/>
      <c r="BJ68" s="49"/>
      <c r="BK68" s="111" t="s">
        <v>843</v>
      </c>
      <c r="BL68" s="111" t="s">
        <v>843</v>
      </c>
      <c r="BM68" s="111" t="s">
        <v>843</v>
      </c>
      <c r="BN68" s="111" t="s">
        <v>843</v>
      </c>
      <c r="BO68" s="2"/>
      <c r="BP68" s="3"/>
      <c r="BQ68" s="3"/>
      <c r="BR68" s="3"/>
      <c r="BS68" s="3"/>
    </row>
    <row r="69" spans="1:71" ht="15">
      <c r="A69" s="65" t="s">
        <v>392</v>
      </c>
      <c r="B69" s="66"/>
      <c r="C69" s="66"/>
      <c r="D69" s="67">
        <v>150</v>
      </c>
      <c r="E69" s="69"/>
      <c r="F69" s="103" t="str">
        <f>HYPERLINK("https://yt3.ggpht.com/ytc/AAUvwngoUaVmRwTMaU8WvimGdrZcGgKQH8aLF_spfw=s88-c-k-c0x00ffffff-no-rj")</f>
        <v>https://yt3.ggpht.com/ytc/AAUvwngoUaVmRwTMaU8WvimGdrZcGgKQH8aLF_spfw=s88-c-k-c0x00ffffff-no-rj</v>
      </c>
      <c r="G69" s="66"/>
      <c r="H69" s="70" t="s">
        <v>732</v>
      </c>
      <c r="I69" s="71"/>
      <c r="J69" s="71" t="s">
        <v>159</v>
      </c>
      <c r="K69" s="70" t="s">
        <v>732</v>
      </c>
      <c r="L69" s="74">
        <v>1</v>
      </c>
      <c r="M69" s="75">
        <v>4789.02197265625</v>
      </c>
      <c r="N69" s="75">
        <v>598.3175659179688</v>
      </c>
      <c r="O69" s="76"/>
      <c r="P69" s="77"/>
      <c r="Q69" s="77"/>
      <c r="R69" s="89"/>
      <c r="S69" s="49">
        <v>0</v>
      </c>
      <c r="T69" s="49">
        <v>1</v>
      </c>
      <c r="U69" s="50">
        <v>0</v>
      </c>
      <c r="V69" s="50">
        <v>0.003021</v>
      </c>
      <c r="W69" s="50">
        <v>0.007133</v>
      </c>
      <c r="X69" s="50">
        <v>0.515381</v>
      </c>
      <c r="Y69" s="50">
        <v>0</v>
      </c>
      <c r="Z69" s="50">
        <v>0</v>
      </c>
      <c r="AA69" s="72">
        <v>69</v>
      </c>
      <c r="AB69" s="72"/>
      <c r="AC69" s="73"/>
      <c r="AD69" s="80" t="s">
        <v>732</v>
      </c>
      <c r="AE69" s="80"/>
      <c r="AF69" s="80"/>
      <c r="AG69" s="80"/>
      <c r="AH69" s="80"/>
      <c r="AI69" s="80"/>
      <c r="AJ69" s="87">
        <v>44079.046006944445</v>
      </c>
      <c r="AK69" s="85" t="str">
        <f>HYPERLINK("https://yt3.ggpht.com/ytc/AAUvwngoUaVmRwTMaU8WvimGdrZcGgKQH8aLF_spfw=s88-c-k-c0x00ffffff-no-rj")</f>
        <v>https://yt3.ggpht.com/ytc/AAUvwngoUaVmRwTMaU8WvimGdrZcGgKQH8aLF_spfw=s88-c-k-c0x00ffffff-no-rj</v>
      </c>
      <c r="AL69" s="80">
        <v>0</v>
      </c>
      <c r="AM69" s="80">
        <v>0</v>
      </c>
      <c r="AN69" s="80">
        <v>5</v>
      </c>
      <c r="AO69" s="80" t="b">
        <v>0</v>
      </c>
      <c r="AP69" s="80">
        <v>0</v>
      </c>
      <c r="AQ69" s="80"/>
      <c r="AR69" s="80"/>
      <c r="AS69" s="80" t="s">
        <v>871</v>
      </c>
      <c r="AT69" s="85" t="str">
        <f>HYPERLINK("https://www.youtube.com/channel/UCZAfEqY4QDm1fidD1RMabgA")</f>
        <v>https://www.youtube.com/channel/UCZAfEqY4QDm1fidD1RMabgA</v>
      </c>
      <c r="AU69" s="80" t="str">
        <f>REPLACE(INDEX(GroupVertices[Group],MATCH(Vertices[[#This Row],[Vertex]],GroupVertices[Vertex],0)),1,1,"")</f>
        <v>1</v>
      </c>
      <c r="AV69" s="49">
        <v>1</v>
      </c>
      <c r="AW69" s="50">
        <v>2.4390243902439024</v>
      </c>
      <c r="AX69" s="49">
        <v>0</v>
      </c>
      <c r="AY69" s="50">
        <v>0</v>
      </c>
      <c r="AZ69" s="49">
        <v>0</v>
      </c>
      <c r="BA69" s="50">
        <v>0</v>
      </c>
      <c r="BB69" s="49">
        <v>40</v>
      </c>
      <c r="BC69" s="50">
        <v>97.5609756097561</v>
      </c>
      <c r="BD69" s="49">
        <v>41</v>
      </c>
      <c r="BE69" s="49"/>
      <c r="BF69" s="49"/>
      <c r="BG69" s="49"/>
      <c r="BH69" s="49"/>
      <c r="BI69" s="49"/>
      <c r="BJ69" s="49"/>
      <c r="BK69" s="111" t="s">
        <v>1340</v>
      </c>
      <c r="BL69" s="111" t="s">
        <v>1340</v>
      </c>
      <c r="BM69" s="111" t="s">
        <v>1410</v>
      </c>
      <c r="BN69" s="111" t="s">
        <v>1410</v>
      </c>
      <c r="BO69" s="2"/>
      <c r="BP69" s="3"/>
      <c r="BQ69" s="3"/>
      <c r="BR69" s="3"/>
      <c r="BS69" s="3"/>
    </row>
    <row r="70" spans="1:71" ht="15">
      <c r="A70" s="65" t="s">
        <v>393</v>
      </c>
      <c r="B70" s="66"/>
      <c r="C70" s="66"/>
      <c r="D70" s="67">
        <v>150</v>
      </c>
      <c r="E70" s="69"/>
      <c r="F70" s="103" t="str">
        <f>HYPERLINK("https://yt3.ggpht.com/ytc/AAUvwnj6-eWryz8zPzUBal2ZcHD7wYuNaqyOWIKwLLAR4w=s88-c-k-c0x00ffffff-no-rj")</f>
        <v>https://yt3.ggpht.com/ytc/AAUvwnj6-eWryz8zPzUBal2ZcHD7wYuNaqyOWIKwLLAR4w=s88-c-k-c0x00ffffff-no-rj</v>
      </c>
      <c r="G70" s="66"/>
      <c r="H70" s="70" t="s">
        <v>733</v>
      </c>
      <c r="I70" s="71"/>
      <c r="J70" s="71" t="s">
        <v>159</v>
      </c>
      <c r="K70" s="70" t="s">
        <v>733</v>
      </c>
      <c r="L70" s="74">
        <v>1</v>
      </c>
      <c r="M70" s="75">
        <v>2497.953125</v>
      </c>
      <c r="N70" s="75">
        <v>5064.033203125</v>
      </c>
      <c r="O70" s="76"/>
      <c r="P70" s="77"/>
      <c r="Q70" s="77"/>
      <c r="R70" s="89"/>
      <c r="S70" s="49">
        <v>0</v>
      </c>
      <c r="T70" s="49">
        <v>1</v>
      </c>
      <c r="U70" s="50">
        <v>0</v>
      </c>
      <c r="V70" s="50">
        <v>0.003021</v>
      </c>
      <c r="W70" s="50">
        <v>0.007133</v>
      </c>
      <c r="X70" s="50">
        <v>0.515381</v>
      </c>
      <c r="Y70" s="50">
        <v>0</v>
      </c>
      <c r="Z70" s="50">
        <v>0</v>
      </c>
      <c r="AA70" s="72">
        <v>70</v>
      </c>
      <c r="AB70" s="72"/>
      <c r="AC70" s="73"/>
      <c r="AD70" s="80" t="s">
        <v>733</v>
      </c>
      <c r="AE70" s="80"/>
      <c r="AF70" s="80"/>
      <c r="AG70" s="80"/>
      <c r="AH70" s="80"/>
      <c r="AI70" s="80"/>
      <c r="AJ70" s="87">
        <v>44186.928506944445</v>
      </c>
      <c r="AK70" s="85" t="str">
        <f>HYPERLINK("https://yt3.ggpht.com/ytc/AAUvwnj6-eWryz8zPzUBal2ZcHD7wYuNaqyOWIKwLLAR4w=s88-c-k-c0x00ffffff-no-rj")</f>
        <v>https://yt3.ggpht.com/ytc/AAUvwnj6-eWryz8zPzUBal2ZcHD7wYuNaqyOWIKwLLAR4w=s88-c-k-c0x00ffffff-no-rj</v>
      </c>
      <c r="AL70" s="80">
        <v>0</v>
      </c>
      <c r="AM70" s="80">
        <v>0</v>
      </c>
      <c r="AN70" s="80">
        <v>0</v>
      </c>
      <c r="AO70" s="80" t="b">
        <v>0</v>
      </c>
      <c r="AP70" s="80">
        <v>0</v>
      </c>
      <c r="AQ70" s="80"/>
      <c r="AR70" s="80"/>
      <c r="AS70" s="80" t="s">
        <v>871</v>
      </c>
      <c r="AT70" s="85" t="str">
        <f>HYPERLINK("https://www.youtube.com/channel/UCH8aFgm5WSUVuXaKuSbYsrA")</f>
        <v>https://www.youtube.com/channel/UCH8aFgm5WSUVuXaKuSbYsrA</v>
      </c>
      <c r="AU70" s="80" t="str">
        <f>REPLACE(INDEX(GroupVertices[Group],MATCH(Vertices[[#This Row],[Vertex]],GroupVertices[Vertex],0)),1,1,"")</f>
        <v>1</v>
      </c>
      <c r="AV70" s="49">
        <v>1</v>
      </c>
      <c r="AW70" s="50">
        <v>11.11111111111111</v>
      </c>
      <c r="AX70" s="49">
        <v>0</v>
      </c>
      <c r="AY70" s="50">
        <v>0</v>
      </c>
      <c r="AZ70" s="49">
        <v>0</v>
      </c>
      <c r="BA70" s="50">
        <v>0</v>
      </c>
      <c r="BB70" s="49">
        <v>8</v>
      </c>
      <c r="BC70" s="50">
        <v>88.88888888888889</v>
      </c>
      <c r="BD70" s="49">
        <v>9</v>
      </c>
      <c r="BE70" s="49"/>
      <c r="BF70" s="49"/>
      <c r="BG70" s="49"/>
      <c r="BH70" s="49"/>
      <c r="BI70" s="49"/>
      <c r="BJ70" s="49"/>
      <c r="BK70" s="111" t="s">
        <v>1341</v>
      </c>
      <c r="BL70" s="111" t="s">
        <v>1341</v>
      </c>
      <c r="BM70" s="111" t="s">
        <v>1411</v>
      </c>
      <c r="BN70" s="111" t="s">
        <v>1411</v>
      </c>
      <c r="BO70" s="2"/>
      <c r="BP70" s="3"/>
      <c r="BQ70" s="3"/>
      <c r="BR70" s="3"/>
      <c r="BS70" s="3"/>
    </row>
    <row r="71" spans="1:71" ht="15">
      <c r="A71" s="65" t="s">
        <v>394</v>
      </c>
      <c r="B71" s="66"/>
      <c r="C71" s="66"/>
      <c r="D71" s="67">
        <v>150</v>
      </c>
      <c r="E71" s="69"/>
      <c r="F71" s="103" t="str">
        <f>HYPERLINK("https://yt3.ggpht.com/ytc/AAUvwnidUW7-bdrj_YqD658mcZFr2SilN6OAkf_Zog=s88-c-k-c0x00ffffff-no-rj")</f>
        <v>https://yt3.ggpht.com/ytc/AAUvwnidUW7-bdrj_YqD658mcZFr2SilN6OAkf_Zog=s88-c-k-c0x00ffffff-no-rj</v>
      </c>
      <c r="G71" s="66"/>
      <c r="H71" s="70" t="s">
        <v>734</v>
      </c>
      <c r="I71" s="71"/>
      <c r="J71" s="71" t="s">
        <v>159</v>
      </c>
      <c r="K71" s="70" t="s">
        <v>734</v>
      </c>
      <c r="L71" s="74">
        <v>1</v>
      </c>
      <c r="M71" s="75">
        <v>6697.84375</v>
      </c>
      <c r="N71" s="75">
        <v>3670.153076171875</v>
      </c>
      <c r="O71" s="76"/>
      <c r="P71" s="77"/>
      <c r="Q71" s="77"/>
      <c r="R71" s="89"/>
      <c r="S71" s="49">
        <v>0</v>
      </c>
      <c r="T71" s="49">
        <v>1</v>
      </c>
      <c r="U71" s="50">
        <v>0</v>
      </c>
      <c r="V71" s="50">
        <v>0.002092</v>
      </c>
      <c r="W71" s="50">
        <v>0.000676</v>
      </c>
      <c r="X71" s="50">
        <v>0.53406</v>
      </c>
      <c r="Y71" s="50">
        <v>0</v>
      </c>
      <c r="Z71" s="50">
        <v>0</v>
      </c>
      <c r="AA71" s="72">
        <v>71</v>
      </c>
      <c r="AB71" s="72"/>
      <c r="AC71" s="73"/>
      <c r="AD71" s="80" t="s">
        <v>734</v>
      </c>
      <c r="AE71" s="80"/>
      <c r="AF71" s="80"/>
      <c r="AG71" s="80"/>
      <c r="AH71" s="80"/>
      <c r="AI71" s="80"/>
      <c r="AJ71" s="87">
        <v>42774.553148148145</v>
      </c>
      <c r="AK71" s="85" t="str">
        <f>HYPERLINK("https://yt3.ggpht.com/ytc/AAUvwnidUW7-bdrj_YqD658mcZFr2SilN6OAkf_Zog=s88-c-k-c0x00ffffff-no-rj")</f>
        <v>https://yt3.ggpht.com/ytc/AAUvwnidUW7-bdrj_YqD658mcZFr2SilN6OAkf_Zog=s88-c-k-c0x00ffffff-no-rj</v>
      </c>
      <c r="AL71" s="80">
        <v>0</v>
      </c>
      <c r="AM71" s="80">
        <v>0</v>
      </c>
      <c r="AN71" s="80">
        <v>1</v>
      </c>
      <c r="AO71" s="80" t="b">
        <v>0</v>
      </c>
      <c r="AP71" s="80">
        <v>0</v>
      </c>
      <c r="AQ71" s="80"/>
      <c r="AR71" s="80"/>
      <c r="AS71" s="80" t="s">
        <v>871</v>
      </c>
      <c r="AT71" s="85" t="str">
        <f>HYPERLINK("https://www.youtube.com/channel/UCkug2O-HoXXpevCF-j3NSBQ")</f>
        <v>https://www.youtube.com/channel/UCkug2O-HoXXpevCF-j3NSBQ</v>
      </c>
      <c r="AU71" s="80" t="str">
        <f>REPLACE(INDEX(GroupVertices[Group],MATCH(Vertices[[#This Row],[Vertex]],GroupVertices[Vertex],0)),1,1,"")</f>
        <v>7</v>
      </c>
      <c r="AV71" s="49">
        <v>0</v>
      </c>
      <c r="AW71" s="50">
        <v>0</v>
      </c>
      <c r="AX71" s="49">
        <v>0</v>
      </c>
      <c r="AY71" s="50">
        <v>0</v>
      </c>
      <c r="AZ71" s="49">
        <v>0</v>
      </c>
      <c r="BA71" s="50">
        <v>0</v>
      </c>
      <c r="BB71" s="49">
        <v>22</v>
      </c>
      <c r="BC71" s="50">
        <v>100</v>
      </c>
      <c r="BD71" s="49">
        <v>22</v>
      </c>
      <c r="BE71" s="49"/>
      <c r="BF71" s="49"/>
      <c r="BG71" s="49"/>
      <c r="BH71" s="49"/>
      <c r="BI71" s="49"/>
      <c r="BJ71" s="49"/>
      <c r="BK71" s="111" t="s">
        <v>1503</v>
      </c>
      <c r="BL71" s="111" t="s">
        <v>1503</v>
      </c>
      <c r="BM71" s="111" t="s">
        <v>1570</v>
      </c>
      <c r="BN71" s="111" t="s">
        <v>1570</v>
      </c>
      <c r="BO71" s="2"/>
      <c r="BP71" s="3"/>
      <c r="BQ71" s="3"/>
      <c r="BR71" s="3"/>
      <c r="BS71" s="3"/>
    </row>
    <row r="72" spans="1:71" ht="15">
      <c r="A72" s="65" t="s">
        <v>396</v>
      </c>
      <c r="B72" s="66"/>
      <c r="C72" s="66"/>
      <c r="D72" s="67">
        <v>787.5</v>
      </c>
      <c r="E72" s="69"/>
      <c r="F72" s="103" t="str">
        <f>HYPERLINK("https://yt3.ggpht.com/ytc/AAUvwnin82zUuoDlms3QQQ-Zb7UkV_xfK2HIlKoGug=s88-c-k-c0x00ffffff-no-rj")</f>
        <v>https://yt3.ggpht.com/ytc/AAUvwnin82zUuoDlms3QQQ-Zb7UkV_xfK2HIlKoGug=s88-c-k-c0x00ffffff-no-rj</v>
      </c>
      <c r="G72" s="66"/>
      <c r="H72" s="70" t="s">
        <v>736</v>
      </c>
      <c r="I72" s="71"/>
      <c r="J72" s="71" t="s">
        <v>159</v>
      </c>
      <c r="K72" s="70" t="s">
        <v>736</v>
      </c>
      <c r="L72" s="74">
        <v>240.952</v>
      </c>
      <c r="M72" s="75">
        <v>7462.0986328125</v>
      </c>
      <c r="N72" s="75">
        <v>1618.335205078125</v>
      </c>
      <c r="O72" s="76"/>
      <c r="P72" s="77"/>
      <c r="Q72" s="77"/>
      <c r="R72" s="89"/>
      <c r="S72" s="49">
        <v>3</v>
      </c>
      <c r="T72" s="49">
        <v>2</v>
      </c>
      <c r="U72" s="50">
        <v>602</v>
      </c>
      <c r="V72" s="50">
        <v>0.003058</v>
      </c>
      <c r="W72" s="50">
        <v>0.007925</v>
      </c>
      <c r="X72" s="50">
        <v>1.807342</v>
      </c>
      <c r="Y72" s="50">
        <v>0</v>
      </c>
      <c r="Z72" s="50">
        <v>0</v>
      </c>
      <c r="AA72" s="72">
        <v>72</v>
      </c>
      <c r="AB72" s="72"/>
      <c r="AC72" s="73"/>
      <c r="AD72" s="80" t="s">
        <v>736</v>
      </c>
      <c r="AE72" s="80"/>
      <c r="AF72" s="80"/>
      <c r="AG72" s="80"/>
      <c r="AH72" s="80"/>
      <c r="AI72" s="80"/>
      <c r="AJ72" s="87">
        <v>43710.81078703704</v>
      </c>
      <c r="AK72" s="85" t="str">
        <f>HYPERLINK("https://yt3.ggpht.com/ytc/AAUvwnin82zUuoDlms3QQQ-Zb7UkV_xfK2HIlKoGug=s88-c-k-c0x00ffffff-no-rj")</f>
        <v>https://yt3.ggpht.com/ytc/AAUvwnin82zUuoDlms3QQQ-Zb7UkV_xfK2HIlKoGug=s88-c-k-c0x00ffffff-no-rj</v>
      </c>
      <c r="AL72" s="80">
        <v>0</v>
      </c>
      <c r="AM72" s="80">
        <v>0</v>
      </c>
      <c r="AN72" s="80">
        <v>0</v>
      </c>
      <c r="AO72" s="80" t="b">
        <v>0</v>
      </c>
      <c r="AP72" s="80">
        <v>0</v>
      </c>
      <c r="AQ72" s="80"/>
      <c r="AR72" s="80"/>
      <c r="AS72" s="80" t="s">
        <v>871</v>
      </c>
      <c r="AT72" s="85" t="str">
        <f>HYPERLINK("https://www.youtube.com/channel/UCA5b1GCxw9YUnNhJV9RnGqg")</f>
        <v>https://www.youtube.com/channel/UCA5b1GCxw9YUnNhJV9RnGqg</v>
      </c>
      <c r="AU72" s="80" t="str">
        <f>REPLACE(INDEX(GroupVertices[Group],MATCH(Vertices[[#This Row],[Vertex]],GroupVertices[Vertex],0)),1,1,"")</f>
        <v>7</v>
      </c>
      <c r="AV72" s="49">
        <v>1</v>
      </c>
      <c r="AW72" s="50">
        <v>2.7027027027027026</v>
      </c>
      <c r="AX72" s="49">
        <v>3</v>
      </c>
      <c r="AY72" s="50">
        <v>8.108108108108109</v>
      </c>
      <c r="AZ72" s="49">
        <v>0</v>
      </c>
      <c r="BA72" s="50">
        <v>0</v>
      </c>
      <c r="BB72" s="49">
        <v>33</v>
      </c>
      <c r="BC72" s="50">
        <v>89.1891891891892</v>
      </c>
      <c r="BD72" s="49">
        <v>37</v>
      </c>
      <c r="BE72" s="49"/>
      <c r="BF72" s="49"/>
      <c r="BG72" s="49"/>
      <c r="BH72" s="49"/>
      <c r="BI72" s="49"/>
      <c r="BJ72" s="49"/>
      <c r="BK72" s="111" t="s">
        <v>1504</v>
      </c>
      <c r="BL72" s="111" t="s">
        <v>1504</v>
      </c>
      <c r="BM72" s="111" t="s">
        <v>1571</v>
      </c>
      <c r="BN72" s="111" t="s">
        <v>1571</v>
      </c>
      <c r="BO72" s="2"/>
      <c r="BP72" s="3"/>
      <c r="BQ72" s="3"/>
      <c r="BR72" s="3"/>
      <c r="BS72" s="3"/>
    </row>
    <row r="73" spans="1:71" ht="15">
      <c r="A73" s="65" t="s">
        <v>395</v>
      </c>
      <c r="B73" s="66"/>
      <c r="C73" s="66"/>
      <c r="D73" s="67">
        <v>150</v>
      </c>
      <c r="E73" s="69"/>
      <c r="F73" s="103" t="str">
        <f>HYPERLINK("https://yt3.ggpht.com/ytc/AAUvwnja5G0cTjcJ9POFxIpXQShmPlvJ_hQawhRqRw=s88-c-k-c0x00ffffff-no-rj")</f>
        <v>https://yt3.ggpht.com/ytc/AAUvwnja5G0cTjcJ9POFxIpXQShmPlvJ_hQawhRqRw=s88-c-k-c0x00ffffff-no-rj</v>
      </c>
      <c r="G73" s="66"/>
      <c r="H73" s="70" t="s">
        <v>735</v>
      </c>
      <c r="I73" s="71"/>
      <c r="J73" s="71" t="s">
        <v>159</v>
      </c>
      <c r="K73" s="70" t="s">
        <v>735</v>
      </c>
      <c r="L73" s="74">
        <v>1</v>
      </c>
      <c r="M73" s="75">
        <v>7207.34716796875</v>
      </c>
      <c r="N73" s="75">
        <v>2302.274169921875</v>
      </c>
      <c r="O73" s="76"/>
      <c r="P73" s="77"/>
      <c r="Q73" s="77"/>
      <c r="R73" s="89"/>
      <c r="S73" s="49">
        <v>0</v>
      </c>
      <c r="T73" s="49">
        <v>1</v>
      </c>
      <c r="U73" s="50">
        <v>0</v>
      </c>
      <c r="V73" s="50">
        <v>0.002092</v>
      </c>
      <c r="W73" s="50">
        <v>0.000676</v>
      </c>
      <c r="X73" s="50">
        <v>0.53406</v>
      </c>
      <c r="Y73" s="50">
        <v>0</v>
      </c>
      <c r="Z73" s="50">
        <v>0</v>
      </c>
      <c r="AA73" s="72">
        <v>73</v>
      </c>
      <c r="AB73" s="72"/>
      <c r="AC73" s="73"/>
      <c r="AD73" s="80" t="s">
        <v>735</v>
      </c>
      <c r="AE73" s="80"/>
      <c r="AF73" s="80"/>
      <c r="AG73" s="80"/>
      <c r="AH73" s="80"/>
      <c r="AI73" s="80"/>
      <c r="AJ73" s="87">
        <v>43073.02880787037</v>
      </c>
      <c r="AK73" s="85" t="str">
        <f>HYPERLINK("https://yt3.ggpht.com/ytc/AAUvwnja5G0cTjcJ9POFxIpXQShmPlvJ_hQawhRqRw=s88-c-k-c0x00ffffff-no-rj")</f>
        <v>https://yt3.ggpht.com/ytc/AAUvwnja5G0cTjcJ9POFxIpXQShmPlvJ_hQawhRqRw=s88-c-k-c0x00ffffff-no-rj</v>
      </c>
      <c r="AL73" s="80">
        <v>0</v>
      </c>
      <c r="AM73" s="80">
        <v>0</v>
      </c>
      <c r="AN73" s="80">
        <v>3</v>
      </c>
      <c r="AO73" s="80" t="b">
        <v>0</v>
      </c>
      <c r="AP73" s="80">
        <v>0</v>
      </c>
      <c r="AQ73" s="80"/>
      <c r="AR73" s="80"/>
      <c r="AS73" s="80" t="s">
        <v>871</v>
      </c>
      <c r="AT73" s="85" t="str">
        <f>HYPERLINK("https://www.youtube.com/channel/UCnpm9ZORHGQJexR7ybzUTVw")</f>
        <v>https://www.youtube.com/channel/UCnpm9ZORHGQJexR7ybzUTVw</v>
      </c>
      <c r="AU73" s="80" t="str">
        <f>REPLACE(INDEX(GroupVertices[Group],MATCH(Vertices[[#This Row],[Vertex]],GroupVertices[Vertex],0)),1,1,"")</f>
        <v>7</v>
      </c>
      <c r="AV73" s="49">
        <v>1</v>
      </c>
      <c r="AW73" s="50">
        <v>4.761904761904762</v>
      </c>
      <c r="AX73" s="49">
        <v>0</v>
      </c>
      <c r="AY73" s="50">
        <v>0</v>
      </c>
      <c r="AZ73" s="49">
        <v>0</v>
      </c>
      <c r="BA73" s="50">
        <v>0</v>
      </c>
      <c r="BB73" s="49">
        <v>20</v>
      </c>
      <c r="BC73" s="50">
        <v>95.23809523809524</v>
      </c>
      <c r="BD73" s="49">
        <v>21</v>
      </c>
      <c r="BE73" s="49"/>
      <c r="BF73" s="49"/>
      <c r="BG73" s="49"/>
      <c r="BH73" s="49"/>
      <c r="BI73" s="49"/>
      <c r="BJ73" s="49"/>
      <c r="BK73" s="111" t="s">
        <v>1505</v>
      </c>
      <c r="BL73" s="111" t="s">
        <v>1548</v>
      </c>
      <c r="BM73" s="111" t="s">
        <v>1572</v>
      </c>
      <c r="BN73" s="111" t="s">
        <v>1612</v>
      </c>
      <c r="BO73" s="2"/>
      <c r="BP73" s="3"/>
      <c r="BQ73" s="3"/>
      <c r="BR73" s="3"/>
      <c r="BS73" s="3"/>
    </row>
    <row r="74" spans="1:71" ht="15">
      <c r="A74" s="65" t="s">
        <v>397</v>
      </c>
      <c r="B74" s="66"/>
      <c r="C74" s="66"/>
      <c r="D74" s="67">
        <v>150</v>
      </c>
      <c r="E74" s="69"/>
      <c r="F74" s="103" t="str">
        <f>HYPERLINK("https://yt3.ggpht.com/ytc/AAUvwnhM3I_AZA8oM9s9dgP5Czy75e31hNoWyHJuTQ=s88-c-k-c0x00ffffff-no-rj")</f>
        <v>https://yt3.ggpht.com/ytc/AAUvwnhM3I_AZA8oM9s9dgP5Czy75e31hNoWyHJuTQ=s88-c-k-c0x00ffffff-no-rj</v>
      </c>
      <c r="G74" s="66"/>
      <c r="H74" s="70" t="s">
        <v>737</v>
      </c>
      <c r="I74" s="71"/>
      <c r="J74" s="71" t="s">
        <v>159</v>
      </c>
      <c r="K74" s="70" t="s">
        <v>737</v>
      </c>
      <c r="L74" s="74">
        <v>1</v>
      </c>
      <c r="M74" s="75">
        <v>3721.25</v>
      </c>
      <c r="N74" s="75">
        <v>2699.978759765625</v>
      </c>
      <c r="O74" s="76"/>
      <c r="P74" s="77"/>
      <c r="Q74" s="77"/>
      <c r="R74" s="89"/>
      <c r="S74" s="49">
        <v>0</v>
      </c>
      <c r="T74" s="49">
        <v>1</v>
      </c>
      <c r="U74" s="50">
        <v>0</v>
      </c>
      <c r="V74" s="50">
        <v>0.003021</v>
      </c>
      <c r="W74" s="50">
        <v>0.007133</v>
      </c>
      <c r="X74" s="50">
        <v>0.515381</v>
      </c>
      <c r="Y74" s="50">
        <v>0</v>
      </c>
      <c r="Z74" s="50">
        <v>0</v>
      </c>
      <c r="AA74" s="72">
        <v>74</v>
      </c>
      <c r="AB74" s="72"/>
      <c r="AC74" s="73"/>
      <c r="AD74" s="80" t="s">
        <v>737</v>
      </c>
      <c r="AE74" s="80"/>
      <c r="AF74" s="80"/>
      <c r="AG74" s="80"/>
      <c r="AH74" s="80"/>
      <c r="AI74" s="80"/>
      <c r="AJ74" s="87">
        <v>43933.62358796296</v>
      </c>
      <c r="AK74" s="85" t="str">
        <f>HYPERLINK("https://yt3.ggpht.com/ytc/AAUvwnhM3I_AZA8oM9s9dgP5Czy75e31hNoWyHJuTQ=s88-c-k-c0x00ffffff-no-rj")</f>
        <v>https://yt3.ggpht.com/ytc/AAUvwnhM3I_AZA8oM9s9dgP5Czy75e31hNoWyHJuTQ=s88-c-k-c0x00ffffff-no-rj</v>
      </c>
      <c r="AL74" s="80">
        <v>107</v>
      </c>
      <c r="AM74" s="80">
        <v>0</v>
      </c>
      <c r="AN74" s="80">
        <v>1</v>
      </c>
      <c r="AO74" s="80" t="b">
        <v>0</v>
      </c>
      <c r="AP74" s="80">
        <v>1</v>
      </c>
      <c r="AQ74" s="80"/>
      <c r="AR74" s="80"/>
      <c r="AS74" s="80" t="s">
        <v>871</v>
      </c>
      <c r="AT74" s="85" t="str">
        <f>HYPERLINK("https://www.youtube.com/channel/UCf7faCV85PBme45MFibeKyA")</f>
        <v>https://www.youtube.com/channel/UCf7faCV85PBme45MFibeKyA</v>
      </c>
      <c r="AU74" s="80" t="str">
        <f>REPLACE(INDEX(GroupVertices[Group],MATCH(Vertices[[#This Row],[Vertex]],GroupVertices[Vertex],0)),1,1,"")</f>
        <v>1</v>
      </c>
      <c r="AV74" s="49">
        <v>1</v>
      </c>
      <c r="AW74" s="50">
        <v>7.142857142857143</v>
      </c>
      <c r="AX74" s="49">
        <v>1</v>
      </c>
      <c r="AY74" s="50">
        <v>7.142857142857143</v>
      </c>
      <c r="AZ74" s="49">
        <v>0</v>
      </c>
      <c r="BA74" s="50">
        <v>0</v>
      </c>
      <c r="BB74" s="49">
        <v>13</v>
      </c>
      <c r="BC74" s="50">
        <v>92.85714285714286</v>
      </c>
      <c r="BD74" s="49">
        <v>14</v>
      </c>
      <c r="BE74" s="49"/>
      <c r="BF74" s="49"/>
      <c r="BG74" s="49"/>
      <c r="BH74" s="49"/>
      <c r="BI74" s="49"/>
      <c r="BJ74" s="49"/>
      <c r="BK74" s="111" t="s">
        <v>1506</v>
      </c>
      <c r="BL74" s="111" t="s">
        <v>1506</v>
      </c>
      <c r="BM74" s="111" t="s">
        <v>1573</v>
      </c>
      <c r="BN74" s="111" t="s">
        <v>1573</v>
      </c>
      <c r="BO74" s="2"/>
      <c r="BP74" s="3"/>
      <c r="BQ74" s="3"/>
      <c r="BR74" s="3"/>
      <c r="BS74" s="3"/>
    </row>
    <row r="75" spans="1:71" ht="15">
      <c r="A75" s="65" t="s">
        <v>398</v>
      </c>
      <c r="B75" s="66"/>
      <c r="C75" s="66"/>
      <c r="D75" s="67">
        <v>150</v>
      </c>
      <c r="E75" s="69"/>
      <c r="F75" s="103" t="str">
        <f>HYPERLINK("https://yt3.ggpht.com/ytc/AAUvwnh42DLIeQESfnNMY42jCfDxf3FqO3uzau51jQx99g=s88-c-k-c0x00ffffff-no-rj")</f>
        <v>https://yt3.ggpht.com/ytc/AAUvwnh42DLIeQESfnNMY42jCfDxf3FqO3uzau51jQx99g=s88-c-k-c0x00ffffff-no-rj</v>
      </c>
      <c r="G75" s="66"/>
      <c r="H75" s="70" t="s">
        <v>738</v>
      </c>
      <c r="I75" s="71"/>
      <c r="J75" s="71" t="s">
        <v>159</v>
      </c>
      <c r="K75" s="70" t="s">
        <v>738</v>
      </c>
      <c r="L75" s="74">
        <v>1</v>
      </c>
      <c r="M75" s="75">
        <v>5295.15380859375</v>
      </c>
      <c r="N75" s="75">
        <v>6244.40966796875</v>
      </c>
      <c r="O75" s="76"/>
      <c r="P75" s="77"/>
      <c r="Q75" s="77"/>
      <c r="R75" s="89"/>
      <c r="S75" s="49">
        <v>0</v>
      </c>
      <c r="T75" s="49">
        <v>1</v>
      </c>
      <c r="U75" s="50">
        <v>0</v>
      </c>
      <c r="V75" s="50">
        <v>0.003021</v>
      </c>
      <c r="W75" s="50">
        <v>0.007133</v>
      </c>
      <c r="X75" s="50">
        <v>0.515381</v>
      </c>
      <c r="Y75" s="50">
        <v>0</v>
      </c>
      <c r="Z75" s="50">
        <v>0</v>
      </c>
      <c r="AA75" s="72">
        <v>75</v>
      </c>
      <c r="AB75" s="72"/>
      <c r="AC75" s="73"/>
      <c r="AD75" s="80" t="s">
        <v>738</v>
      </c>
      <c r="AE75" s="80"/>
      <c r="AF75" s="80"/>
      <c r="AG75" s="80"/>
      <c r="AH75" s="80"/>
      <c r="AI75" s="80"/>
      <c r="AJ75" s="87">
        <v>39444.7784375</v>
      </c>
      <c r="AK75" s="85" t="str">
        <f>HYPERLINK("https://yt3.ggpht.com/ytc/AAUvwnh42DLIeQESfnNMY42jCfDxf3FqO3uzau51jQx99g=s88-c-k-c0x00ffffff-no-rj")</f>
        <v>https://yt3.ggpht.com/ytc/AAUvwnh42DLIeQESfnNMY42jCfDxf3FqO3uzau51jQx99g=s88-c-k-c0x00ffffff-no-rj</v>
      </c>
      <c r="AL75" s="80">
        <v>0</v>
      </c>
      <c r="AM75" s="80">
        <v>0</v>
      </c>
      <c r="AN75" s="80">
        <v>5</v>
      </c>
      <c r="AO75" s="80" t="b">
        <v>0</v>
      </c>
      <c r="AP75" s="80">
        <v>0</v>
      </c>
      <c r="AQ75" s="80"/>
      <c r="AR75" s="80"/>
      <c r="AS75" s="80" t="s">
        <v>871</v>
      </c>
      <c r="AT75" s="85" t="str">
        <f>HYPERLINK("https://www.youtube.com/channel/UCqMbJkZbqSxoX2omlLn1ypw")</f>
        <v>https://www.youtube.com/channel/UCqMbJkZbqSxoX2omlLn1ypw</v>
      </c>
      <c r="AU75" s="80" t="str">
        <f>REPLACE(INDEX(GroupVertices[Group],MATCH(Vertices[[#This Row],[Vertex]],GroupVertices[Vertex],0)),1,1,"")</f>
        <v>1</v>
      </c>
      <c r="AV75" s="49">
        <v>0</v>
      </c>
      <c r="AW75" s="50">
        <v>0</v>
      </c>
      <c r="AX75" s="49">
        <v>0</v>
      </c>
      <c r="AY75" s="50">
        <v>0</v>
      </c>
      <c r="AZ75" s="49">
        <v>0</v>
      </c>
      <c r="BA75" s="50">
        <v>0</v>
      </c>
      <c r="BB75" s="49">
        <v>2</v>
      </c>
      <c r="BC75" s="50">
        <v>100</v>
      </c>
      <c r="BD75" s="49">
        <v>2</v>
      </c>
      <c r="BE75" s="49"/>
      <c r="BF75" s="49"/>
      <c r="BG75" s="49"/>
      <c r="BH75" s="49"/>
      <c r="BI75" s="49"/>
      <c r="BJ75" s="49"/>
      <c r="BK75" s="111" t="s">
        <v>942</v>
      </c>
      <c r="BL75" s="111" t="s">
        <v>942</v>
      </c>
      <c r="BM75" s="111" t="s">
        <v>843</v>
      </c>
      <c r="BN75" s="111" t="s">
        <v>843</v>
      </c>
      <c r="BO75" s="2"/>
      <c r="BP75" s="3"/>
      <c r="BQ75" s="3"/>
      <c r="BR75" s="3"/>
      <c r="BS75" s="3"/>
    </row>
    <row r="76" spans="1:71" ht="15">
      <c r="A76" s="65" t="s">
        <v>399</v>
      </c>
      <c r="B76" s="66"/>
      <c r="C76" s="66"/>
      <c r="D76" s="67">
        <v>150</v>
      </c>
      <c r="E76" s="69"/>
      <c r="F76" s="103" t="str">
        <f>HYPERLINK("https://yt3.ggpht.com/ytc/AAUvwnhp4J-s-eZve7epbDPF20ngYvOfXOYW2_IcjlZpmw=s88-c-k-c0x00ffffff-no-rj")</f>
        <v>https://yt3.ggpht.com/ytc/AAUvwnhp4J-s-eZve7epbDPF20ngYvOfXOYW2_IcjlZpmw=s88-c-k-c0x00ffffff-no-rj</v>
      </c>
      <c r="G76" s="66"/>
      <c r="H76" s="70" t="s">
        <v>739</v>
      </c>
      <c r="I76" s="71"/>
      <c r="J76" s="71" t="s">
        <v>159</v>
      </c>
      <c r="K76" s="70" t="s">
        <v>739</v>
      </c>
      <c r="L76" s="74">
        <v>1</v>
      </c>
      <c r="M76" s="75">
        <v>4379.67333984375</v>
      </c>
      <c r="N76" s="75">
        <v>7596.28173828125</v>
      </c>
      <c r="O76" s="76"/>
      <c r="P76" s="77"/>
      <c r="Q76" s="77"/>
      <c r="R76" s="89"/>
      <c r="S76" s="49">
        <v>0</v>
      </c>
      <c r="T76" s="49">
        <v>1</v>
      </c>
      <c r="U76" s="50">
        <v>0</v>
      </c>
      <c r="V76" s="50">
        <v>0.003021</v>
      </c>
      <c r="W76" s="50">
        <v>0.007133</v>
      </c>
      <c r="X76" s="50">
        <v>0.515381</v>
      </c>
      <c r="Y76" s="50">
        <v>0</v>
      </c>
      <c r="Z76" s="50">
        <v>0</v>
      </c>
      <c r="AA76" s="72">
        <v>76</v>
      </c>
      <c r="AB76" s="72"/>
      <c r="AC76" s="73"/>
      <c r="AD76" s="80" t="s">
        <v>739</v>
      </c>
      <c r="AE76" s="80"/>
      <c r="AF76" s="80"/>
      <c r="AG76" s="80"/>
      <c r="AH76" s="80"/>
      <c r="AI76" s="80"/>
      <c r="AJ76" s="87">
        <v>42828.10506944444</v>
      </c>
      <c r="AK76" s="85" t="str">
        <f>HYPERLINK("https://yt3.ggpht.com/ytc/AAUvwnhp4J-s-eZve7epbDPF20ngYvOfXOYW2_IcjlZpmw=s88-c-k-c0x00ffffff-no-rj")</f>
        <v>https://yt3.ggpht.com/ytc/AAUvwnhp4J-s-eZve7epbDPF20ngYvOfXOYW2_IcjlZpmw=s88-c-k-c0x00ffffff-no-rj</v>
      </c>
      <c r="AL76" s="80">
        <v>0</v>
      </c>
      <c r="AM76" s="80">
        <v>0</v>
      </c>
      <c r="AN76" s="80">
        <v>8</v>
      </c>
      <c r="AO76" s="80" t="b">
        <v>0</v>
      </c>
      <c r="AP76" s="80">
        <v>0</v>
      </c>
      <c r="AQ76" s="80"/>
      <c r="AR76" s="80"/>
      <c r="AS76" s="80" t="s">
        <v>871</v>
      </c>
      <c r="AT76" s="85" t="str">
        <f>HYPERLINK("https://www.youtube.com/channel/UCYLBKC6MTJeOXg01kqC6MDA")</f>
        <v>https://www.youtube.com/channel/UCYLBKC6MTJeOXg01kqC6MDA</v>
      </c>
      <c r="AU76" s="80" t="str">
        <f>REPLACE(INDEX(GroupVertices[Group],MATCH(Vertices[[#This Row],[Vertex]],GroupVertices[Vertex],0)),1,1,"")</f>
        <v>1</v>
      </c>
      <c r="AV76" s="49">
        <v>1</v>
      </c>
      <c r="AW76" s="50">
        <v>4.761904761904762</v>
      </c>
      <c r="AX76" s="49">
        <v>0</v>
      </c>
      <c r="AY76" s="50">
        <v>0</v>
      </c>
      <c r="AZ76" s="49">
        <v>0</v>
      </c>
      <c r="BA76" s="50">
        <v>0</v>
      </c>
      <c r="BB76" s="49">
        <v>20</v>
      </c>
      <c r="BC76" s="50">
        <v>95.23809523809524</v>
      </c>
      <c r="BD76" s="49">
        <v>21</v>
      </c>
      <c r="BE76" s="49"/>
      <c r="BF76" s="49"/>
      <c r="BG76" s="49"/>
      <c r="BH76" s="49"/>
      <c r="BI76" s="49"/>
      <c r="BJ76" s="49"/>
      <c r="BK76" s="111" t="s">
        <v>1507</v>
      </c>
      <c r="BL76" s="111" t="s">
        <v>1507</v>
      </c>
      <c r="BM76" s="111" t="s">
        <v>1574</v>
      </c>
      <c r="BN76" s="111" t="s">
        <v>1574</v>
      </c>
      <c r="BO76" s="2"/>
      <c r="BP76" s="3"/>
      <c r="BQ76" s="3"/>
      <c r="BR76" s="3"/>
      <c r="BS76" s="3"/>
    </row>
    <row r="77" spans="1:71" ht="15">
      <c r="A77" s="65" t="s">
        <v>400</v>
      </c>
      <c r="B77" s="66"/>
      <c r="C77" s="66"/>
      <c r="D77" s="67">
        <v>150</v>
      </c>
      <c r="E77" s="69"/>
      <c r="F77" s="103" t="str">
        <f>HYPERLINK("https://yt3.ggpht.com/ytc/AAUvwnhFo-k6UpK_mGBFw97nyEaLyxfQdnjK1Wu5jw=s88-c-k-c0x00ffffff-no-rj")</f>
        <v>https://yt3.ggpht.com/ytc/AAUvwnhFo-k6UpK_mGBFw97nyEaLyxfQdnjK1Wu5jw=s88-c-k-c0x00ffffff-no-rj</v>
      </c>
      <c r="G77" s="66"/>
      <c r="H77" s="70" t="s">
        <v>740</v>
      </c>
      <c r="I77" s="71"/>
      <c r="J77" s="71" t="s">
        <v>159</v>
      </c>
      <c r="K77" s="70" t="s">
        <v>740</v>
      </c>
      <c r="L77" s="74">
        <v>1</v>
      </c>
      <c r="M77" s="75">
        <v>2069.011474609375</v>
      </c>
      <c r="N77" s="75">
        <v>9387.58984375</v>
      </c>
      <c r="O77" s="76"/>
      <c r="P77" s="77"/>
      <c r="Q77" s="77"/>
      <c r="R77" s="89"/>
      <c r="S77" s="49">
        <v>0</v>
      </c>
      <c r="T77" s="49">
        <v>1</v>
      </c>
      <c r="U77" s="50">
        <v>0</v>
      </c>
      <c r="V77" s="50">
        <v>0.003021</v>
      </c>
      <c r="W77" s="50">
        <v>0.007133</v>
      </c>
      <c r="X77" s="50">
        <v>0.515381</v>
      </c>
      <c r="Y77" s="50">
        <v>0</v>
      </c>
      <c r="Z77" s="50">
        <v>0</v>
      </c>
      <c r="AA77" s="72">
        <v>77</v>
      </c>
      <c r="AB77" s="72"/>
      <c r="AC77" s="73"/>
      <c r="AD77" s="80" t="s">
        <v>740</v>
      </c>
      <c r="AE77" s="80"/>
      <c r="AF77" s="80"/>
      <c r="AG77" s="80"/>
      <c r="AH77" s="80"/>
      <c r="AI77" s="80"/>
      <c r="AJ77" s="87">
        <v>44301.82923611111</v>
      </c>
      <c r="AK77" s="85" t="str">
        <f>HYPERLINK("https://yt3.ggpht.com/ytc/AAUvwnhFo-k6UpK_mGBFw97nyEaLyxfQdnjK1Wu5jw=s88-c-k-c0x00ffffff-no-rj")</f>
        <v>https://yt3.ggpht.com/ytc/AAUvwnhFo-k6UpK_mGBFw97nyEaLyxfQdnjK1Wu5jw=s88-c-k-c0x00ffffff-no-rj</v>
      </c>
      <c r="AL77" s="80">
        <v>0</v>
      </c>
      <c r="AM77" s="80">
        <v>0</v>
      </c>
      <c r="AN77" s="80">
        <v>0</v>
      </c>
      <c r="AO77" s="80" t="b">
        <v>0</v>
      </c>
      <c r="AP77" s="80">
        <v>0</v>
      </c>
      <c r="AQ77" s="80"/>
      <c r="AR77" s="80"/>
      <c r="AS77" s="80" t="s">
        <v>871</v>
      </c>
      <c r="AT77" s="85" t="str">
        <f>HYPERLINK("https://www.youtube.com/channel/UCvVUYpk8YYQ9-_bJt38X4ZQ")</f>
        <v>https://www.youtube.com/channel/UCvVUYpk8YYQ9-_bJt38X4ZQ</v>
      </c>
      <c r="AU77" s="80" t="str">
        <f>REPLACE(INDEX(GroupVertices[Group],MATCH(Vertices[[#This Row],[Vertex]],GroupVertices[Vertex],0)),1,1,"")</f>
        <v>1</v>
      </c>
      <c r="AV77" s="49">
        <v>0</v>
      </c>
      <c r="AW77" s="50">
        <v>0</v>
      </c>
      <c r="AX77" s="49">
        <v>0</v>
      </c>
      <c r="AY77" s="50">
        <v>0</v>
      </c>
      <c r="AZ77" s="49">
        <v>0</v>
      </c>
      <c r="BA77" s="50">
        <v>0</v>
      </c>
      <c r="BB77" s="49">
        <v>13</v>
      </c>
      <c r="BC77" s="50">
        <v>100</v>
      </c>
      <c r="BD77" s="49">
        <v>13</v>
      </c>
      <c r="BE77" s="49"/>
      <c r="BF77" s="49"/>
      <c r="BG77" s="49"/>
      <c r="BH77" s="49"/>
      <c r="BI77" s="49"/>
      <c r="BJ77" s="49"/>
      <c r="BK77" s="111" t="s">
        <v>1342</v>
      </c>
      <c r="BL77" s="111" t="s">
        <v>1342</v>
      </c>
      <c r="BM77" s="111" t="s">
        <v>1412</v>
      </c>
      <c r="BN77" s="111" t="s">
        <v>1412</v>
      </c>
      <c r="BO77" s="2"/>
      <c r="BP77" s="3"/>
      <c r="BQ77" s="3"/>
      <c r="BR77" s="3"/>
      <c r="BS77" s="3"/>
    </row>
    <row r="78" spans="1:71" ht="15">
      <c r="A78" s="65" t="s">
        <v>401</v>
      </c>
      <c r="B78" s="66"/>
      <c r="C78" s="66"/>
      <c r="D78" s="67">
        <v>150</v>
      </c>
      <c r="E78" s="69"/>
      <c r="F78" s="103" t="str">
        <f>HYPERLINK("https://yt3.ggpht.com/ytc/AAUvwnjGqfEce2MsUEbWrKSRHaSLEDV71oe9tcoLngQs=s88-c-k-c0x00ffffff-no-rj")</f>
        <v>https://yt3.ggpht.com/ytc/AAUvwnjGqfEce2MsUEbWrKSRHaSLEDV71oe9tcoLngQs=s88-c-k-c0x00ffffff-no-rj</v>
      </c>
      <c r="G78" s="66"/>
      <c r="H78" s="70" t="s">
        <v>741</v>
      </c>
      <c r="I78" s="71"/>
      <c r="J78" s="71" t="s">
        <v>159</v>
      </c>
      <c r="K78" s="70" t="s">
        <v>741</v>
      </c>
      <c r="L78" s="74">
        <v>1</v>
      </c>
      <c r="M78" s="75">
        <v>4306.04638671875</v>
      </c>
      <c r="N78" s="75">
        <v>338.5965881347656</v>
      </c>
      <c r="O78" s="76"/>
      <c r="P78" s="77"/>
      <c r="Q78" s="77"/>
      <c r="R78" s="89"/>
      <c r="S78" s="49">
        <v>0</v>
      </c>
      <c r="T78" s="49">
        <v>1</v>
      </c>
      <c r="U78" s="50">
        <v>0</v>
      </c>
      <c r="V78" s="50">
        <v>0.003021</v>
      </c>
      <c r="W78" s="50">
        <v>0.007133</v>
      </c>
      <c r="X78" s="50">
        <v>0.515381</v>
      </c>
      <c r="Y78" s="50">
        <v>0</v>
      </c>
      <c r="Z78" s="50">
        <v>0</v>
      </c>
      <c r="AA78" s="72">
        <v>78</v>
      </c>
      <c r="AB78" s="72"/>
      <c r="AC78" s="73"/>
      <c r="AD78" s="80" t="s">
        <v>741</v>
      </c>
      <c r="AE78" s="80"/>
      <c r="AF78" s="80"/>
      <c r="AG78" s="80"/>
      <c r="AH78" s="80"/>
      <c r="AI78" s="80"/>
      <c r="AJ78" s="87">
        <v>42368.78209490741</v>
      </c>
      <c r="AK78" s="85" t="str">
        <f>HYPERLINK("https://yt3.ggpht.com/ytc/AAUvwnjGqfEce2MsUEbWrKSRHaSLEDV71oe9tcoLngQs=s88-c-k-c0x00ffffff-no-rj")</f>
        <v>https://yt3.ggpht.com/ytc/AAUvwnjGqfEce2MsUEbWrKSRHaSLEDV71oe9tcoLngQs=s88-c-k-c0x00ffffff-no-rj</v>
      </c>
      <c r="AL78" s="80">
        <v>3041</v>
      </c>
      <c r="AM78" s="80">
        <v>0</v>
      </c>
      <c r="AN78" s="80">
        <v>20</v>
      </c>
      <c r="AO78" s="80" t="b">
        <v>0</v>
      </c>
      <c r="AP78" s="80">
        <v>2</v>
      </c>
      <c r="AQ78" s="80"/>
      <c r="AR78" s="80"/>
      <c r="AS78" s="80" t="s">
        <v>871</v>
      </c>
      <c r="AT78" s="85" t="str">
        <f>HYPERLINK("https://www.youtube.com/channel/UCaitnE6wjlW20Chd-97eDcg")</f>
        <v>https://www.youtube.com/channel/UCaitnE6wjlW20Chd-97eDcg</v>
      </c>
      <c r="AU78" s="80" t="str">
        <f>REPLACE(INDEX(GroupVertices[Group],MATCH(Vertices[[#This Row],[Vertex]],GroupVertices[Vertex],0)),1,1,"")</f>
        <v>1</v>
      </c>
      <c r="AV78" s="49">
        <v>1</v>
      </c>
      <c r="AW78" s="50">
        <v>10</v>
      </c>
      <c r="AX78" s="49">
        <v>0</v>
      </c>
      <c r="AY78" s="50">
        <v>0</v>
      </c>
      <c r="AZ78" s="49">
        <v>0</v>
      </c>
      <c r="BA78" s="50">
        <v>0</v>
      </c>
      <c r="BB78" s="49">
        <v>9</v>
      </c>
      <c r="BC78" s="50">
        <v>90</v>
      </c>
      <c r="BD78" s="49">
        <v>10</v>
      </c>
      <c r="BE78" s="49"/>
      <c r="BF78" s="49"/>
      <c r="BG78" s="49"/>
      <c r="BH78" s="49"/>
      <c r="BI78" s="49"/>
      <c r="BJ78" s="49"/>
      <c r="BK78" s="111" t="s">
        <v>1343</v>
      </c>
      <c r="BL78" s="111" t="s">
        <v>1343</v>
      </c>
      <c r="BM78" s="111" t="s">
        <v>1413</v>
      </c>
      <c r="BN78" s="111" t="s">
        <v>1413</v>
      </c>
      <c r="BO78" s="2"/>
      <c r="BP78" s="3"/>
      <c r="BQ78" s="3"/>
      <c r="BR78" s="3"/>
      <c r="BS78" s="3"/>
    </row>
    <row r="79" spans="1:71" ht="15">
      <c r="A79" s="65" t="s">
        <v>402</v>
      </c>
      <c r="B79" s="66"/>
      <c r="C79" s="66"/>
      <c r="D79" s="67">
        <v>150</v>
      </c>
      <c r="E79" s="69"/>
      <c r="F79" s="103" t="str">
        <f>HYPERLINK("https://yt3.ggpht.com/ytc/AAUvwniR_ph5Ba_AWnzcNMGno2DbwzXnrHIjOvTT6w=s88-c-k-c0x00ffffff-no-rj")</f>
        <v>https://yt3.ggpht.com/ytc/AAUvwniR_ph5Ba_AWnzcNMGno2DbwzXnrHIjOvTT6w=s88-c-k-c0x00ffffff-no-rj</v>
      </c>
      <c r="G79" s="66"/>
      <c r="H79" s="70" t="s">
        <v>742</v>
      </c>
      <c r="I79" s="71"/>
      <c r="J79" s="71" t="s">
        <v>159</v>
      </c>
      <c r="K79" s="70" t="s">
        <v>742</v>
      </c>
      <c r="L79" s="74">
        <v>1</v>
      </c>
      <c r="M79" s="75">
        <v>2511.16259765625</v>
      </c>
      <c r="N79" s="75">
        <v>285.6485900878906</v>
      </c>
      <c r="O79" s="76"/>
      <c r="P79" s="77"/>
      <c r="Q79" s="77"/>
      <c r="R79" s="89"/>
      <c r="S79" s="49">
        <v>0</v>
      </c>
      <c r="T79" s="49">
        <v>1</v>
      </c>
      <c r="U79" s="50">
        <v>0</v>
      </c>
      <c r="V79" s="50">
        <v>0.003021</v>
      </c>
      <c r="W79" s="50">
        <v>0.007133</v>
      </c>
      <c r="X79" s="50">
        <v>0.515381</v>
      </c>
      <c r="Y79" s="50">
        <v>0</v>
      </c>
      <c r="Z79" s="50">
        <v>0</v>
      </c>
      <c r="AA79" s="72">
        <v>79</v>
      </c>
      <c r="AB79" s="72"/>
      <c r="AC79" s="73"/>
      <c r="AD79" s="80" t="s">
        <v>742</v>
      </c>
      <c r="AE79" s="80"/>
      <c r="AF79" s="80"/>
      <c r="AG79" s="80"/>
      <c r="AH79" s="80"/>
      <c r="AI79" s="80"/>
      <c r="AJ79" s="87">
        <v>44272.85902777778</v>
      </c>
      <c r="AK79" s="85" t="str">
        <f>HYPERLINK("https://yt3.ggpht.com/ytc/AAUvwniR_ph5Ba_AWnzcNMGno2DbwzXnrHIjOvTT6w=s88-c-k-c0x00ffffff-no-rj")</f>
        <v>https://yt3.ggpht.com/ytc/AAUvwniR_ph5Ba_AWnzcNMGno2DbwzXnrHIjOvTT6w=s88-c-k-c0x00ffffff-no-rj</v>
      </c>
      <c r="AL79" s="80">
        <v>0</v>
      </c>
      <c r="AM79" s="80">
        <v>0</v>
      </c>
      <c r="AN79" s="80">
        <v>0</v>
      </c>
      <c r="AO79" s="80" t="b">
        <v>0</v>
      </c>
      <c r="AP79" s="80">
        <v>0</v>
      </c>
      <c r="AQ79" s="80"/>
      <c r="AR79" s="80"/>
      <c r="AS79" s="80" t="s">
        <v>871</v>
      </c>
      <c r="AT79" s="85" t="str">
        <f>HYPERLINK("https://www.youtube.com/channel/UCoQSabVWR66qts3iy3jSOpg")</f>
        <v>https://www.youtube.com/channel/UCoQSabVWR66qts3iy3jSOpg</v>
      </c>
      <c r="AU79" s="80" t="str">
        <f>REPLACE(INDEX(GroupVertices[Group],MATCH(Vertices[[#This Row],[Vertex]],GroupVertices[Vertex],0)),1,1,"")</f>
        <v>1</v>
      </c>
      <c r="AV79" s="49">
        <v>2</v>
      </c>
      <c r="AW79" s="50">
        <v>16.666666666666668</v>
      </c>
      <c r="AX79" s="49">
        <v>1</v>
      </c>
      <c r="AY79" s="50">
        <v>8.333333333333334</v>
      </c>
      <c r="AZ79" s="49">
        <v>0</v>
      </c>
      <c r="BA79" s="50">
        <v>0</v>
      </c>
      <c r="BB79" s="49">
        <v>10</v>
      </c>
      <c r="BC79" s="50">
        <v>83.33333333333333</v>
      </c>
      <c r="BD79" s="49">
        <v>12</v>
      </c>
      <c r="BE79" s="49"/>
      <c r="BF79" s="49"/>
      <c r="BG79" s="49"/>
      <c r="BH79" s="49"/>
      <c r="BI79" s="49"/>
      <c r="BJ79" s="49"/>
      <c r="BK79" s="111" t="s">
        <v>1344</v>
      </c>
      <c r="BL79" s="111" t="s">
        <v>1344</v>
      </c>
      <c r="BM79" s="111" t="s">
        <v>1414</v>
      </c>
      <c r="BN79" s="111" t="s">
        <v>1414</v>
      </c>
      <c r="BO79" s="2"/>
      <c r="BP79" s="3"/>
      <c r="BQ79" s="3"/>
      <c r="BR79" s="3"/>
      <c r="BS79" s="3"/>
    </row>
    <row r="80" spans="1:71" ht="15">
      <c r="A80" s="65" t="s">
        <v>403</v>
      </c>
      <c r="B80" s="66"/>
      <c r="C80" s="66"/>
      <c r="D80" s="67">
        <v>150</v>
      </c>
      <c r="E80" s="69"/>
      <c r="F80" s="103" t="str">
        <f>HYPERLINK("https://yt3.ggpht.com/ytc/AAUvwnh4Lb5AHwOrfO5XcJ6_W1lu8crpgT3QG3pXNw=s88-c-k-c0x00ffffff-no-rj")</f>
        <v>https://yt3.ggpht.com/ytc/AAUvwnh4Lb5AHwOrfO5XcJ6_W1lu8crpgT3QG3pXNw=s88-c-k-c0x00ffffff-no-rj</v>
      </c>
      <c r="G80" s="66"/>
      <c r="H80" s="70" t="s">
        <v>743</v>
      </c>
      <c r="I80" s="71"/>
      <c r="J80" s="71" t="s">
        <v>159</v>
      </c>
      <c r="K80" s="70" t="s">
        <v>743</v>
      </c>
      <c r="L80" s="74">
        <v>1</v>
      </c>
      <c r="M80" s="75">
        <v>7079.97119140625</v>
      </c>
      <c r="N80" s="75">
        <v>1141.50439453125</v>
      </c>
      <c r="O80" s="76"/>
      <c r="P80" s="77"/>
      <c r="Q80" s="77"/>
      <c r="R80" s="89"/>
      <c r="S80" s="49">
        <v>0</v>
      </c>
      <c r="T80" s="49">
        <v>2</v>
      </c>
      <c r="U80" s="50">
        <v>0</v>
      </c>
      <c r="V80" s="50">
        <v>0.00303</v>
      </c>
      <c r="W80" s="50">
        <v>0.007799</v>
      </c>
      <c r="X80" s="50">
        <v>0.896314</v>
      </c>
      <c r="Y80" s="50">
        <v>0.5</v>
      </c>
      <c r="Z80" s="50">
        <v>0</v>
      </c>
      <c r="AA80" s="72">
        <v>80</v>
      </c>
      <c r="AB80" s="72"/>
      <c r="AC80" s="73"/>
      <c r="AD80" s="80" t="s">
        <v>743</v>
      </c>
      <c r="AE80" s="80"/>
      <c r="AF80" s="80"/>
      <c r="AG80" s="80"/>
      <c r="AH80" s="80"/>
      <c r="AI80" s="80"/>
      <c r="AJ80" s="87">
        <v>44217.65011574074</v>
      </c>
      <c r="AK80" s="85" t="str">
        <f>HYPERLINK("https://yt3.ggpht.com/ytc/AAUvwnh4Lb5AHwOrfO5XcJ6_W1lu8crpgT3QG3pXNw=s88-c-k-c0x00ffffff-no-rj")</f>
        <v>https://yt3.ggpht.com/ytc/AAUvwnh4Lb5AHwOrfO5XcJ6_W1lu8crpgT3QG3pXNw=s88-c-k-c0x00ffffff-no-rj</v>
      </c>
      <c r="AL80" s="80">
        <v>0</v>
      </c>
      <c r="AM80" s="80">
        <v>0</v>
      </c>
      <c r="AN80" s="80">
        <v>1</v>
      </c>
      <c r="AO80" s="80" t="b">
        <v>0</v>
      </c>
      <c r="AP80" s="80">
        <v>0</v>
      </c>
      <c r="AQ80" s="80"/>
      <c r="AR80" s="80"/>
      <c r="AS80" s="80" t="s">
        <v>871</v>
      </c>
      <c r="AT80" s="85" t="str">
        <f>HYPERLINK("https://www.youtube.com/channel/UCishp5q9_MBqughD8R6_7dQ")</f>
        <v>https://www.youtube.com/channel/UCishp5q9_MBqughD8R6_7dQ</v>
      </c>
      <c r="AU80" s="80" t="str">
        <f>REPLACE(INDEX(GroupVertices[Group],MATCH(Vertices[[#This Row],[Vertex]],GroupVertices[Vertex],0)),1,1,"")</f>
        <v>15</v>
      </c>
      <c r="AV80" s="49">
        <v>1</v>
      </c>
      <c r="AW80" s="50">
        <v>6.25</v>
      </c>
      <c r="AX80" s="49">
        <v>2</v>
      </c>
      <c r="AY80" s="50">
        <v>12.5</v>
      </c>
      <c r="AZ80" s="49">
        <v>0</v>
      </c>
      <c r="BA80" s="50">
        <v>0</v>
      </c>
      <c r="BB80" s="49">
        <v>14</v>
      </c>
      <c r="BC80" s="50">
        <v>87.5</v>
      </c>
      <c r="BD80" s="49">
        <v>16</v>
      </c>
      <c r="BE80" s="49"/>
      <c r="BF80" s="49"/>
      <c r="BG80" s="49"/>
      <c r="BH80" s="49"/>
      <c r="BI80" s="49"/>
      <c r="BJ80" s="49"/>
      <c r="BK80" s="111" t="s">
        <v>1508</v>
      </c>
      <c r="BL80" s="111" t="s">
        <v>1508</v>
      </c>
      <c r="BM80" s="111" t="s">
        <v>1575</v>
      </c>
      <c r="BN80" s="111" t="s">
        <v>1575</v>
      </c>
      <c r="BO80" s="2"/>
      <c r="BP80" s="3"/>
      <c r="BQ80" s="3"/>
      <c r="BR80" s="3"/>
      <c r="BS80" s="3"/>
    </row>
    <row r="81" spans="1:71" ht="15">
      <c r="A81" s="65" t="s">
        <v>404</v>
      </c>
      <c r="B81" s="66"/>
      <c r="C81" s="66"/>
      <c r="D81" s="67">
        <v>362.5</v>
      </c>
      <c r="E81" s="69"/>
      <c r="F81" s="103" t="str">
        <f>HYPERLINK("https://yt3.ggpht.com/ytc/AAUvwngNirRT23N1mrqjcw8cQiAd38BLUdhuIezZuV4ehQ=s88-c-k-c0x00ffffff-no-rj")</f>
        <v>https://yt3.ggpht.com/ytc/AAUvwngNirRT23N1mrqjcw8cQiAd38BLUdhuIezZuV4ehQ=s88-c-k-c0x00ffffff-no-rj</v>
      </c>
      <c r="G81" s="66"/>
      <c r="H81" s="70" t="s">
        <v>744</v>
      </c>
      <c r="I81" s="71"/>
      <c r="J81" s="71" t="s">
        <v>159</v>
      </c>
      <c r="K81" s="70" t="s">
        <v>744</v>
      </c>
      <c r="L81" s="74">
        <v>80.984</v>
      </c>
      <c r="M81" s="75">
        <v>7079.97119140625</v>
      </c>
      <c r="N81" s="75">
        <v>476.8309326171875</v>
      </c>
      <c r="O81" s="76"/>
      <c r="P81" s="77"/>
      <c r="Q81" s="77"/>
      <c r="R81" s="89"/>
      <c r="S81" s="49">
        <v>1</v>
      </c>
      <c r="T81" s="49">
        <v>1</v>
      </c>
      <c r="U81" s="50">
        <v>0</v>
      </c>
      <c r="V81" s="50">
        <v>0.00303</v>
      </c>
      <c r="W81" s="50">
        <v>0.007799</v>
      </c>
      <c r="X81" s="50">
        <v>0.896314</v>
      </c>
      <c r="Y81" s="50">
        <v>0.5</v>
      </c>
      <c r="Z81" s="50">
        <v>0</v>
      </c>
      <c r="AA81" s="72">
        <v>81</v>
      </c>
      <c r="AB81" s="72"/>
      <c r="AC81" s="73"/>
      <c r="AD81" s="80" t="s">
        <v>744</v>
      </c>
      <c r="AE81" s="80"/>
      <c r="AF81" s="80"/>
      <c r="AG81" s="80"/>
      <c r="AH81" s="80"/>
      <c r="AI81" s="80"/>
      <c r="AJ81" s="87">
        <v>41085.913564814815</v>
      </c>
      <c r="AK81" s="85" t="str">
        <f>HYPERLINK("https://yt3.ggpht.com/ytc/AAUvwngNirRT23N1mrqjcw8cQiAd38BLUdhuIezZuV4ehQ=s88-c-k-c0x00ffffff-no-rj")</f>
        <v>https://yt3.ggpht.com/ytc/AAUvwngNirRT23N1mrqjcw8cQiAd38BLUdhuIezZuV4ehQ=s88-c-k-c0x00ffffff-no-rj</v>
      </c>
      <c r="AL81" s="80">
        <v>0</v>
      </c>
      <c r="AM81" s="80">
        <v>0</v>
      </c>
      <c r="AN81" s="80">
        <v>2</v>
      </c>
      <c r="AO81" s="80" t="b">
        <v>0</v>
      </c>
      <c r="AP81" s="80">
        <v>0</v>
      </c>
      <c r="AQ81" s="80"/>
      <c r="AR81" s="80"/>
      <c r="AS81" s="80" t="s">
        <v>871</v>
      </c>
      <c r="AT81" s="85" t="str">
        <f>HYPERLINK("https://www.youtube.com/channel/UCo-1mM9alLT2usoVWBUFvmw")</f>
        <v>https://www.youtube.com/channel/UCo-1mM9alLT2usoVWBUFvmw</v>
      </c>
      <c r="AU81" s="80" t="str">
        <f>REPLACE(INDEX(GroupVertices[Group],MATCH(Vertices[[#This Row],[Vertex]],GroupVertices[Vertex],0)),1,1,"")</f>
        <v>15</v>
      </c>
      <c r="AV81" s="49">
        <v>2</v>
      </c>
      <c r="AW81" s="50">
        <v>7.142857142857143</v>
      </c>
      <c r="AX81" s="49">
        <v>2</v>
      </c>
      <c r="AY81" s="50">
        <v>7.142857142857143</v>
      </c>
      <c r="AZ81" s="49">
        <v>0</v>
      </c>
      <c r="BA81" s="50">
        <v>0</v>
      </c>
      <c r="BB81" s="49">
        <v>26</v>
      </c>
      <c r="BC81" s="50">
        <v>92.85714285714286</v>
      </c>
      <c r="BD81" s="49">
        <v>28</v>
      </c>
      <c r="BE81" s="49"/>
      <c r="BF81" s="49"/>
      <c r="BG81" s="49"/>
      <c r="BH81" s="49"/>
      <c r="BI81" s="49"/>
      <c r="BJ81" s="49"/>
      <c r="BK81" s="111" t="s">
        <v>1509</v>
      </c>
      <c r="BL81" s="111" t="s">
        <v>1509</v>
      </c>
      <c r="BM81" s="111" t="s">
        <v>1576</v>
      </c>
      <c r="BN81" s="111" t="s">
        <v>1576</v>
      </c>
      <c r="BO81" s="2"/>
      <c r="BP81" s="3"/>
      <c r="BQ81" s="3"/>
      <c r="BR81" s="3"/>
      <c r="BS81" s="3"/>
    </row>
    <row r="82" spans="1:71" ht="15">
      <c r="A82" s="65" t="s">
        <v>405</v>
      </c>
      <c r="B82" s="66"/>
      <c r="C82" s="66"/>
      <c r="D82" s="67">
        <v>150</v>
      </c>
      <c r="E82" s="69"/>
      <c r="F82" s="103" t="str">
        <f>HYPERLINK("https://yt3.ggpht.com/ytc/AAUvwnjr_En1vLpEtgRxCT5ZtHwcNe3zinrmjNHbSQ=s88-c-k-c0x00ffffff-no-rj")</f>
        <v>https://yt3.ggpht.com/ytc/AAUvwnjr_En1vLpEtgRxCT5ZtHwcNe3zinrmjNHbSQ=s88-c-k-c0x00ffffff-no-rj</v>
      </c>
      <c r="G82" s="66"/>
      <c r="H82" s="70" t="s">
        <v>745</v>
      </c>
      <c r="I82" s="71"/>
      <c r="J82" s="71" t="s">
        <v>159</v>
      </c>
      <c r="K82" s="70" t="s">
        <v>745</v>
      </c>
      <c r="L82" s="74">
        <v>1</v>
      </c>
      <c r="M82" s="75">
        <v>9668.70703125</v>
      </c>
      <c r="N82" s="75">
        <v>9794.5400390625</v>
      </c>
      <c r="O82" s="76"/>
      <c r="P82" s="77"/>
      <c r="Q82" s="77"/>
      <c r="R82" s="89"/>
      <c r="S82" s="49">
        <v>0</v>
      </c>
      <c r="T82" s="49">
        <v>1</v>
      </c>
      <c r="U82" s="50">
        <v>0</v>
      </c>
      <c r="V82" s="50">
        <v>0.002101</v>
      </c>
      <c r="W82" s="50">
        <v>0.000627</v>
      </c>
      <c r="X82" s="50">
        <v>0.532233</v>
      </c>
      <c r="Y82" s="50">
        <v>0</v>
      </c>
      <c r="Z82" s="50">
        <v>0</v>
      </c>
      <c r="AA82" s="72">
        <v>82</v>
      </c>
      <c r="AB82" s="72"/>
      <c r="AC82" s="73"/>
      <c r="AD82" s="80" t="s">
        <v>745</v>
      </c>
      <c r="AE82" s="80"/>
      <c r="AF82" s="80"/>
      <c r="AG82" s="80"/>
      <c r="AH82" s="80"/>
      <c r="AI82" s="80"/>
      <c r="AJ82" s="87">
        <v>42644.79837962963</v>
      </c>
      <c r="AK82" s="85" t="str">
        <f>HYPERLINK("https://yt3.ggpht.com/ytc/AAUvwnjr_En1vLpEtgRxCT5ZtHwcNe3zinrmjNHbSQ=s88-c-k-c0x00ffffff-no-rj")</f>
        <v>https://yt3.ggpht.com/ytc/AAUvwnjr_En1vLpEtgRxCT5ZtHwcNe3zinrmjNHbSQ=s88-c-k-c0x00ffffff-no-rj</v>
      </c>
      <c r="AL82" s="80">
        <v>0</v>
      </c>
      <c r="AM82" s="80">
        <v>0</v>
      </c>
      <c r="AN82" s="80">
        <v>25</v>
      </c>
      <c r="AO82" s="80" t="b">
        <v>0</v>
      </c>
      <c r="AP82" s="80">
        <v>0</v>
      </c>
      <c r="AQ82" s="80"/>
      <c r="AR82" s="80"/>
      <c r="AS82" s="80" t="s">
        <v>871</v>
      </c>
      <c r="AT82" s="85" t="str">
        <f>HYPERLINK("https://www.youtube.com/channel/UCdFyXE6ByRRVO4-N4013PIw")</f>
        <v>https://www.youtube.com/channel/UCdFyXE6ByRRVO4-N4013PIw</v>
      </c>
      <c r="AU82" s="80" t="str">
        <f>REPLACE(INDEX(GroupVertices[Group],MATCH(Vertices[[#This Row],[Vertex]],GroupVertices[Vertex],0)),1,1,"")</f>
        <v>3</v>
      </c>
      <c r="AV82" s="49">
        <v>2</v>
      </c>
      <c r="AW82" s="50">
        <v>10</v>
      </c>
      <c r="AX82" s="49">
        <v>2</v>
      </c>
      <c r="AY82" s="50">
        <v>10</v>
      </c>
      <c r="AZ82" s="49">
        <v>0</v>
      </c>
      <c r="BA82" s="50">
        <v>0</v>
      </c>
      <c r="BB82" s="49">
        <v>17</v>
      </c>
      <c r="BC82" s="50">
        <v>85</v>
      </c>
      <c r="BD82" s="49">
        <v>20</v>
      </c>
      <c r="BE82" s="49"/>
      <c r="BF82" s="49"/>
      <c r="BG82" s="49"/>
      <c r="BH82" s="49"/>
      <c r="BI82" s="49"/>
      <c r="BJ82" s="49"/>
      <c r="BK82" s="111" t="s">
        <v>1345</v>
      </c>
      <c r="BL82" s="111" t="s">
        <v>1345</v>
      </c>
      <c r="BM82" s="111" t="s">
        <v>1415</v>
      </c>
      <c r="BN82" s="111" t="s">
        <v>1415</v>
      </c>
      <c r="BO82" s="2"/>
      <c r="BP82" s="3"/>
      <c r="BQ82" s="3"/>
      <c r="BR82" s="3"/>
      <c r="BS82" s="3"/>
    </row>
    <row r="83" spans="1:71" ht="15">
      <c r="A83" s="65" t="s">
        <v>407</v>
      </c>
      <c r="B83" s="66"/>
      <c r="C83" s="66"/>
      <c r="D83" s="67">
        <v>787.5</v>
      </c>
      <c r="E83" s="69"/>
      <c r="F83" s="103" t="str">
        <f>HYPERLINK("https://yt3.ggpht.com/ytc/AAUvwngcJXWVIro63vn7pUD4G1ZZYzCc6MiNSAPOYiE1=s88-c-k-c0x00ffffff-no-rj")</f>
        <v>https://yt3.ggpht.com/ytc/AAUvwngcJXWVIro63vn7pUD4G1ZZYzCc6MiNSAPOYiE1=s88-c-k-c0x00ffffff-no-rj</v>
      </c>
      <c r="G83" s="66"/>
      <c r="H83" s="70" t="s">
        <v>747</v>
      </c>
      <c r="I83" s="71"/>
      <c r="J83" s="71" t="s">
        <v>159</v>
      </c>
      <c r="K83" s="70" t="s">
        <v>747</v>
      </c>
      <c r="L83" s="74">
        <v>240.952</v>
      </c>
      <c r="M83" s="75">
        <v>9552.357421875</v>
      </c>
      <c r="N83" s="75">
        <v>8646.203125</v>
      </c>
      <c r="O83" s="76"/>
      <c r="P83" s="77"/>
      <c r="Q83" s="77"/>
      <c r="R83" s="89"/>
      <c r="S83" s="49">
        <v>3</v>
      </c>
      <c r="T83" s="49">
        <v>1</v>
      </c>
      <c r="U83" s="50">
        <v>749</v>
      </c>
      <c r="V83" s="50">
        <v>0.003077</v>
      </c>
      <c r="W83" s="50">
        <v>0.007351</v>
      </c>
      <c r="X83" s="50">
        <v>1.798745</v>
      </c>
      <c r="Y83" s="50">
        <v>0</v>
      </c>
      <c r="Z83" s="50">
        <v>0</v>
      </c>
      <c r="AA83" s="72">
        <v>83</v>
      </c>
      <c r="AB83" s="72"/>
      <c r="AC83" s="73"/>
      <c r="AD83" s="80" t="s">
        <v>747</v>
      </c>
      <c r="AE83" s="80"/>
      <c r="AF83" s="80"/>
      <c r="AG83" s="80"/>
      <c r="AH83" s="80"/>
      <c r="AI83" s="80"/>
      <c r="AJ83" s="87">
        <v>42965.59940972222</v>
      </c>
      <c r="AK83" s="85" t="str">
        <f>HYPERLINK("https://yt3.ggpht.com/ytc/AAUvwngcJXWVIro63vn7pUD4G1ZZYzCc6MiNSAPOYiE1=s88-c-k-c0x00ffffff-no-rj")</f>
        <v>https://yt3.ggpht.com/ytc/AAUvwngcJXWVIro63vn7pUD4G1ZZYzCc6MiNSAPOYiE1=s88-c-k-c0x00ffffff-no-rj</v>
      </c>
      <c r="AL83" s="80">
        <v>2932</v>
      </c>
      <c r="AM83" s="80">
        <v>0</v>
      </c>
      <c r="AN83" s="80">
        <v>29</v>
      </c>
      <c r="AO83" s="80" t="b">
        <v>0</v>
      </c>
      <c r="AP83" s="80">
        <v>33</v>
      </c>
      <c r="AQ83" s="80"/>
      <c r="AR83" s="80"/>
      <c r="AS83" s="80" t="s">
        <v>871</v>
      </c>
      <c r="AT83" s="85" t="str">
        <f>HYPERLINK("https://www.youtube.com/channel/UCeTcR0X09XqHMGgZ9pNyXYg")</f>
        <v>https://www.youtube.com/channel/UCeTcR0X09XqHMGgZ9pNyXYg</v>
      </c>
      <c r="AU83" s="80" t="str">
        <f>REPLACE(INDEX(GroupVertices[Group],MATCH(Vertices[[#This Row],[Vertex]],GroupVertices[Vertex],0)),1,1,"")</f>
        <v>3</v>
      </c>
      <c r="AV83" s="49">
        <v>3</v>
      </c>
      <c r="AW83" s="50">
        <v>7.5</v>
      </c>
      <c r="AX83" s="49">
        <v>7</v>
      </c>
      <c r="AY83" s="50">
        <v>17.5</v>
      </c>
      <c r="AZ83" s="49">
        <v>0</v>
      </c>
      <c r="BA83" s="50">
        <v>0</v>
      </c>
      <c r="BB83" s="49">
        <v>33</v>
      </c>
      <c r="BC83" s="50">
        <v>82.5</v>
      </c>
      <c r="BD83" s="49">
        <v>40</v>
      </c>
      <c r="BE83" s="49"/>
      <c r="BF83" s="49"/>
      <c r="BG83" s="49"/>
      <c r="BH83" s="49"/>
      <c r="BI83" s="49"/>
      <c r="BJ83" s="49"/>
      <c r="BK83" s="111" t="s">
        <v>1346</v>
      </c>
      <c r="BL83" s="111" t="s">
        <v>1346</v>
      </c>
      <c r="BM83" s="111" t="s">
        <v>1416</v>
      </c>
      <c r="BN83" s="111" t="s">
        <v>1416</v>
      </c>
      <c r="BO83" s="2"/>
      <c r="BP83" s="3"/>
      <c r="BQ83" s="3"/>
      <c r="BR83" s="3"/>
      <c r="BS83" s="3"/>
    </row>
    <row r="84" spans="1:71" ht="15">
      <c r="A84" s="65" t="s">
        <v>406</v>
      </c>
      <c r="B84" s="66"/>
      <c r="C84" s="66"/>
      <c r="D84" s="67">
        <v>150</v>
      </c>
      <c r="E84" s="69"/>
      <c r="F84" s="103" t="str">
        <f>HYPERLINK("https://yt3.ggpht.com/ytc/AAUvwnhN9tFKRiq_pozSDDKUpMhdgkEJMpWeUAiuwA=s88-c-k-c0x00ffffff-no-rj")</f>
        <v>https://yt3.ggpht.com/ytc/AAUvwnhN9tFKRiq_pozSDDKUpMhdgkEJMpWeUAiuwA=s88-c-k-c0x00ffffff-no-rj</v>
      </c>
      <c r="G84" s="66"/>
      <c r="H84" s="70" t="s">
        <v>746</v>
      </c>
      <c r="I84" s="71"/>
      <c r="J84" s="71" t="s">
        <v>159</v>
      </c>
      <c r="K84" s="70" t="s">
        <v>746</v>
      </c>
      <c r="L84" s="74">
        <v>1</v>
      </c>
      <c r="M84" s="75">
        <v>9848.802734375</v>
      </c>
      <c r="N84" s="75">
        <v>7934.13134765625</v>
      </c>
      <c r="O84" s="76"/>
      <c r="P84" s="77"/>
      <c r="Q84" s="77"/>
      <c r="R84" s="89"/>
      <c r="S84" s="49">
        <v>0</v>
      </c>
      <c r="T84" s="49">
        <v>1</v>
      </c>
      <c r="U84" s="50">
        <v>0</v>
      </c>
      <c r="V84" s="50">
        <v>0.002101</v>
      </c>
      <c r="W84" s="50">
        <v>0.000627</v>
      </c>
      <c r="X84" s="50">
        <v>0.532233</v>
      </c>
      <c r="Y84" s="50">
        <v>0</v>
      </c>
      <c r="Z84" s="50">
        <v>0</v>
      </c>
      <c r="AA84" s="72">
        <v>84</v>
      </c>
      <c r="AB84" s="72"/>
      <c r="AC84" s="73"/>
      <c r="AD84" s="80" t="s">
        <v>746</v>
      </c>
      <c r="AE84" s="80"/>
      <c r="AF84" s="80"/>
      <c r="AG84" s="80"/>
      <c r="AH84" s="80"/>
      <c r="AI84" s="80"/>
      <c r="AJ84" s="87">
        <v>42947.78136574074</v>
      </c>
      <c r="AK84" s="85" t="str">
        <f>HYPERLINK("https://yt3.ggpht.com/ytc/AAUvwnhN9tFKRiq_pozSDDKUpMhdgkEJMpWeUAiuwA=s88-c-k-c0x00ffffff-no-rj")</f>
        <v>https://yt3.ggpht.com/ytc/AAUvwnhN9tFKRiq_pozSDDKUpMhdgkEJMpWeUAiuwA=s88-c-k-c0x00ffffff-no-rj</v>
      </c>
      <c r="AL84" s="80">
        <v>0</v>
      </c>
      <c r="AM84" s="80">
        <v>0</v>
      </c>
      <c r="AN84" s="80">
        <v>2</v>
      </c>
      <c r="AO84" s="80" t="b">
        <v>0</v>
      </c>
      <c r="AP84" s="80">
        <v>0</v>
      </c>
      <c r="AQ84" s="80"/>
      <c r="AR84" s="80"/>
      <c r="AS84" s="80" t="s">
        <v>871</v>
      </c>
      <c r="AT84" s="85" t="str">
        <f>HYPERLINK("https://www.youtube.com/channel/UCbL03UQ7gBi1CmUVQVlrs5Q")</f>
        <v>https://www.youtube.com/channel/UCbL03UQ7gBi1CmUVQVlrs5Q</v>
      </c>
      <c r="AU84" s="80" t="str">
        <f>REPLACE(INDEX(GroupVertices[Group],MATCH(Vertices[[#This Row],[Vertex]],GroupVertices[Vertex],0)),1,1,"")</f>
        <v>3</v>
      </c>
      <c r="AV84" s="49">
        <v>3</v>
      </c>
      <c r="AW84" s="50">
        <v>8.333333333333334</v>
      </c>
      <c r="AX84" s="49">
        <v>4</v>
      </c>
      <c r="AY84" s="50">
        <v>11.11111111111111</v>
      </c>
      <c r="AZ84" s="49">
        <v>0</v>
      </c>
      <c r="BA84" s="50">
        <v>0</v>
      </c>
      <c r="BB84" s="49">
        <v>30</v>
      </c>
      <c r="BC84" s="50">
        <v>83.33333333333333</v>
      </c>
      <c r="BD84" s="49">
        <v>36</v>
      </c>
      <c r="BE84" s="49"/>
      <c r="BF84" s="49"/>
      <c r="BG84" s="49"/>
      <c r="BH84" s="49"/>
      <c r="BI84" s="49"/>
      <c r="BJ84" s="49"/>
      <c r="BK84" s="111" t="s">
        <v>1510</v>
      </c>
      <c r="BL84" s="111" t="s">
        <v>1510</v>
      </c>
      <c r="BM84" s="111" t="s">
        <v>1577</v>
      </c>
      <c r="BN84" s="111" t="s">
        <v>1577</v>
      </c>
      <c r="BO84" s="2"/>
      <c r="BP84" s="3"/>
      <c r="BQ84" s="3"/>
      <c r="BR84" s="3"/>
      <c r="BS84" s="3"/>
    </row>
    <row r="85" spans="1:71" ht="15">
      <c r="A85" s="65" t="s">
        <v>408</v>
      </c>
      <c r="B85" s="66"/>
      <c r="C85" s="66"/>
      <c r="D85" s="67">
        <v>150</v>
      </c>
      <c r="E85" s="69"/>
      <c r="F85" s="103" t="str">
        <f>HYPERLINK("https://yt3.ggpht.com/ytc/AAUvwnjYfpe34mC30D22ClVmE-1hFFoK91l2LYRac_9V=s88-c-k-c0x00ffffff-no-rj")</f>
        <v>https://yt3.ggpht.com/ytc/AAUvwnjYfpe34mC30D22ClVmE-1hFFoK91l2LYRac_9V=s88-c-k-c0x00ffffff-no-rj</v>
      </c>
      <c r="G85" s="66"/>
      <c r="H85" s="70" t="s">
        <v>748</v>
      </c>
      <c r="I85" s="71"/>
      <c r="J85" s="71" t="s">
        <v>159</v>
      </c>
      <c r="K85" s="70" t="s">
        <v>748</v>
      </c>
      <c r="L85" s="74">
        <v>1</v>
      </c>
      <c r="M85" s="75">
        <v>5123.74853515625</v>
      </c>
      <c r="N85" s="75">
        <v>9071.3876953125</v>
      </c>
      <c r="O85" s="76"/>
      <c r="P85" s="77"/>
      <c r="Q85" s="77"/>
      <c r="R85" s="89"/>
      <c r="S85" s="49">
        <v>0</v>
      </c>
      <c r="T85" s="49">
        <v>1</v>
      </c>
      <c r="U85" s="50">
        <v>0</v>
      </c>
      <c r="V85" s="50">
        <v>0.003021</v>
      </c>
      <c r="W85" s="50">
        <v>0.007133</v>
      </c>
      <c r="X85" s="50">
        <v>0.515381</v>
      </c>
      <c r="Y85" s="50">
        <v>0</v>
      </c>
      <c r="Z85" s="50">
        <v>0</v>
      </c>
      <c r="AA85" s="72">
        <v>85</v>
      </c>
      <c r="AB85" s="72"/>
      <c r="AC85" s="73"/>
      <c r="AD85" s="80" t="s">
        <v>748</v>
      </c>
      <c r="AE85" s="80"/>
      <c r="AF85" s="80"/>
      <c r="AG85" s="80"/>
      <c r="AH85" s="80"/>
      <c r="AI85" s="80"/>
      <c r="AJ85" s="87">
        <v>43872.13576388889</v>
      </c>
      <c r="AK85" s="85" t="str">
        <f>HYPERLINK("https://yt3.ggpht.com/ytc/AAUvwnjYfpe34mC30D22ClVmE-1hFFoK91l2LYRac_9V=s88-c-k-c0x00ffffff-no-rj")</f>
        <v>https://yt3.ggpht.com/ytc/AAUvwnjYfpe34mC30D22ClVmE-1hFFoK91l2LYRac_9V=s88-c-k-c0x00ffffff-no-rj</v>
      </c>
      <c r="AL85" s="80">
        <v>0</v>
      </c>
      <c r="AM85" s="80">
        <v>0</v>
      </c>
      <c r="AN85" s="80">
        <v>1</v>
      </c>
      <c r="AO85" s="80" t="b">
        <v>0</v>
      </c>
      <c r="AP85" s="80">
        <v>0</v>
      </c>
      <c r="AQ85" s="80"/>
      <c r="AR85" s="80"/>
      <c r="AS85" s="80" t="s">
        <v>871</v>
      </c>
      <c r="AT85" s="85" t="str">
        <f>HYPERLINK("https://www.youtube.com/channel/UC8WBpQXmB0gMLP_1jDliwLg")</f>
        <v>https://www.youtube.com/channel/UC8WBpQXmB0gMLP_1jDliwLg</v>
      </c>
      <c r="AU85" s="80" t="str">
        <f>REPLACE(INDEX(GroupVertices[Group],MATCH(Vertices[[#This Row],[Vertex]],GroupVertices[Vertex],0)),1,1,"")</f>
        <v>1</v>
      </c>
      <c r="AV85" s="49">
        <v>2</v>
      </c>
      <c r="AW85" s="50">
        <v>4.651162790697675</v>
      </c>
      <c r="AX85" s="49">
        <v>1</v>
      </c>
      <c r="AY85" s="50">
        <v>2.3255813953488373</v>
      </c>
      <c r="AZ85" s="49">
        <v>0</v>
      </c>
      <c r="BA85" s="50">
        <v>0</v>
      </c>
      <c r="BB85" s="49">
        <v>40</v>
      </c>
      <c r="BC85" s="50">
        <v>93.02325581395348</v>
      </c>
      <c r="BD85" s="49">
        <v>43</v>
      </c>
      <c r="BE85" s="49"/>
      <c r="BF85" s="49"/>
      <c r="BG85" s="49"/>
      <c r="BH85" s="49"/>
      <c r="BI85" s="49"/>
      <c r="BJ85" s="49"/>
      <c r="BK85" s="111" t="s">
        <v>1347</v>
      </c>
      <c r="BL85" s="111" t="s">
        <v>1347</v>
      </c>
      <c r="BM85" s="111" t="s">
        <v>1417</v>
      </c>
      <c r="BN85" s="111" t="s">
        <v>1417</v>
      </c>
      <c r="BO85" s="2"/>
      <c r="BP85" s="3"/>
      <c r="BQ85" s="3"/>
      <c r="BR85" s="3"/>
      <c r="BS85" s="3"/>
    </row>
    <row r="86" spans="1:71" ht="15">
      <c r="A86" s="65" t="s">
        <v>409</v>
      </c>
      <c r="B86" s="66"/>
      <c r="C86" s="66"/>
      <c r="D86" s="67">
        <v>150</v>
      </c>
      <c r="E86" s="69"/>
      <c r="F86" s="103" t="str">
        <f>HYPERLINK("https://yt3.ggpht.com/ytc/AAUvwngv8IL3aDq17xdLZ0GzS157g9FWelGRiQUibA=s88-c-k-c0x00ffffff-no-rj")</f>
        <v>https://yt3.ggpht.com/ytc/AAUvwngv8IL3aDq17xdLZ0GzS157g9FWelGRiQUibA=s88-c-k-c0x00ffffff-no-rj</v>
      </c>
      <c r="G86" s="66"/>
      <c r="H86" s="70" t="s">
        <v>749</v>
      </c>
      <c r="I86" s="71"/>
      <c r="J86" s="71" t="s">
        <v>159</v>
      </c>
      <c r="K86" s="70" t="s">
        <v>749</v>
      </c>
      <c r="L86" s="74">
        <v>1</v>
      </c>
      <c r="M86" s="75">
        <v>3217.344482421875</v>
      </c>
      <c r="N86" s="75">
        <v>9463.0009765625</v>
      </c>
      <c r="O86" s="76"/>
      <c r="P86" s="77"/>
      <c r="Q86" s="77"/>
      <c r="R86" s="89"/>
      <c r="S86" s="49">
        <v>0</v>
      </c>
      <c r="T86" s="49">
        <v>1</v>
      </c>
      <c r="U86" s="50">
        <v>0</v>
      </c>
      <c r="V86" s="50">
        <v>0.003021</v>
      </c>
      <c r="W86" s="50">
        <v>0.007133</v>
      </c>
      <c r="X86" s="50">
        <v>0.515381</v>
      </c>
      <c r="Y86" s="50">
        <v>0</v>
      </c>
      <c r="Z86" s="50">
        <v>0</v>
      </c>
      <c r="AA86" s="72">
        <v>86</v>
      </c>
      <c r="AB86" s="72"/>
      <c r="AC86" s="73"/>
      <c r="AD86" s="80" t="s">
        <v>749</v>
      </c>
      <c r="AE86" s="80"/>
      <c r="AF86" s="80"/>
      <c r="AG86" s="80"/>
      <c r="AH86" s="80"/>
      <c r="AI86" s="80"/>
      <c r="AJ86" s="87">
        <v>41243.69777777778</v>
      </c>
      <c r="AK86" s="85" t="str">
        <f>HYPERLINK("https://yt3.ggpht.com/ytc/AAUvwngv8IL3aDq17xdLZ0GzS157g9FWelGRiQUibA=s88-c-k-c0x00ffffff-no-rj")</f>
        <v>https://yt3.ggpht.com/ytc/AAUvwngv8IL3aDq17xdLZ0GzS157g9FWelGRiQUibA=s88-c-k-c0x00ffffff-no-rj</v>
      </c>
      <c r="AL86" s="80">
        <v>0</v>
      </c>
      <c r="AM86" s="80">
        <v>0</v>
      </c>
      <c r="AN86" s="80">
        <v>2</v>
      </c>
      <c r="AO86" s="80" t="b">
        <v>0</v>
      </c>
      <c r="AP86" s="80">
        <v>0</v>
      </c>
      <c r="AQ86" s="80"/>
      <c r="AR86" s="80"/>
      <c r="AS86" s="80" t="s">
        <v>871</v>
      </c>
      <c r="AT86" s="85" t="str">
        <f>HYPERLINK("https://www.youtube.com/channel/UCCyPxP7qhliiDEVs8Cy4MQw")</f>
        <v>https://www.youtube.com/channel/UCCyPxP7qhliiDEVs8Cy4MQw</v>
      </c>
      <c r="AU86" s="80" t="str">
        <f>REPLACE(INDEX(GroupVertices[Group],MATCH(Vertices[[#This Row],[Vertex]],GroupVertices[Vertex],0)),1,1,"")</f>
        <v>1</v>
      </c>
      <c r="AV86" s="49">
        <v>0</v>
      </c>
      <c r="AW86" s="50">
        <v>0</v>
      </c>
      <c r="AX86" s="49">
        <v>1</v>
      </c>
      <c r="AY86" s="50">
        <v>50</v>
      </c>
      <c r="AZ86" s="49">
        <v>0</v>
      </c>
      <c r="BA86" s="50">
        <v>0</v>
      </c>
      <c r="BB86" s="49">
        <v>1</v>
      </c>
      <c r="BC86" s="50">
        <v>50</v>
      </c>
      <c r="BD86" s="49">
        <v>2</v>
      </c>
      <c r="BE86" s="49"/>
      <c r="BF86" s="49"/>
      <c r="BG86" s="49"/>
      <c r="BH86" s="49"/>
      <c r="BI86" s="49"/>
      <c r="BJ86" s="49"/>
      <c r="BK86" s="111" t="s">
        <v>1091</v>
      </c>
      <c r="BL86" s="111" t="s">
        <v>1091</v>
      </c>
      <c r="BM86" s="111" t="s">
        <v>843</v>
      </c>
      <c r="BN86" s="111" t="s">
        <v>843</v>
      </c>
      <c r="BO86" s="2"/>
      <c r="BP86" s="3"/>
      <c r="BQ86" s="3"/>
      <c r="BR86" s="3"/>
      <c r="BS86" s="3"/>
    </row>
    <row r="87" spans="1:71" ht="15">
      <c r="A87" s="65" t="s">
        <v>410</v>
      </c>
      <c r="B87" s="66"/>
      <c r="C87" s="66"/>
      <c r="D87" s="67">
        <v>150</v>
      </c>
      <c r="E87" s="69"/>
      <c r="F87" s="103" t="str">
        <f>HYPERLINK("https://yt3.ggpht.com/ytc/AAUvwnhk5wOrYsu2-mIgD7D_ZLdzHpDiX2zvhS7swg=s88-c-k-c0x00ffffff-no-rj")</f>
        <v>https://yt3.ggpht.com/ytc/AAUvwnhk5wOrYsu2-mIgD7D_ZLdzHpDiX2zvhS7swg=s88-c-k-c0x00ffffff-no-rj</v>
      </c>
      <c r="G87" s="66"/>
      <c r="H87" s="70" t="s">
        <v>750</v>
      </c>
      <c r="I87" s="71"/>
      <c r="J87" s="71" t="s">
        <v>159</v>
      </c>
      <c r="K87" s="70" t="s">
        <v>750</v>
      </c>
      <c r="L87" s="74">
        <v>1</v>
      </c>
      <c r="M87" s="75">
        <v>6384.4365234375</v>
      </c>
      <c r="N87" s="75">
        <v>6631.83544921875</v>
      </c>
      <c r="O87" s="76"/>
      <c r="P87" s="77"/>
      <c r="Q87" s="77"/>
      <c r="R87" s="89"/>
      <c r="S87" s="49">
        <v>0</v>
      </c>
      <c r="T87" s="49">
        <v>1</v>
      </c>
      <c r="U87" s="50">
        <v>0</v>
      </c>
      <c r="V87" s="50">
        <v>0.003021</v>
      </c>
      <c r="W87" s="50">
        <v>0.007133</v>
      </c>
      <c r="X87" s="50">
        <v>0.515381</v>
      </c>
      <c r="Y87" s="50">
        <v>0</v>
      </c>
      <c r="Z87" s="50">
        <v>0</v>
      </c>
      <c r="AA87" s="72">
        <v>87</v>
      </c>
      <c r="AB87" s="72"/>
      <c r="AC87" s="73"/>
      <c r="AD87" s="80" t="s">
        <v>750</v>
      </c>
      <c r="AE87" s="80"/>
      <c r="AF87" s="80"/>
      <c r="AG87" s="80"/>
      <c r="AH87" s="80"/>
      <c r="AI87" s="80"/>
      <c r="AJ87" s="87">
        <v>43952.67228009259</v>
      </c>
      <c r="AK87" s="85" t="str">
        <f>HYPERLINK("https://yt3.ggpht.com/ytc/AAUvwnhk5wOrYsu2-mIgD7D_ZLdzHpDiX2zvhS7swg=s88-c-k-c0x00ffffff-no-rj")</f>
        <v>https://yt3.ggpht.com/ytc/AAUvwnhk5wOrYsu2-mIgD7D_ZLdzHpDiX2zvhS7swg=s88-c-k-c0x00ffffff-no-rj</v>
      </c>
      <c r="AL87" s="80">
        <v>0</v>
      </c>
      <c r="AM87" s="80">
        <v>0</v>
      </c>
      <c r="AN87" s="80">
        <v>2</v>
      </c>
      <c r="AO87" s="80" t="b">
        <v>0</v>
      </c>
      <c r="AP87" s="80">
        <v>0</v>
      </c>
      <c r="AQ87" s="80"/>
      <c r="AR87" s="80"/>
      <c r="AS87" s="80" t="s">
        <v>871</v>
      </c>
      <c r="AT87" s="85" t="str">
        <f>HYPERLINK("https://www.youtube.com/channel/UCCgwcH-i5om6druk2mUlZXA")</f>
        <v>https://www.youtube.com/channel/UCCgwcH-i5om6druk2mUlZXA</v>
      </c>
      <c r="AU87" s="80" t="str">
        <f>REPLACE(INDEX(GroupVertices[Group],MATCH(Vertices[[#This Row],[Vertex]],GroupVertices[Vertex],0)),1,1,"")</f>
        <v>1</v>
      </c>
      <c r="AV87" s="49">
        <v>1</v>
      </c>
      <c r="AW87" s="50">
        <v>4.545454545454546</v>
      </c>
      <c r="AX87" s="49">
        <v>2</v>
      </c>
      <c r="AY87" s="50">
        <v>9.090909090909092</v>
      </c>
      <c r="AZ87" s="49">
        <v>0</v>
      </c>
      <c r="BA87" s="50">
        <v>0</v>
      </c>
      <c r="BB87" s="49">
        <v>20</v>
      </c>
      <c r="BC87" s="50">
        <v>90.9090909090909</v>
      </c>
      <c r="BD87" s="49">
        <v>22</v>
      </c>
      <c r="BE87" s="49"/>
      <c r="BF87" s="49"/>
      <c r="BG87" s="49"/>
      <c r="BH87" s="49"/>
      <c r="BI87" s="49"/>
      <c r="BJ87" s="49"/>
      <c r="BK87" s="111" t="s">
        <v>1348</v>
      </c>
      <c r="BL87" s="111" t="s">
        <v>1348</v>
      </c>
      <c r="BM87" s="111" t="s">
        <v>1418</v>
      </c>
      <c r="BN87" s="111" t="s">
        <v>1418</v>
      </c>
      <c r="BO87" s="2"/>
      <c r="BP87" s="3"/>
      <c r="BQ87" s="3"/>
      <c r="BR87" s="3"/>
      <c r="BS87" s="3"/>
    </row>
    <row r="88" spans="1:71" ht="15">
      <c r="A88" s="65" t="s">
        <v>411</v>
      </c>
      <c r="B88" s="66"/>
      <c r="C88" s="66"/>
      <c r="D88" s="67">
        <v>150</v>
      </c>
      <c r="E88" s="69"/>
      <c r="F88" s="103" t="str">
        <f>HYPERLINK("https://yt3.ggpht.com/ytc/AAUvwngvJ7fjIxg1j_zAuSnrzjYlSBrUbRBttrSSHVPsSQ=s88-c-k-c0x00ffffff-no-rj")</f>
        <v>https://yt3.ggpht.com/ytc/AAUvwngvJ7fjIxg1j_zAuSnrzjYlSBrUbRBttrSSHVPsSQ=s88-c-k-c0x00ffffff-no-rj</v>
      </c>
      <c r="G88" s="66"/>
      <c r="H88" s="70" t="s">
        <v>751</v>
      </c>
      <c r="I88" s="71"/>
      <c r="J88" s="71" t="s">
        <v>159</v>
      </c>
      <c r="K88" s="70" t="s">
        <v>751</v>
      </c>
      <c r="L88" s="74">
        <v>1</v>
      </c>
      <c r="M88" s="75">
        <v>1637.6343994140625</v>
      </c>
      <c r="N88" s="75">
        <v>9122.1962890625</v>
      </c>
      <c r="O88" s="76"/>
      <c r="P88" s="77"/>
      <c r="Q88" s="77"/>
      <c r="R88" s="89"/>
      <c r="S88" s="49">
        <v>0</v>
      </c>
      <c r="T88" s="49">
        <v>1</v>
      </c>
      <c r="U88" s="50">
        <v>0</v>
      </c>
      <c r="V88" s="50">
        <v>0.003021</v>
      </c>
      <c r="W88" s="50">
        <v>0.007133</v>
      </c>
      <c r="X88" s="50">
        <v>0.515381</v>
      </c>
      <c r="Y88" s="50">
        <v>0</v>
      </c>
      <c r="Z88" s="50">
        <v>0</v>
      </c>
      <c r="AA88" s="72">
        <v>88</v>
      </c>
      <c r="AB88" s="72"/>
      <c r="AC88" s="73"/>
      <c r="AD88" s="80" t="s">
        <v>751</v>
      </c>
      <c r="AE88" s="80"/>
      <c r="AF88" s="80"/>
      <c r="AG88" s="80"/>
      <c r="AH88" s="80"/>
      <c r="AI88" s="80"/>
      <c r="AJ88" s="87">
        <v>44195.155810185184</v>
      </c>
      <c r="AK88" s="85" t="str">
        <f>HYPERLINK("https://yt3.ggpht.com/ytc/AAUvwngvJ7fjIxg1j_zAuSnrzjYlSBrUbRBttrSSHVPsSQ=s88-c-k-c0x00ffffff-no-rj")</f>
        <v>https://yt3.ggpht.com/ytc/AAUvwngvJ7fjIxg1j_zAuSnrzjYlSBrUbRBttrSSHVPsSQ=s88-c-k-c0x00ffffff-no-rj</v>
      </c>
      <c r="AL88" s="80">
        <v>0</v>
      </c>
      <c r="AM88" s="80">
        <v>0</v>
      </c>
      <c r="AN88" s="80">
        <v>0</v>
      </c>
      <c r="AO88" s="80" t="b">
        <v>0</v>
      </c>
      <c r="AP88" s="80">
        <v>0</v>
      </c>
      <c r="AQ88" s="80"/>
      <c r="AR88" s="80"/>
      <c r="AS88" s="80" t="s">
        <v>871</v>
      </c>
      <c r="AT88" s="85" t="str">
        <f>HYPERLINK("https://www.youtube.com/channel/UC9A9nN9mb4IHOrfZDhqpFOw")</f>
        <v>https://www.youtube.com/channel/UC9A9nN9mb4IHOrfZDhqpFOw</v>
      </c>
      <c r="AU88" s="80" t="str">
        <f>REPLACE(INDEX(GroupVertices[Group],MATCH(Vertices[[#This Row],[Vertex]],GroupVertices[Vertex],0)),1,1,"")</f>
        <v>1</v>
      </c>
      <c r="AV88" s="49">
        <v>0</v>
      </c>
      <c r="AW88" s="50">
        <v>0</v>
      </c>
      <c r="AX88" s="49">
        <v>0</v>
      </c>
      <c r="AY88" s="50">
        <v>0</v>
      </c>
      <c r="AZ88" s="49">
        <v>0</v>
      </c>
      <c r="BA88" s="50">
        <v>0</v>
      </c>
      <c r="BB88" s="49">
        <v>11</v>
      </c>
      <c r="BC88" s="50">
        <v>100</v>
      </c>
      <c r="BD88" s="49">
        <v>11</v>
      </c>
      <c r="BE88" s="49"/>
      <c r="BF88" s="49"/>
      <c r="BG88" s="49"/>
      <c r="BH88" s="49"/>
      <c r="BI88" s="49"/>
      <c r="BJ88" s="49"/>
      <c r="BK88" s="111" t="s">
        <v>1511</v>
      </c>
      <c r="BL88" s="111" t="s">
        <v>1511</v>
      </c>
      <c r="BM88" s="111" t="s">
        <v>1578</v>
      </c>
      <c r="BN88" s="111" t="s">
        <v>1578</v>
      </c>
      <c r="BO88" s="2"/>
      <c r="BP88" s="3"/>
      <c r="BQ88" s="3"/>
      <c r="BR88" s="3"/>
      <c r="BS88" s="3"/>
    </row>
    <row r="89" spans="1:71" ht="15">
      <c r="A89" s="65" t="s">
        <v>412</v>
      </c>
      <c r="B89" s="66"/>
      <c r="C89" s="66"/>
      <c r="D89" s="67">
        <v>150</v>
      </c>
      <c r="E89" s="69"/>
      <c r="F89" s="103" t="str">
        <f>HYPERLINK("https://yt3.ggpht.com/ytc/AAUvwnirrOUUuFcblD4MH96560tUYA90_H0a0_m6UA=s88-c-k-c0x00ffffff-no-rj")</f>
        <v>https://yt3.ggpht.com/ytc/AAUvwnirrOUUuFcblD4MH96560tUYA90_H0a0_m6UA=s88-c-k-c0x00ffffff-no-rj</v>
      </c>
      <c r="G89" s="66"/>
      <c r="H89" s="70" t="s">
        <v>752</v>
      </c>
      <c r="I89" s="71"/>
      <c r="J89" s="71" t="s">
        <v>159</v>
      </c>
      <c r="K89" s="70" t="s">
        <v>752</v>
      </c>
      <c r="L89" s="74">
        <v>1</v>
      </c>
      <c r="M89" s="75">
        <v>2104.998046875</v>
      </c>
      <c r="N89" s="75">
        <v>2114.83935546875</v>
      </c>
      <c r="O89" s="76"/>
      <c r="P89" s="77"/>
      <c r="Q89" s="77"/>
      <c r="R89" s="89"/>
      <c r="S89" s="49">
        <v>0</v>
      </c>
      <c r="T89" s="49">
        <v>1</v>
      </c>
      <c r="U89" s="50">
        <v>0</v>
      </c>
      <c r="V89" s="50">
        <v>0.003021</v>
      </c>
      <c r="W89" s="50">
        <v>0.007133</v>
      </c>
      <c r="X89" s="50">
        <v>0.515381</v>
      </c>
      <c r="Y89" s="50">
        <v>0</v>
      </c>
      <c r="Z89" s="50">
        <v>0</v>
      </c>
      <c r="AA89" s="72">
        <v>89</v>
      </c>
      <c r="AB89" s="72"/>
      <c r="AC89" s="73"/>
      <c r="AD89" s="80" t="s">
        <v>752</v>
      </c>
      <c r="AE89" s="80"/>
      <c r="AF89" s="80"/>
      <c r="AG89" s="80"/>
      <c r="AH89" s="80"/>
      <c r="AI89" s="80"/>
      <c r="AJ89" s="87">
        <v>44003.97215277778</v>
      </c>
      <c r="AK89" s="85" t="str">
        <f>HYPERLINK("https://yt3.ggpht.com/ytc/AAUvwnirrOUUuFcblD4MH96560tUYA90_H0a0_m6UA=s88-c-k-c0x00ffffff-no-rj")</f>
        <v>https://yt3.ggpht.com/ytc/AAUvwnirrOUUuFcblD4MH96560tUYA90_H0a0_m6UA=s88-c-k-c0x00ffffff-no-rj</v>
      </c>
      <c r="AL89" s="80">
        <v>0</v>
      </c>
      <c r="AM89" s="80">
        <v>0</v>
      </c>
      <c r="AN89" s="80">
        <v>0</v>
      </c>
      <c r="AO89" s="80" t="b">
        <v>0</v>
      </c>
      <c r="AP89" s="80">
        <v>0</v>
      </c>
      <c r="AQ89" s="80"/>
      <c r="AR89" s="80"/>
      <c r="AS89" s="80" t="s">
        <v>871</v>
      </c>
      <c r="AT89" s="85" t="str">
        <f>HYPERLINK("https://www.youtube.com/channel/UCiDI0xQwfpKlvJvDRvO9vLw")</f>
        <v>https://www.youtube.com/channel/UCiDI0xQwfpKlvJvDRvO9vLw</v>
      </c>
      <c r="AU89" s="80" t="str">
        <f>REPLACE(INDEX(GroupVertices[Group],MATCH(Vertices[[#This Row],[Vertex]],GroupVertices[Vertex],0)),1,1,"")</f>
        <v>1</v>
      </c>
      <c r="AV89" s="49">
        <v>2</v>
      </c>
      <c r="AW89" s="50">
        <v>9.523809523809524</v>
      </c>
      <c r="AX89" s="49">
        <v>5</v>
      </c>
      <c r="AY89" s="50">
        <v>23.80952380952381</v>
      </c>
      <c r="AZ89" s="49">
        <v>0</v>
      </c>
      <c r="BA89" s="50">
        <v>0</v>
      </c>
      <c r="BB89" s="49">
        <v>16</v>
      </c>
      <c r="BC89" s="50">
        <v>76.19047619047619</v>
      </c>
      <c r="BD89" s="49">
        <v>21</v>
      </c>
      <c r="BE89" s="49"/>
      <c r="BF89" s="49"/>
      <c r="BG89" s="49"/>
      <c r="BH89" s="49"/>
      <c r="BI89" s="49"/>
      <c r="BJ89" s="49"/>
      <c r="BK89" s="111" t="s">
        <v>1512</v>
      </c>
      <c r="BL89" s="111" t="s">
        <v>1512</v>
      </c>
      <c r="BM89" s="111" t="s">
        <v>1579</v>
      </c>
      <c r="BN89" s="111" t="s">
        <v>1579</v>
      </c>
      <c r="BO89" s="2"/>
      <c r="BP89" s="3"/>
      <c r="BQ89" s="3"/>
      <c r="BR89" s="3"/>
      <c r="BS89" s="3"/>
    </row>
    <row r="90" spans="1:71" ht="15">
      <c r="A90" s="65" t="s">
        <v>413</v>
      </c>
      <c r="B90" s="66"/>
      <c r="C90" s="66"/>
      <c r="D90" s="67">
        <v>150</v>
      </c>
      <c r="E90" s="69"/>
      <c r="F90" s="103" t="str">
        <f>HYPERLINK("https://yt3.ggpht.com/ytc/AAUvwngI-XBNvUfv5YYCRHsLBAPv0Qluwj_mNG10Rg=s88-c-k-c0x00ffffff-no-rj")</f>
        <v>https://yt3.ggpht.com/ytc/AAUvwngI-XBNvUfv5YYCRHsLBAPv0Qluwj_mNG10Rg=s88-c-k-c0x00ffffff-no-rj</v>
      </c>
      <c r="G90" s="66"/>
      <c r="H90" s="70" t="s">
        <v>753</v>
      </c>
      <c r="I90" s="71"/>
      <c r="J90" s="71" t="s">
        <v>159</v>
      </c>
      <c r="K90" s="70" t="s">
        <v>753</v>
      </c>
      <c r="L90" s="74">
        <v>1</v>
      </c>
      <c r="M90" s="75">
        <v>368.6779479980469</v>
      </c>
      <c r="N90" s="75">
        <v>3228.628662109375</v>
      </c>
      <c r="O90" s="76"/>
      <c r="P90" s="77"/>
      <c r="Q90" s="77"/>
      <c r="R90" s="89"/>
      <c r="S90" s="49">
        <v>0</v>
      </c>
      <c r="T90" s="49">
        <v>1</v>
      </c>
      <c r="U90" s="50">
        <v>0</v>
      </c>
      <c r="V90" s="50">
        <v>0.003021</v>
      </c>
      <c r="W90" s="50">
        <v>0.007133</v>
      </c>
      <c r="X90" s="50">
        <v>0.515381</v>
      </c>
      <c r="Y90" s="50">
        <v>0</v>
      </c>
      <c r="Z90" s="50">
        <v>0</v>
      </c>
      <c r="AA90" s="72">
        <v>90</v>
      </c>
      <c r="AB90" s="72"/>
      <c r="AC90" s="73"/>
      <c r="AD90" s="80" t="s">
        <v>753</v>
      </c>
      <c r="AE90" s="80"/>
      <c r="AF90" s="80"/>
      <c r="AG90" s="80"/>
      <c r="AH90" s="80"/>
      <c r="AI90" s="80"/>
      <c r="AJ90" s="87">
        <v>44018.858715277776</v>
      </c>
      <c r="AK90" s="85" t="str">
        <f>HYPERLINK("https://yt3.ggpht.com/ytc/AAUvwngI-XBNvUfv5YYCRHsLBAPv0Qluwj_mNG10Rg=s88-c-k-c0x00ffffff-no-rj")</f>
        <v>https://yt3.ggpht.com/ytc/AAUvwngI-XBNvUfv5YYCRHsLBAPv0Qluwj_mNG10Rg=s88-c-k-c0x00ffffff-no-rj</v>
      </c>
      <c r="AL90" s="80">
        <v>0</v>
      </c>
      <c r="AM90" s="80">
        <v>0</v>
      </c>
      <c r="AN90" s="80">
        <v>0</v>
      </c>
      <c r="AO90" s="80" t="b">
        <v>0</v>
      </c>
      <c r="AP90" s="80">
        <v>0</v>
      </c>
      <c r="AQ90" s="80"/>
      <c r="AR90" s="80"/>
      <c r="AS90" s="80" t="s">
        <v>871</v>
      </c>
      <c r="AT90" s="85" t="str">
        <f>HYPERLINK("https://www.youtube.com/channel/UCunkBt8tst80YQ9FYwwxCww")</f>
        <v>https://www.youtube.com/channel/UCunkBt8tst80YQ9FYwwxCww</v>
      </c>
      <c r="AU90" s="80" t="str">
        <f>REPLACE(INDEX(GroupVertices[Group],MATCH(Vertices[[#This Row],[Vertex]],GroupVertices[Vertex],0)),1,1,"")</f>
        <v>1</v>
      </c>
      <c r="AV90" s="49">
        <v>5</v>
      </c>
      <c r="AW90" s="50">
        <v>11.363636363636363</v>
      </c>
      <c r="AX90" s="49">
        <v>3</v>
      </c>
      <c r="AY90" s="50">
        <v>6.818181818181818</v>
      </c>
      <c r="AZ90" s="49">
        <v>0</v>
      </c>
      <c r="BA90" s="50">
        <v>0</v>
      </c>
      <c r="BB90" s="49">
        <v>38</v>
      </c>
      <c r="BC90" s="50">
        <v>86.36363636363636</v>
      </c>
      <c r="BD90" s="49">
        <v>44</v>
      </c>
      <c r="BE90" s="49"/>
      <c r="BF90" s="49"/>
      <c r="BG90" s="49"/>
      <c r="BH90" s="49"/>
      <c r="BI90" s="49"/>
      <c r="BJ90" s="49"/>
      <c r="BK90" s="111" t="s">
        <v>1513</v>
      </c>
      <c r="BL90" s="111" t="s">
        <v>1513</v>
      </c>
      <c r="BM90" s="111" t="s">
        <v>1580</v>
      </c>
      <c r="BN90" s="111" t="s">
        <v>1580</v>
      </c>
      <c r="BO90" s="2"/>
      <c r="BP90" s="3"/>
      <c r="BQ90" s="3"/>
      <c r="BR90" s="3"/>
      <c r="BS90" s="3"/>
    </row>
    <row r="91" spans="1:71" ht="15">
      <c r="A91" s="65" t="s">
        <v>414</v>
      </c>
      <c r="B91" s="66"/>
      <c r="C91" s="66"/>
      <c r="D91" s="67">
        <v>150</v>
      </c>
      <c r="E91" s="69"/>
      <c r="F91" s="103" t="str">
        <f>HYPERLINK("https://yt3.ggpht.com/ytc/AAUvwnisqwJ3yMCHPl65l787ROY0k3RYUXDNSx7cyw=s88-c-k-c0x00ffffff-no-rj")</f>
        <v>https://yt3.ggpht.com/ytc/AAUvwnisqwJ3yMCHPl65l787ROY0k3RYUXDNSx7cyw=s88-c-k-c0x00ffffff-no-rj</v>
      </c>
      <c r="G91" s="66"/>
      <c r="H91" s="70" t="s">
        <v>754</v>
      </c>
      <c r="I91" s="71"/>
      <c r="J91" s="71" t="s">
        <v>159</v>
      </c>
      <c r="K91" s="70" t="s">
        <v>754</v>
      </c>
      <c r="L91" s="74">
        <v>1</v>
      </c>
      <c r="M91" s="75">
        <v>3868.43115234375</v>
      </c>
      <c r="N91" s="75">
        <v>205.7860870361328</v>
      </c>
      <c r="O91" s="76"/>
      <c r="P91" s="77"/>
      <c r="Q91" s="77"/>
      <c r="R91" s="89"/>
      <c r="S91" s="49">
        <v>0</v>
      </c>
      <c r="T91" s="49">
        <v>1</v>
      </c>
      <c r="U91" s="50">
        <v>0</v>
      </c>
      <c r="V91" s="50">
        <v>0.003021</v>
      </c>
      <c r="W91" s="50">
        <v>0.007133</v>
      </c>
      <c r="X91" s="50">
        <v>0.515381</v>
      </c>
      <c r="Y91" s="50">
        <v>0</v>
      </c>
      <c r="Z91" s="50">
        <v>0</v>
      </c>
      <c r="AA91" s="72">
        <v>91</v>
      </c>
      <c r="AB91" s="72"/>
      <c r="AC91" s="73"/>
      <c r="AD91" s="80" t="s">
        <v>754</v>
      </c>
      <c r="AE91" s="80"/>
      <c r="AF91" s="80"/>
      <c r="AG91" s="80"/>
      <c r="AH91" s="80"/>
      <c r="AI91" s="80"/>
      <c r="AJ91" s="87">
        <v>43433.14141203704</v>
      </c>
      <c r="AK91" s="85" t="str">
        <f>HYPERLINK("https://yt3.ggpht.com/ytc/AAUvwnisqwJ3yMCHPl65l787ROY0k3RYUXDNSx7cyw=s88-c-k-c0x00ffffff-no-rj")</f>
        <v>https://yt3.ggpht.com/ytc/AAUvwnisqwJ3yMCHPl65l787ROY0k3RYUXDNSx7cyw=s88-c-k-c0x00ffffff-no-rj</v>
      </c>
      <c r="AL91" s="80">
        <v>0</v>
      </c>
      <c r="AM91" s="80">
        <v>0</v>
      </c>
      <c r="AN91" s="80">
        <v>0</v>
      </c>
      <c r="AO91" s="80" t="b">
        <v>0</v>
      </c>
      <c r="AP91" s="80">
        <v>0</v>
      </c>
      <c r="AQ91" s="80"/>
      <c r="AR91" s="80"/>
      <c r="AS91" s="80" t="s">
        <v>871</v>
      </c>
      <c r="AT91" s="85" t="str">
        <f>HYPERLINK("https://www.youtube.com/channel/UC-v_DfMPBmDqGJ0SJ1vhi7A")</f>
        <v>https://www.youtube.com/channel/UC-v_DfMPBmDqGJ0SJ1vhi7A</v>
      </c>
      <c r="AU91" s="80" t="str">
        <f>REPLACE(INDEX(GroupVertices[Group],MATCH(Vertices[[#This Row],[Vertex]],GroupVertices[Vertex],0)),1,1,"")</f>
        <v>1</v>
      </c>
      <c r="AV91" s="49">
        <v>2</v>
      </c>
      <c r="AW91" s="50">
        <v>28.571428571428573</v>
      </c>
      <c r="AX91" s="49">
        <v>1</v>
      </c>
      <c r="AY91" s="50">
        <v>14.285714285714286</v>
      </c>
      <c r="AZ91" s="49">
        <v>0</v>
      </c>
      <c r="BA91" s="50">
        <v>0</v>
      </c>
      <c r="BB91" s="49">
        <v>4</v>
      </c>
      <c r="BC91" s="50">
        <v>57.142857142857146</v>
      </c>
      <c r="BD91" s="49">
        <v>7</v>
      </c>
      <c r="BE91" s="49"/>
      <c r="BF91" s="49"/>
      <c r="BG91" s="49"/>
      <c r="BH91" s="49"/>
      <c r="BI91" s="49"/>
      <c r="BJ91" s="49"/>
      <c r="BK91" s="111" t="s">
        <v>1349</v>
      </c>
      <c r="BL91" s="111" t="s">
        <v>1349</v>
      </c>
      <c r="BM91" s="111" t="s">
        <v>1419</v>
      </c>
      <c r="BN91" s="111" t="s">
        <v>1419</v>
      </c>
      <c r="BO91" s="2"/>
      <c r="BP91" s="3"/>
      <c r="BQ91" s="3"/>
      <c r="BR91" s="3"/>
      <c r="BS91" s="3"/>
    </row>
    <row r="92" spans="1:71" ht="15">
      <c r="A92" s="65" t="s">
        <v>415</v>
      </c>
      <c r="B92" s="66"/>
      <c r="C92" s="66"/>
      <c r="D92" s="67">
        <v>150</v>
      </c>
      <c r="E92" s="69"/>
      <c r="F92" s="103" t="str">
        <f>HYPERLINK("https://yt3.ggpht.com/ytc/AAUvwnjWo3qvHT7nM_Py7WR0yu8vdp3JgIm2lEPL-m0pJA=s88-c-k-c0x00ffffff-no-rj")</f>
        <v>https://yt3.ggpht.com/ytc/AAUvwnjWo3qvHT7nM_Py7WR0yu8vdp3JgIm2lEPL-m0pJA=s88-c-k-c0x00ffffff-no-rj</v>
      </c>
      <c r="G92" s="66"/>
      <c r="H92" s="70" t="s">
        <v>755</v>
      </c>
      <c r="I92" s="71"/>
      <c r="J92" s="71" t="s">
        <v>159</v>
      </c>
      <c r="K92" s="70" t="s">
        <v>755</v>
      </c>
      <c r="L92" s="74">
        <v>1</v>
      </c>
      <c r="M92" s="75">
        <v>617.8045654296875</v>
      </c>
      <c r="N92" s="75">
        <v>7468.4521484375</v>
      </c>
      <c r="O92" s="76"/>
      <c r="P92" s="77"/>
      <c r="Q92" s="77"/>
      <c r="R92" s="89"/>
      <c r="S92" s="49">
        <v>0</v>
      </c>
      <c r="T92" s="49">
        <v>1</v>
      </c>
      <c r="U92" s="50">
        <v>0</v>
      </c>
      <c r="V92" s="50">
        <v>0.003021</v>
      </c>
      <c r="W92" s="50">
        <v>0.007133</v>
      </c>
      <c r="X92" s="50">
        <v>0.515381</v>
      </c>
      <c r="Y92" s="50">
        <v>0</v>
      </c>
      <c r="Z92" s="50">
        <v>0</v>
      </c>
      <c r="AA92" s="72">
        <v>92</v>
      </c>
      <c r="AB92" s="72"/>
      <c r="AC92" s="73"/>
      <c r="AD92" s="80" t="s">
        <v>755</v>
      </c>
      <c r="AE92" s="80"/>
      <c r="AF92" s="80"/>
      <c r="AG92" s="80"/>
      <c r="AH92" s="80"/>
      <c r="AI92" s="80"/>
      <c r="AJ92" s="87">
        <v>42303.57400462963</v>
      </c>
      <c r="AK92" s="85" t="str">
        <f>HYPERLINK("https://yt3.ggpht.com/ytc/AAUvwnjWo3qvHT7nM_Py7WR0yu8vdp3JgIm2lEPL-m0pJA=s88-c-k-c0x00ffffff-no-rj")</f>
        <v>https://yt3.ggpht.com/ytc/AAUvwnjWo3qvHT7nM_Py7WR0yu8vdp3JgIm2lEPL-m0pJA=s88-c-k-c0x00ffffff-no-rj</v>
      </c>
      <c r="AL92" s="80">
        <v>76</v>
      </c>
      <c r="AM92" s="80">
        <v>0</v>
      </c>
      <c r="AN92" s="80">
        <v>16</v>
      </c>
      <c r="AO92" s="80" t="b">
        <v>0</v>
      </c>
      <c r="AP92" s="80">
        <v>3</v>
      </c>
      <c r="AQ92" s="80"/>
      <c r="AR92" s="80"/>
      <c r="AS92" s="80" t="s">
        <v>871</v>
      </c>
      <c r="AT92" s="85" t="str">
        <f>HYPERLINK("https://www.youtube.com/channel/UCYsg4VABOBN1XtYD2gNdOwg")</f>
        <v>https://www.youtube.com/channel/UCYsg4VABOBN1XtYD2gNdOwg</v>
      </c>
      <c r="AU92" s="80" t="str">
        <f>REPLACE(INDEX(GroupVertices[Group],MATCH(Vertices[[#This Row],[Vertex]],GroupVertices[Vertex],0)),1,1,"")</f>
        <v>1</v>
      </c>
      <c r="AV92" s="49">
        <v>1</v>
      </c>
      <c r="AW92" s="50">
        <v>5.555555555555555</v>
      </c>
      <c r="AX92" s="49">
        <v>1</v>
      </c>
      <c r="AY92" s="50">
        <v>5.555555555555555</v>
      </c>
      <c r="AZ92" s="49">
        <v>0</v>
      </c>
      <c r="BA92" s="50">
        <v>0</v>
      </c>
      <c r="BB92" s="49">
        <v>17</v>
      </c>
      <c r="BC92" s="50">
        <v>94.44444444444444</v>
      </c>
      <c r="BD92" s="49">
        <v>18</v>
      </c>
      <c r="BE92" s="49"/>
      <c r="BF92" s="49"/>
      <c r="BG92" s="49"/>
      <c r="BH92" s="49"/>
      <c r="BI92" s="49"/>
      <c r="BJ92" s="49"/>
      <c r="BK92" s="111" t="s">
        <v>1514</v>
      </c>
      <c r="BL92" s="111" t="s">
        <v>1514</v>
      </c>
      <c r="BM92" s="111" t="s">
        <v>1581</v>
      </c>
      <c r="BN92" s="111" t="s">
        <v>1581</v>
      </c>
      <c r="BO92" s="2"/>
      <c r="BP92" s="3"/>
      <c r="BQ92" s="3"/>
      <c r="BR92" s="3"/>
      <c r="BS92" s="3"/>
    </row>
    <row r="93" spans="1:71" ht="15">
      <c r="A93" s="65" t="s">
        <v>417</v>
      </c>
      <c r="B93" s="66"/>
      <c r="C93" s="66"/>
      <c r="D93" s="67">
        <v>787.5</v>
      </c>
      <c r="E93" s="69"/>
      <c r="F93" s="103" t="str">
        <f>HYPERLINK("https://yt3.ggpht.com/ytc/AAUvwnhvnxYVSW8FCKA0FbndHcRq2mA7-OqBd-O1fw=s88-c-k-c0x00ffffff-no-rj")</f>
        <v>https://yt3.ggpht.com/ytc/AAUvwnhvnxYVSW8FCKA0FbndHcRq2mA7-OqBd-O1fw=s88-c-k-c0x00ffffff-no-rj</v>
      </c>
      <c r="G93" s="66"/>
      <c r="H93" s="70" t="s">
        <v>757</v>
      </c>
      <c r="I93" s="71"/>
      <c r="J93" s="71" t="s">
        <v>159</v>
      </c>
      <c r="K93" s="70" t="s">
        <v>757</v>
      </c>
      <c r="L93" s="74">
        <v>240.952</v>
      </c>
      <c r="M93" s="75">
        <v>8743.8525390625</v>
      </c>
      <c r="N93" s="75">
        <v>6901.544921875</v>
      </c>
      <c r="O93" s="76"/>
      <c r="P93" s="77"/>
      <c r="Q93" s="77"/>
      <c r="R93" s="89"/>
      <c r="S93" s="49">
        <v>3</v>
      </c>
      <c r="T93" s="49">
        <v>2</v>
      </c>
      <c r="U93" s="50">
        <v>450</v>
      </c>
      <c r="V93" s="50">
        <v>0.003058</v>
      </c>
      <c r="W93" s="50">
        <v>0.007984</v>
      </c>
      <c r="X93" s="50">
        <v>1.681243</v>
      </c>
      <c r="Y93" s="50">
        <v>0</v>
      </c>
      <c r="Z93" s="50">
        <v>0</v>
      </c>
      <c r="AA93" s="72">
        <v>93</v>
      </c>
      <c r="AB93" s="72"/>
      <c r="AC93" s="73"/>
      <c r="AD93" s="80" t="s">
        <v>757</v>
      </c>
      <c r="AE93" s="80"/>
      <c r="AF93" s="80"/>
      <c r="AG93" s="80"/>
      <c r="AH93" s="80"/>
      <c r="AI93" s="80"/>
      <c r="AJ93" s="87">
        <v>43462.58273148148</v>
      </c>
      <c r="AK93" s="85" t="str">
        <f>HYPERLINK("https://yt3.ggpht.com/ytc/AAUvwnhvnxYVSW8FCKA0FbndHcRq2mA7-OqBd-O1fw=s88-c-k-c0x00ffffff-no-rj")</f>
        <v>https://yt3.ggpht.com/ytc/AAUvwnhvnxYVSW8FCKA0FbndHcRq2mA7-OqBd-O1fw=s88-c-k-c0x00ffffff-no-rj</v>
      </c>
      <c r="AL93" s="80">
        <v>0</v>
      </c>
      <c r="AM93" s="80">
        <v>0</v>
      </c>
      <c r="AN93" s="80">
        <v>1</v>
      </c>
      <c r="AO93" s="80" t="b">
        <v>0</v>
      </c>
      <c r="AP93" s="80">
        <v>0</v>
      </c>
      <c r="AQ93" s="80"/>
      <c r="AR93" s="80"/>
      <c r="AS93" s="80" t="s">
        <v>871</v>
      </c>
      <c r="AT93" s="85" t="str">
        <f>HYPERLINK("https://www.youtube.com/channel/UC9dH-l4WR9TOp4uZLMSmQ3A")</f>
        <v>https://www.youtube.com/channel/UC9dH-l4WR9TOp4uZLMSmQ3A</v>
      </c>
      <c r="AU93" s="80" t="str">
        <f>REPLACE(INDEX(GroupVertices[Group],MATCH(Vertices[[#This Row],[Vertex]],GroupVertices[Vertex],0)),1,1,"")</f>
        <v>4</v>
      </c>
      <c r="AV93" s="49">
        <v>13</v>
      </c>
      <c r="AW93" s="50">
        <v>4.83271375464684</v>
      </c>
      <c r="AX93" s="49">
        <v>17</v>
      </c>
      <c r="AY93" s="50">
        <v>6.319702602230484</v>
      </c>
      <c r="AZ93" s="49">
        <v>0</v>
      </c>
      <c r="BA93" s="50">
        <v>0</v>
      </c>
      <c r="BB93" s="49">
        <v>247</v>
      </c>
      <c r="BC93" s="50">
        <v>91.82156133828997</v>
      </c>
      <c r="BD93" s="49">
        <v>269</v>
      </c>
      <c r="BE93" s="49"/>
      <c r="BF93" s="49"/>
      <c r="BG93" s="49"/>
      <c r="BH93" s="49"/>
      <c r="BI93" s="49"/>
      <c r="BJ93" s="49"/>
      <c r="BK93" s="111" t="s">
        <v>1350</v>
      </c>
      <c r="BL93" s="111" t="s">
        <v>1377</v>
      </c>
      <c r="BM93" s="111" t="s">
        <v>1420</v>
      </c>
      <c r="BN93" s="111" t="s">
        <v>1446</v>
      </c>
      <c r="BO93" s="2"/>
      <c r="BP93" s="3"/>
      <c r="BQ93" s="3"/>
      <c r="BR93" s="3"/>
      <c r="BS93" s="3"/>
    </row>
    <row r="94" spans="1:71" ht="15">
      <c r="A94" s="65" t="s">
        <v>416</v>
      </c>
      <c r="B94" s="66"/>
      <c r="C94" s="66"/>
      <c r="D94" s="67">
        <v>150</v>
      </c>
      <c r="E94" s="69"/>
      <c r="F94" s="103" t="str">
        <f>HYPERLINK("https://yt3.ggpht.com/ytc/AAUvwnhx27urZbtXLcxKZ4PCc18oQyg7rFH9VDZWKbeoTg=s88-c-k-c0x00ffffff-no-rj")</f>
        <v>https://yt3.ggpht.com/ytc/AAUvwnhx27urZbtXLcxKZ4PCc18oQyg7rFH9VDZWKbeoTg=s88-c-k-c0x00ffffff-no-rj</v>
      </c>
      <c r="G94" s="66"/>
      <c r="H94" s="70" t="s">
        <v>756</v>
      </c>
      <c r="I94" s="71"/>
      <c r="J94" s="71" t="s">
        <v>159</v>
      </c>
      <c r="K94" s="70" t="s">
        <v>756</v>
      </c>
      <c r="L94" s="74">
        <v>1</v>
      </c>
      <c r="M94" s="75">
        <v>8353.7294921875</v>
      </c>
      <c r="N94" s="75">
        <v>7340.30615234375</v>
      </c>
      <c r="O94" s="76"/>
      <c r="P94" s="77"/>
      <c r="Q94" s="77"/>
      <c r="R94" s="89"/>
      <c r="S94" s="49">
        <v>0</v>
      </c>
      <c r="T94" s="49">
        <v>1</v>
      </c>
      <c r="U94" s="50">
        <v>0</v>
      </c>
      <c r="V94" s="50">
        <v>0.002092</v>
      </c>
      <c r="W94" s="50">
        <v>0.000681</v>
      </c>
      <c r="X94" s="50">
        <v>0.507264</v>
      </c>
      <c r="Y94" s="50">
        <v>0</v>
      </c>
      <c r="Z94" s="50">
        <v>0</v>
      </c>
      <c r="AA94" s="72">
        <v>94</v>
      </c>
      <c r="AB94" s="72"/>
      <c r="AC94" s="73"/>
      <c r="AD94" s="80" t="s">
        <v>756</v>
      </c>
      <c r="AE94" s="80"/>
      <c r="AF94" s="80"/>
      <c r="AG94" s="80"/>
      <c r="AH94" s="80"/>
      <c r="AI94" s="80"/>
      <c r="AJ94" s="87">
        <v>42012.05957175926</v>
      </c>
      <c r="AK94" s="85" t="str">
        <f>HYPERLINK("https://yt3.ggpht.com/ytc/AAUvwnhx27urZbtXLcxKZ4PCc18oQyg7rFH9VDZWKbeoTg=s88-c-k-c0x00ffffff-no-rj")</f>
        <v>https://yt3.ggpht.com/ytc/AAUvwnhx27urZbtXLcxKZ4PCc18oQyg7rFH9VDZWKbeoTg=s88-c-k-c0x00ffffff-no-rj</v>
      </c>
      <c r="AL94" s="80">
        <v>0</v>
      </c>
      <c r="AM94" s="80">
        <v>0</v>
      </c>
      <c r="AN94" s="80">
        <v>0</v>
      </c>
      <c r="AO94" s="80" t="b">
        <v>0</v>
      </c>
      <c r="AP94" s="80">
        <v>0</v>
      </c>
      <c r="AQ94" s="80"/>
      <c r="AR94" s="80"/>
      <c r="AS94" s="80" t="s">
        <v>871</v>
      </c>
      <c r="AT94" s="85" t="str">
        <f>HYPERLINK("https://www.youtube.com/channel/UC2HCeJs0vX3ulCsRo6tcDCA")</f>
        <v>https://www.youtube.com/channel/UC2HCeJs0vX3ulCsRo6tcDCA</v>
      </c>
      <c r="AU94" s="80" t="str">
        <f>REPLACE(INDEX(GroupVertices[Group],MATCH(Vertices[[#This Row],[Vertex]],GroupVertices[Vertex],0)),1,1,"")</f>
        <v>4</v>
      </c>
      <c r="AV94" s="49">
        <v>6</v>
      </c>
      <c r="AW94" s="50">
        <v>6.185567010309279</v>
      </c>
      <c r="AX94" s="49">
        <v>7</v>
      </c>
      <c r="AY94" s="50">
        <v>7.216494845360825</v>
      </c>
      <c r="AZ94" s="49">
        <v>0</v>
      </c>
      <c r="BA94" s="50">
        <v>0</v>
      </c>
      <c r="BB94" s="49">
        <v>89</v>
      </c>
      <c r="BC94" s="50">
        <v>91.75257731958763</v>
      </c>
      <c r="BD94" s="49">
        <v>97</v>
      </c>
      <c r="BE94" s="49"/>
      <c r="BF94" s="49"/>
      <c r="BG94" s="49"/>
      <c r="BH94" s="49"/>
      <c r="BI94" s="49"/>
      <c r="BJ94" s="49"/>
      <c r="BK94" s="111" t="s">
        <v>1515</v>
      </c>
      <c r="BL94" s="111" t="s">
        <v>1378</v>
      </c>
      <c r="BM94" s="111" t="s">
        <v>1421</v>
      </c>
      <c r="BN94" s="111" t="s">
        <v>1421</v>
      </c>
      <c r="BO94" s="2"/>
      <c r="BP94" s="3"/>
      <c r="BQ94" s="3"/>
      <c r="BR94" s="3"/>
      <c r="BS94" s="3"/>
    </row>
    <row r="95" spans="1:71" ht="15">
      <c r="A95" s="65" t="s">
        <v>418</v>
      </c>
      <c r="B95" s="66"/>
      <c r="C95" s="66"/>
      <c r="D95" s="67">
        <v>150</v>
      </c>
      <c r="E95" s="69"/>
      <c r="F95" s="103" t="str">
        <f>HYPERLINK("https://yt3.ggpht.com/ytc/AAUvwnjEehm0wxjEVFzCLa2KUy6ofSXbmQVfKkz5YZ8wfw=s88-c-k-c0x00ffffff-no-rj")</f>
        <v>https://yt3.ggpht.com/ytc/AAUvwnjEehm0wxjEVFzCLa2KUy6ofSXbmQVfKkz5YZ8wfw=s88-c-k-c0x00ffffff-no-rj</v>
      </c>
      <c r="G95" s="66"/>
      <c r="H95" s="70" t="s">
        <v>758</v>
      </c>
      <c r="I95" s="71"/>
      <c r="J95" s="71" t="s">
        <v>159</v>
      </c>
      <c r="K95" s="70" t="s">
        <v>758</v>
      </c>
      <c r="L95" s="74">
        <v>1</v>
      </c>
      <c r="M95" s="75">
        <v>3536.744140625</v>
      </c>
      <c r="N95" s="75">
        <v>7718.65771484375</v>
      </c>
      <c r="O95" s="76"/>
      <c r="P95" s="77"/>
      <c r="Q95" s="77"/>
      <c r="R95" s="89"/>
      <c r="S95" s="49">
        <v>0</v>
      </c>
      <c r="T95" s="49">
        <v>1</v>
      </c>
      <c r="U95" s="50">
        <v>0</v>
      </c>
      <c r="V95" s="50">
        <v>0.003021</v>
      </c>
      <c r="W95" s="50">
        <v>0.007133</v>
      </c>
      <c r="X95" s="50">
        <v>0.515381</v>
      </c>
      <c r="Y95" s="50">
        <v>0</v>
      </c>
      <c r="Z95" s="50">
        <v>0</v>
      </c>
      <c r="AA95" s="72">
        <v>95</v>
      </c>
      <c r="AB95" s="72"/>
      <c r="AC95" s="73"/>
      <c r="AD95" s="80" t="s">
        <v>758</v>
      </c>
      <c r="AE95" s="80"/>
      <c r="AF95" s="80"/>
      <c r="AG95" s="80"/>
      <c r="AH95" s="80"/>
      <c r="AI95" s="80"/>
      <c r="AJ95" s="87">
        <v>41343.718148148146</v>
      </c>
      <c r="AK95" s="85" t="str">
        <f>HYPERLINK("https://yt3.ggpht.com/ytc/AAUvwnjEehm0wxjEVFzCLa2KUy6ofSXbmQVfKkz5YZ8wfw=s88-c-k-c0x00ffffff-no-rj")</f>
        <v>https://yt3.ggpht.com/ytc/AAUvwnjEehm0wxjEVFzCLa2KUy6ofSXbmQVfKkz5YZ8wfw=s88-c-k-c0x00ffffff-no-rj</v>
      </c>
      <c r="AL95" s="80">
        <v>0</v>
      </c>
      <c r="AM95" s="80">
        <v>0</v>
      </c>
      <c r="AN95" s="80">
        <v>2</v>
      </c>
      <c r="AO95" s="80" t="b">
        <v>0</v>
      </c>
      <c r="AP95" s="80">
        <v>0</v>
      </c>
      <c r="AQ95" s="80"/>
      <c r="AR95" s="80"/>
      <c r="AS95" s="80" t="s">
        <v>871</v>
      </c>
      <c r="AT95" s="85" t="str">
        <f>HYPERLINK("https://www.youtube.com/channel/UCpQuPFNJJfqdUWIOXjqxcfw")</f>
        <v>https://www.youtube.com/channel/UCpQuPFNJJfqdUWIOXjqxcfw</v>
      </c>
      <c r="AU95" s="80" t="str">
        <f>REPLACE(INDEX(GroupVertices[Group],MATCH(Vertices[[#This Row],[Vertex]],GroupVertices[Vertex],0)),1,1,"")</f>
        <v>1</v>
      </c>
      <c r="AV95" s="49">
        <v>3</v>
      </c>
      <c r="AW95" s="50">
        <v>3.8461538461538463</v>
      </c>
      <c r="AX95" s="49">
        <v>2</v>
      </c>
      <c r="AY95" s="50">
        <v>2.5641025641025643</v>
      </c>
      <c r="AZ95" s="49">
        <v>0</v>
      </c>
      <c r="BA95" s="50">
        <v>0</v>
      </c>
      <c r="BB95" s="49">
        <v>74</v>
      </c>
      <c r="BC95" s="50">
        <v>94.87179487179488</v>
      </c>
      <c r="BD95" s="49">
        <v>78</v>
      </c>
      <c r="BE95" s="49"/>
      <c r="BF95" s="49"/>
      <c r="BG95" s="49"/>
      <c r="BH95" s="49"/>
      <c r="BI95" s="49"/>
      <c r="BJ95" s="49"/>
      <c r="BK95" s="111" t="s">
        <v>1516</v>
      </c>
      <c r="BL95" s="111" t="s">
        <v>1516</v>
      </c>
      <c r="BM95" s="111" t="s">
        <v>1582</v>
      </c>
      <c r="BN95" s="111" t="s">
        <v>1582</v>
      </c>
      <c r="BO95" s="2"/>
      <c r="BP95" s="3"/>
      <c r="BQ95" s="3"/>
      <c r="BR95" s="3"/>
      <c r="BS95" s="3"/>
    </row>
    <row r="96" spans="1:71" ht="15">
      <c r="A96" s="65" t="s">
        <v>419</v>
      </c>
      <c r="B96" s="66"/>
      <c r="C96" s="66"/>
      <c r="D96" s="67">
        <v>150</v>
      </c>
      <c r="E96" s="69"/>
      <c r="F96" s="103" t="str">
        <f>HYPERLINK("https://yt3.ggpht.com/a/default-user=s88")</f>
        <v>https://yt3.ggpht.com/a/default-user=s88</v>
      </c>
      <c r="G96" s="66"/>
      <c r="H96" s="70" t="s">
        <v>759</v>
      </c>
      <c r="I96" s="71"/>
      <c r="J96" s="71" t="s">
        <v>159</v>
      </c>
      <c r="K96" s="70" t="s">
        <v>759</v>
      </c>
      <c r="L96" s="74">
        <v>1</v>
      </c>
      <c r="M96" s="75">
        <v>3818.17919921875</v>
      </c>
      <c r="N96" s="75">
        <v>1027.83154296875</v>
      </c>
      <c r="O96" s="76"/>
      <c r="P96" s="77"/>
      <c r="Q96" s="77"/>
      <c r="R96" s="89"/>
      <c r="S96" s="49">
        <v>0</v>
      </c>
      <c r="T96" s="49">
        <v>1</v>
      </c>
      <c r="U96" s="50">
        <v>0</v>
      </c>
      <c r="V96" s="50">
        <v>0.003021</v>
      </c>
      <c r="W96" s="50">
        <v>0.007133</v>
      </c>
      <c r="X96" s="50">
        <v>0.515381</v>
      </c>
      <c r="Y96" s="50">
        <v>0</v>
      </c>
      <c r="Z96" s="50">
        <v>0</v>
      </c>
      <c r="AA96" s="72">
        <v>96</v>
      </c>
      <c r="AB96" s="72"/>
      <c r="AC96" s="73"/>
      <c r="AD96" s="80" t="s">
        <v>759</v>
      </c>
      <c r="AE96" s="80"/>
      <c r="AF96" s="80"/>
      <c r="AG96" s="80"/>
      <c r="AH96" s="80"/>
      <c r="AI96" s="80"/>
      <c r="AJ96" s="87">
        <v>44322.29342592593</v>
      </c>
      <c r="AK96" s="85" t="str">
        <f>HYPERLINK("https://yt3.ggpht.com/a/default-user=s88")</f>
        <v>https://yt3.ggpht.com/a/default-user=s88</v>
      </c>
      <c r="AL96" s="80">
        <v>0</v>
      </c>
      <c r="AM96" s="80">
        <v>0</v>
      </c>
      <c r="AN96" s="80">
        <v>0</v>
      </c>
      <c r="AO96" s="80" t="b">
        <v>0</v>
      </c>
      <c r="AP96" s="80">
        <v>0</v>
      </c>
      <c r="AQ96" s="80"/>
      <c r="AR96" s="80"/>
      <c r="AS96" s="80" t="s">
        <v>871</v>
      </c>
      <c r="AT96" s="85" t="str">
        <f>HYPERLINK("https://www.youtube.com/channel/UC5AkY5b5nnJO5vX_Tzw-omw")</f>
        <v>https://www.youtube.com/channel/UC5AkY5b5nnJO5vX_Tzw-omw</v>
      </c>
      <c r="AU96" s="80" t="str">
        <f>REPLACE(INDEX(GroupVertices[Group],MATCH(Vertices[[#This Row],[Vertex]],GroupVertices[Vertex],0)),1,1,"")</f>
        <v>1</v>
      </c>
      <c r="AV96" s="49">
        <v>4</v>
      </c>
      <c r="AW96" s="50">
        <v>9.30232558139535</v>
      </c>
      <c r="AX96" s="49">
        <v>3</v>
      </c>
      <c r="AY96" s="50">
        <v>6.976744186046512</v>
      </c>
      <c r="AZ96" s="49">
        <v>0</v>
      </c>
      <c r="BA96" s="50">
        <v>0</v>
      </c>
      <c r="BB96" s="49">
        <v>38</v>
      </c>
      <c r="BC96" s="50">
        <v>88.37209302325581</v>
      </c>
      <c r="BD96" s="49">
        <v>43</v>
      </c>
      <c r="BE96" s="49" t="s">
        <v>1214</v>
      </c>
      <c r="BF96" s="49" t="s">
        <v>1214</v>
      </c>
      <c r="BG96" s="49" t="s">
        <v>842</v>
      </c>
      <c r="BH96" s="49" t="s">
        <v>842</v>
      </c>
      <c r="BI96" s="49"/>
      <c r="BJ96" s="49"/>
      <c r="BK96" s="111" t="s">
        <v>1351</v>
      </c>
      <c r="BL96" s="111" t="s">
        <v>1351</v>
      </c>
      <c r="BM96" s="111" t="s">
        <v>1422</v>
      </c>
      <c r="BN96" s="111" t="s">
        <v>1422</v>
      </c>
      <c r="BO96" s="2"/>
      <c r="BP96" s="3"/>
      <c r="BQ96" s="3"/>
      <c r="BR96" s="3"/>
      <c r="BS96" s="3"/>
    </row>
    <row r="97" spans="1:71" ht="15">
      <c r="A97" s="65" t="s">
        <v>420</v>
      </c>
      <c r="B97" s="66"/>
      <c r="C97" s="66"/>
      <c r="D97" s="67">
        <v>150</v>
      </c>
      <c r="E97" s="69"/>
      <c r="F97" s="103" t="str">
        <f>HYPERLINK("https://yt3.ggpht.com/ytc/AAUvwng6SKz6-itVRfKLcwFZ8H8giN2PfvojltYWog=s88-c-k-c0x00ffffff-no-rj")</f>
        <v>https://yt3.ggpht.com/ytc/AAUvwng6SKz6-itVRfKLcwFZ8H8giN2PfvojltYWog=s88-c-k-c0x00ffffff-no-rj</v>
      </c>
      <c r="G97" s="66"/>
      <c r="H97" s="70" t="s">
        <v>760</v>
      </c>
      <c r="I97" s="71"/>
      <c r="J97" s="71" t="s">
        <v>159</v>
      </c>
      <c r="K97" s="70" t="s">
        <v>760</v>
      </c>
      <c r="L97" s="74">
        <v>1</v>
      </c>
      <c r="M97" s="75">
        <v>2990.676513671875</v>
      </c>
      <c r="N97" s="75">
        <v>204.4596710205078</v>
      </c>
      <c r="O97" s="76"/>
      <c r="P97" s="77"/>
      <c r="Q97" s="77"/>
      <c r="R97" s="89"/>
      <c r="S97" s="49">
        <v>0</v>
      </c>
      <c r="T97" s="49">
        <v>1</v>
      </c>
      <c r="U97" s="50">
        <v>0</v>
      </c>
      <c r="V97" s="50">
        <v>0.003021</v>
      </c>
      <c r="W97" s="50">
        <v>0.007133</v>
      </c>
      <c r="X97" s="50">
        <v>0.515381</v>
      </c>
      <c r="Y97" s="50">
        <v>0</v>
      </c>
      <c r="Z97" s="50">
        <v>0</v>
      </c>
      <c r="AA97" s="72">
        <v>97</v>
      </c>
      <c r="AB97" s="72"/>
      <c r="AC97" s="73"/>
      <c r="AD97" s="80" t="s">
        <v>760</v>
      </c>
      <c r="AE97" s="80"/>
      <c r="AF97" s="80"/>
      <c r="AG97" s="80"/>
      <c r="AH97" s="80"/>
      <c r="AI97" s="80"/>
      <c r="AJ97" s="87">
        <v>43953.73708333333</v>
      </c>
      <c r="AK97" s="85" t="str">
        <f>HYPERLINK("https://yt3.ggpht.com/ytc/AAUvwng6SKz6-itVRfKLcwFZ8H8giN2PfvojltYWog=s88-c-k-c0x00ffffff-no-rj")</f>
        <v>https://yt3.ggpht.com/ytc/AAUvwng6SKz6-itVRfKLcwFZ8H8giN2PfvojltYWog=s88-c-k-c0x00ffffff-no-rj</v>
      </c>
      <c r="AL97" s="80">
        <v>0</v>
      </c>
      <c r="AM97" s="80">
        <v>0</v>
      </c>
      <c r="AN97" s="80">
        <v>1</v>
      </c>
      <c r="AO97" s="80" t="b">
        <v>0</v>
      </c>
      <c r="AP97" s="80">
        <v>0</v>
      </c>
      <c r="AQ97" s="80"/>
      <c r="AR97" s="80"/>
      <c r="AS97" s="80" t="s">
        <v>871</v>
      </c>
      <c r="AT97" s="85" t="str">
        <f>HYPERLINK("https://www.youtube.com/channel/UCitFNkeSCSx9gcQMfyYjkKQ")</f>
        <v>https://www.youtube.com/channel/UCitFNkeSCSx9gcQMfyYjkKQ</v>
      </c>
      <c r="AU97" s="80" t="str">
        <f>REPLACE(INDEX(GroupVertices[Group],MATCH(Vertices[[#This Row],[Vertex]],GroupVertices[Vertex],0)),1,1,"")</f>
        <v>1</v>
      </c>
      <c r="AV97" s="49">
        <v>3</v>
      </c>
      <c r="AW97" s="50">
        <v>3.0927835051546393</v>
      </c>
      <c r="AX97" s="49">
        <v>10</v>
      </c>
      <c r="AY97" s="50">
        <v>10.309278350515465</v>
      </c>
      <c r="AZ97" s="49">
        <v>0</v>
      </c>
      <c r="BA97" s="50">
        <v>0</v>
      </c>
      <c r="BB97" s="49">
        <v>86</v>
      </c>
      <c r="BC97" s="50">
        <v>88.65979381443299</v>
      </c>
      <c r="BD97" s="49">
        <v>97</v>
      </c>
      <c r="BE97" s="49"/>
      <c r="BF97" s="49"/>
      <c r="BG97" s="49"/>
      <c r="BH97" s="49"/>
      <c r="BI97" s="49"/>
      <c r="BJ97" s="49"/>
      <c r="BK97" s="111" t="s">
        <v>1517</v>
      </c>
      <c r="BL97" s="111" t="s">
        <v>1517</v>
      </c>
      <c r="BM97" s="111" t="s">
        <v>1583</v>
      </c>
      <c r="BN97" s="111" t="s">
        <v>1583</v>
      </c>
      <c r="BO97" s="2"/>
      <c r="BP97" s="3"/>
      <c r="BQ97" s="3"/>
      <c r="BR97" s="3"/>
      <c r="BS97" s="3"/>
    </row>
    <row r="98" spans="1:71" ht="15">
      <c r="A98" s="65" t="s">
        <v>421</v>
      </c>
      <c r="B98" s="66"/>
      <c r="C98" s="66"/>
      <c r="D98" s="67">
        <v>150</v>
      </c>
      <c r="E98" s="69"/>
      <c r="F98" s="103" t="str">
        <f>HYPERLINK("https://yt3.ggpht.com/ytc/AAUvwnj-MMchw81Oty97BpHhbOW1iJ8kFoxXZZNLoHU-Xcg=s88-c-k-c0x00ffffff-no-rj")</f>
        <v>https://yt3.ggpht.com/ytc/AAUvwnj-MMchw81Oty97BpHhbOW1iJ8kFoxXZZNLoHU-Xcg=s88-c-k-c0x00ffffff-no-rj</v>
      </c>
      <c r="G98" s="66"/>
      <c r="H98" s="70" t="s">
        <v>761</v>
      </c>
      <c r="I98" s="71"/>
      <c r="J98" s="71" t="s">
        <v>159</v>
      </c>
      <c r="K98" s="70" t="s">
        <v>761</v>
      </c>
      <c r="L98" s="74">
        <v>1</v>
      </c>
      <c r="M98" s="75">
        <v>1599.3968505859375</v>
      </c>
      <c r="N98" s="75">
        <v>4042.615234375</v>
      </c>
      <c r="O98" s="76"/>
      <c r="P98" s="77"/>
      <c r="Q98" s="77"/>
      <c r="R98" s="89"/>
      <c r="S98" s="49">
        <v>0</v>
      </c>
      <c r="T98" s="49">
        <v>1</v>
      </c>
      <c r="U98" s="50">
        <v>0</v>
      </c>
      <c r="V98" s="50">
        <v>0.003021</v>
      </c>
      <c r="W98" s="50">
        <v>0.007133</v>
      </c>
      <c r="X98" s="50">
        <v>0.515381</v>
      </c>
      <c r="Y98" s="50">
        <v>0</v>
      </c>
      <c r="Z98" s="50">
        <v>0</v>
      </c>
      <c r="AA98" s="72">
        <v>98</v>
      </c>
      <c r="AB98" s="72"/>
      <c r="AC98" s="73"/>
      <c r="AD98" s="80" t="s">
        <v>761</v>
      </c>
      <c r="AE98" s="80"/>
      <c r="AF98" s="80"/>
      <c r="AG98" s="80"/>
      <c r="AH98" s="80"/>
      <c r="AI98" s="80"/>
      <c r="AJ98" s="87">
        <v>41057.97126157407</v>
      </c>
      <c r="AK98" s="85" t="str">
        <f>HYPERLINK("https://yt3.ggpht.com/ytc/AAUvwnj-MMchw81Oty97BpHhbOW1iJ8kFoxXZZNLoHU-Xcg=s88-c-k-c0x00ffffff-no-rj")</f>
        <v>https://yt3.ggpht.com/ytc/AAUvwnj-MMchw81Oty97BpHhbOW1iJ8kFoxXZZNLoHU-Xcg=s88-c-k-c0x00ffffff-no-rj</v>
      </c>
      <c r="AL98" s="80">
        <v>0</v>
      </c>
      <c r="AM98" s="80">
        <v>0</v>
      </c>
      <c r="AN98" s="80">
        <v>0</v>
      </c>
      <c r="AO98" s="80" t="b">
        <v>0</v>
      </c>
      <c r="AP98" s="80">
        <v>0</v>
      </c>
      <c r="AQ98" s="80"/>
      <c r="AR98" s="80"/>
      <c r="AS98" s="80" t="s">
        <v>871</v>
      </c>
      <c r="AT98" s="85" t="str">
        <f>HYPERLINK("https://www.youtube.com/channel/UCHgWCuz6Dg0m6sibS_Bl0GA")</f>
        <v>https://www.youtube.com/channel/UCHgWCuz6Dg0m6sibS_Bl0GA</v>
      </c>
      <c r="AU98" s="80" t="str">
        <f>REPLACE(INDEX(GroupVertices[Group],MATCH(Vertices[[#This Row],[Vertex]],GroupVertices[Vertex],0)),1,1,"")</f>
        <v>1</v>
      </c>
      <c r="AV98" s="49">
        <v>2</v>
      </c>
      <c r="AW98" s="50">
        <v>11.11111111111111</v>
      </c>
      <c r="AX98" s="49">
        <v>3</v>
      </c>
      <c r="AY98" s="50">
        <v>16.666666666666668</v>
      </c>
      <c r="AZ98" s="49">
        <v>0</v>
      </c>
      <c r="BA98" s="50">
        <v>0</v>
      </c>
      <c r="BB98" s="49">
        <v>14</v>
      </c>
      <c r="BC98" s="50">
        <v>77.77777777777777</v>
      </c>
      <c r="BD98" s="49">
        <v>18</v>
      </c>
      <c r="BE98" s="49"/>
      <c r="BF98" s="49"/>
      <c r="BG98" s="49"/>
      <c r="BH98" s="49"/>
      <c r="BI98" s="49"/>
      <c r="BJ98" s="49"/>
      <c r="BK98" s="111" t="s">
        <v>1518</v>
      </c>
      <c r="BL98" s="111" t="s">
        <v>1518</v>
      </c>
      <c r="BM98" s="111" t="s">
        <v>1584</v>
      </c>
      <c r="BN98" s="111" t="s">
        <v>1584</v>
      </c>
      <c r="BO98" s="2"/>
      <c r="BP98" s="3"/>
      <c r="BQ98" s="3"/>
      <c r="BR98" s="3"/>
      <c r="BS98" s="3"/>
    </row>
    <row r="99" spans="1:71" ht="15">
      <c r="A99" s="65" t="s">
        <v>422</v>
      </c>
      <c r="B99" s="66"/>
      <c r="C99" s="66"/>
      <c r="D99" s="67">
        <v>150</v>
      </c>
      <c r="E99" s="69"/>
      <c r="F99" s="103" t="str">
        <f>HYPERLINK("https://yt3.ggpht.com/ytc/AAUvwng9yjSaDnJU5wWYw-v_8fzX6SsakFH0RU8o7w=s88-c-k-c0x00ffffff-no-rj")</f>
        <v>https://yt3.ggpht.com/ytc/AAUvwng9yjSaDnJU5wWYw-v_8fzX6SsakFH0RU8o7w=s88-c-k-c0x00ffffff-no-rj</v>
      </c>
      <c r="G99" s="66"/>
      <c r="H99" s="70" t="s">
        <v>762</v>
      </c>
      <c r="I99" s="71"/>
      <c r="J99" s="71" t="s">
        <v>159</v>
      </c>
      <c r="K99" s="70" t="s">
        <v>762</v>
      </c>
      <c r="L99" s="74">
        <v>1</v>
      </c>
      <c r="M99" s="75">
        <v>1193.126220703125</v>
      </c>
      <c r="N99" s="75">
        <v>8606.6904296875</v>
      </c>
      <c r="O99" s="76"/>
      <c r="P99" s="77"/>
      <c r="Q99" s="77"/>
      <c r="R99" s="89"/>
      <c r="S99" s="49">
        <v>0</v>
      </c>
      <c r="T99" s="49">
        <v>1</v>
      </c>
      <c r="U99" s="50">
        <v>0</v>
      </c>
      <c r="V99" s="50">
        <v>0.003021</v>
      </c>
      <c r="W99" s="50">
        <v>0.007133</v>
      </c>
      <c r="X99" s="50">
        <v>0.515381</v>
      </c>
      <c r="Y99" s="50">
        <v>0</v>
      </c>
      <c r="Z99" s="50">
        <v>0</v>
      </c>
      <c r="AA99" s="72">
        <v>99</v>
      </c>
      <c r="AB99" s="72"/>
      <c r="AC99" s="73"/>
      <c r="AD99" s="80" t="s">
        <v>762</v>
      </c>
      <c r="AE99" s="80"/>
      <c r="AF99" s="80"/>
      <c r="AG99" s="80"/>
      <c r="AH99" s="80"/>
      <c r="AI99" s="80"/>
      <c r="AJ99" s="87">
        <v>43924.45888888889</v>
      </c>
      <c r="AK99" s="85" t="str">
        <f>HYPERLINK("https://yt3.ggpht.com/ytc/AAUvwng9yjSaDnJU5wWYw-v_8fzX6SsakFH0RU8o7w=s88-c-k-c0x00ffffff-no-rj")</f>
        <v>https://yt3.ggpht.com/ytc/AAUvwng9yjSaDnJU5wWYw-v_8fzX6SsakFH0RU8o7w=s88-c-k-c0x00ffffff-no-rj</v>
      </c>
      <c r="AL99" s="80">
        <v>0</v>
      </c>
      <c r="AM99" s="80">
        <v>0</v>
      </c>
      <c r="AN99" s="80">
        <v>1</v>
      </c>
      <c r="AO99" s="80" t="b">
        <v>0</v>
      </c>
      <c r="AP99" s="80">
        <v>0</v>
      </c>
      <c r="AQ99" s="80"/>
      <c r="AR99" s="80"/>
      <c r="AS99" s="80" t="s">
        <v>871</v>
      </c>
      <c r="AT99" s="85" t="str">
        <f>HYPERLINK("https://www.youtube.com/channel/UC3ylY6LrHoDn5D50cAhZNtg")</f>
        <v>https://www.youtube.com/channel/UC3ylY6LrHoDn5D50cAhZNtg</v>
      </c>
      <c r="AU99" s="80" t="str">
        <f>REPLACE(INDEX(GroupVertices[Group],MATCH(Vertices[[#This Row],[Vertex]],GroupVertices[Vertex],0)),1,1,"")</f>
        <v>1</v>
      </c>
      <c r="AV99" s="49">
        <v>0</v>
      </c>
      <c r="AW99" s="50">
        <v>0</v>
      </c>
      <c r="AX99" s="49">
        <v>1</v>
      </c>
      <c r="AY99" s="50">
        <v>2.3255813953488373</v>
      </c>
      <c r="AZ99" s="49">
        <v>0</v>
      </c>
      <c r="BA99" s="50">
        <v>0</v>
      </c>
      <c r="BB99" s="49">
        <v>42</v>
      </c>
      <c r="BC99" s="50">
        <v>97.67441860465117</v>
      </c>
      <c r="BD99" s="49">
        <v>43</v>
      </c>
      <c r="BE99" s="49"/>
      <c r="BF99" s="49"/>
      <c r="BG99" s="49"/>
      <c r="BH99" s="49"/>
      <c r="BI99" s="49"/>
      <c r="BJ99" s="49"/>
      <c r="BK99" s="111" t="s">
        <v>1519</v>
      </c>
      <c r="BL99" s="111" t="s">
        <v>1519</v>
      </c>
      <c r="BM99" s="111" t="s">
        <v>1585</v>
      </c>
      <c r="BN99" s="111" t="s">
        <v>1585</v>
      </c>
      <c r="BO99" s="2"/>
      <c r="BP99" s="3"/>
      <c r="BQ99" s="3"/>
      <c r="BR99" s="3"/>
      <c r="BS99" s="3"/>
    </row>
    <row r="100" spans="1:71" ht="15">
      <c r="A100" s="65" t="s">
        <v>423</v>
      </c>
      <c r="B100" s="66"/>
      <c r="C100" s="66"/>
      <c r="D100" s="67">
        <v>150</v>
      </c>
      <c r="E100" s="69"/>
      <c r="F100" s="103" t="str">
        <f>HYPERLINK("https://yt3.ggpht.com/ytc/AAUvwnhql65XnLYswPtRqn-kDMms3-IenxjuxOcWnQ=s88-c-k-c0x00ffffff-no-rj")</f>
        <v>https://yt3.ggpht.com/ytc/AAUvwnhql65XnLYswPtRqn-kDMms3-IenxjuxOcWnQ=s88-c-k-c0x00ffffff-no-rj</v>
      </c>
      <c r="G100" s="66"/>
      <c r="H100" s="70" t="s">
        <v>763</v>
      </c>
      <c r="I100" s="71"/>
      <c r="J100" s="71" t="s">
        <v>159</v>
      </c>
      <c r="K100" s="70" t="s">
        <v>763</v>
      </c>
      <c r="L100" s="74">
        <v>1</v>
      </c>
      <c r="M100" s="75">
        <v>4957.7294921875</v>
      </c>
      <c r="N100" s="75">
        <v>1688.8026123046875</v>
      </c>
      <c r="O100" s="76"/>
      <c r="P100" s="77"/>
      <c r="Q100" s="77"/>
      <c r="R100" s="89"/>
      <c r="S100" s="49">
        <v>0</v>
      </c>
      <c r="T100" s="49">
        <v>1</v>
      </c>
      <c r="U100" s="50">
        <v>0</v>
      </c>
      <c r="V100" s="50">
        <v>0.003021</v>
      </c>
      <c r="W100" s="50">
        <v>0.007133</v>
      </c>
      <c r="X100" s="50">
        <v>0.515381</v>
      </c>
      <c r="Y100" s="50">
        <v>0</v>
      </c>
      <c r="Z100" s="50">
        <v>0</v>
      </c>
      <c r="AA100" s="72">
        <v>100</v>
      </c>
      <c r="AB100" s="72"/>
      <c r="AC100" s="73"/>
      <c r="AD100" s="80" t="s">
        <v>763</v>
      </c>
      <c r="AE100" s="80"/>
      <c r="AF100" s="80"/>
      <c r="AG100" s="80"/>
      <c r="AH100" s="80"/>
      <c r="AI100" s="80"/>
      <c r="AJ100" s="87">
        <v>41938.50646990741</v>
      </c>
      <c r="AK100" s="85" t="str">
        <f>HYPERLINK("https://yt3.ggpht.com/ytc/AAUvwnhql65XnLYswPtRqn-kDMms3-IenxjuxOcWnQ=s88-c-k-c0x00ffffff-no-rj")</f>
        <v>https://yt3.ggpht.com/ytc/AAUvwnhql65XnLYswPtRqn-kDMms3-IenxjuxOcWnQ=s88-c-k-c0x00ffffff-no-rj</v>
      </c>
      <c r="AL100" s="80">
        <v>0</v>
      </c>
      <c r="AM100" s="80">
        <v>0</v>
      </c>
      <c r="AN100" s="80">
        <v>0</v>
      </c>
      <c r="AO100" s="80" t="b">
        <v>0</v>
      </c>
      <c r="AP100" s="80">
        <v>0</v>
      </c>
      <c r="AQ100" s="80"/>
      <c r="AR100" s="80"/>
      <c r="AS100" s="80" t="s">
        <v>871</v>
      </c>
      <c r="AT100" s="85" t="str">
        <f>HYPERLINK("https://www.youtube.com/channel/UChIQG-u37tm4MCDuPImDkHQ")</f>
        <v>https://www.youtube.com/channel/UChIQG-u37tm4MCDuPImDkHQ</v>
      </c>
      <c r="AU100" s="80" t="str">
        <f>REPLACE(INDEX(GroupVertices[Group],MATCH(Vertices[[#This Row],[Vertex]],GroupVertices[Vertex],0)),1,1,"")</f>
        <v>1</v>
      </c>
      <c r="AV100" s="49">
        <v>0</v>
      </c>
      <c r="AW100" s="50">
        <v>0</v>
      </c>
      <c r="AX100" s="49">
        <v>0</v>
      </c>
      <c r="AY100" s="50">
        <v>0</v>
      </c>
      <c r="AZ100" s="49">
        <v>0</v>
      </c>
      <c r="BA100" s="50">
        <v>0</v>
      </c>
      <c r="BB100" s="49">
        <v>11</v>
      </c>
      <c r="BC100" s="50">
        <v>100</v>
      </c>
      <c r="BD100" s="49">
        <v>11</v>
      </c>
      <c r="BE100" s="49"/>
      <c r="BF100" s="49"/>
      <c r="BG100" s="49"/>
      <c r="BH100" s="49"/>
      <c r="BI100" s="49"/>
      <c r="BJ100" s="49"/>
      <c r="BK100" s="111" t="s">
        <v>1352</v>
      </c>
      <c r="BL100" s="111" t="s">
        <v>1352</v>
      </c>
      <c r="BM100" s="111" t="s">
        <v>1423</v>
      </c>
      <c r="BN100" s="111" t="s">
        <v>1423</v>
      </c>
      <c r="BO100" s="2"/>
      <c r="BP100" s="3"/>
      <c r="BQ100" s="3"/>
      <c r="BR100" s="3"/>
      <c r="BS100" s="3"/>
    </row>
    <row r="101" spans="1:71" ht="15">
      <c r="A101" s="65" t="s">
        <v>424</v>
      </c>
      <c r="B101" s="66"/>
      <c r="C101" s="66"/>
      <c r="D101" s="67">
        <v>150</v>
      </c>
      <c r="E101" s="69"/>
      <c r="F101" s="103" t="str">
        <f>HYPERLINK("https://yt3.ggpht.com/ytc/AAUvwnj5ZtCd5FIAh2QOIoVhEvz9pnjfsB5Tak8dIg=s88-c-k-c0x00ffffff-no-rj")</f>
        <v>https://yt3.ggpht.com/ytc/AAUvwnj5ZtCd5FIAh2QOIoVhEvz9pnjfsB5Tak8dIg=s88-c-k-c0x00ffffff-no-rj</v>
      </c>
      <c r="G101" s="66"/>
      <c r="H101" s="70" t="s">
        <v>764</v>
      </c>
      <c r="I101" s="71"/>
      <c r="J101" s="71" t="s">
        <v>159</v>
      </c>
      <c r="K101" s="70" t="s">
        <v>764</v>
      </c>
      <c r="L101" s="74">
        <v>1</v>
      </c>
      <c r="M101" s="75">
        <v>2703.744140625</v>
      </c>
      <c r="N101" s="75">
        <v>1712.3641357421875</v>
      </c>
      <c r="O101" s="76"/>
      <c r="P101" s="77"/>
      <c r="Q101" s="77"/>
      <c r="R101" s="89"/>
      <c r="S101" s="49">
        <v>0</v>
      </c>
      <c r="T101" s="49">
        <v>1</v>
      </c>
      <c r="U101" s="50">
        <v>0</v>
      </c>
      <c r="V101" s="50">
        <v>0.003021</v>
      </c>
      <c r="W101" s="50">
        <v>0.007133</v>
      </c>
      <c r="X101" s="50">
        <v>0.515381</v>
      </c>
      <c r="Y101" s="50">
        <v>0</v>
      </c>
      <c r="Z101" s="50">
        <v>0</v>
      </c>
      <c r="AA101" s="72">
        <v>101</v>
      </c>
      <c r="AB101" s="72"/>
      <c r="AC101" s="73"/>
      <c r="AD101" s="80" t="s">
        <v>764</v>
      </c>
      <c r="AE101" s="80"/>
      <c r="AF101" s="80"/>
      <c r="AG101" s="80"/>
      <c r="AH101" s="80"/>
      <c r="AI101" s="80"/>
      <c r="AJ101" s="87">
        <v>41829.860185185185</v>
      </c>
      <c r="AK101" s="85" t="str">
        <f>HYPERLINK("https://yt3.ggpht.com/ytc/AAUvwnj5ZtCd5FIAh2QOIoVhEvz9pnjfsB5Tak8dIg=s88-c-k-c0x00ffffff-no-rj")</f>
        <v>https://yt3.ggpht.com/ytc/AAUvwnj5ZtCd5FIAh2QOIoVhEvz9pnjfsB5Tak8dIg=s88-c-k-c0x00ffffff-no-rj</v>
      </c>
      <c r="AL101" s="80">
        <v>0</v>
      </c>
      <c r="AM101" s="80">
        <v>0</v>
      </c>
      <c r="AN101" s="80">
        <v>1</v>
      </c>
      <c r="AO101" s="80" t="b">
        <v>0</v>
      </c>
      <c r="AP101" s="80">
        <v>0</v>
      </c>
      <c r="AQ101" s="80"/>
      <c r="AR101" s="80"/>
      <c r="AS101" s="80" t="s">
        <v>871</v>
      </c>
      <c r="AT101" s="85" t="str">
        <f>HYPERLINK("https://www.youtube.com/channel/UC5iV1Cb-gkNuwC6SOGMcCYg")</f>
        <v>https://www.youtube.com/channel/UC5iV1Cb-gkNuwC6SOGMcCYg</v>
      </c>
      <c r="AU101" s="80" t="str">
        <f>REPLACE(INDEX(GroupVertices[Group],MATCH(Vertices[[#This Row],[Vertex]],GroupVertices[Vertex],0)),1,1,"")</f>
        <v>1</v>
      </c>
      <c r="AV101" s="49">
        <v>0</v>
      </c>
      <c r="AW101" s="50">
        <v>0</v>
      </c>
      <c r="AX101" s="49">
        <v>1</v>
      </c>
      <c r="AY101" s="50">
        <v>5</v>
      </c>
      <c r="AZ101" s="49">
        <v>0</v>
      </c>
      <c r="BA101" s="50">
        <v>0</v>
      </c>
      <c r="BB101" s="49">
        <v>19</v>
      </c>
      <c r="BC101" s="50">
        <v>95</v>
      </c>
      <c r="BD101" s="49">
        <v>20</v>
      </c>
      <c r="BE101" s="49"/>
      <c r="BF101" s="49"/>
      <c r="BG101" s="49"/>
      <c r="BH101" s="49"/>
      <c r="BI101" s="49"/>
      <c r="BJ101" s="49"/>
      <c r="BK101" s="111" t="s">
        <v>1520</v>
      </c>
      <c r="BL101" s="111" t="s">
        <v>1520</v>
      </c>
      <c r="BM101" s="111" t="s">
        <v>1586</v>
      </c>
      <c r="BN101" s="111" t="s">
        <v>1586</v>
      </c>
      <c r="BO101" s="2"/>
      <c r="BP101" s="3"/>
      <c r="BQ101" s="3"/>
      <c r="BR101" s="3"/>
      <c r="BS101" s="3"/>
    </row>
    <row r="102" spans="1:71" ht="15">
      <c r="A102" s="65" t="s">
        <v>425</v>
      </c>
      <c r="B102" s="66"/>
      <c r="C102" s="66"/>
      <c r="D102" s="67">
        <v>150</v>
      </c>
      <c r="E102" s="69"/>
      <c r="F102" s="103" t="str">
        <f>HYPERLINK("https://yt3.ggpht.com/ytc/AAUvwnhxNtjdgIwnhkfscLfsVP2lNe9yH-QoPDHGDtmV=s88-c-k-c0x00ffffff-no-rj")</f>
        <v>https://yt3.ggpht.com/ytc/AAUvwnhxNtjdgIwnhkfscLfsVP2lNe9yH-QoPDHGDtmV=s88-c-k-c0x00ffffff-no-rj</v>
      </c>
      <c r="G102" s="66"/>
      <c r="H102" s="70" t="s">
        <v>765</v>
      </c>
      <c r="I102" s="71"/>
      <c r="J102" s="71" t="s">
        <v>159</v>
      </c>
      <c r="K102" s="70" t="s">
        <v>765</v>
      </c>
      <c r="L102" s="74">
        <v>1</v>
      </c>
      <c r="M102" s="75">
        <v>3685.73583984375</v>
      </c>
      <c r="N102" s="75">
        <v>8750.025390625</v>
      </c>
      <c r="O102" s="76"/>
      <c r="P102" s="77"/>
      <c r="Q102" s="77"/>
      <c r="R102" s="89"/>
      <c r="S102" s="49">
        <v>0</v>
      </c>
      <c r="T102" s="49">
        <v>1</v>
      </c>
      <c r="U102" s="50">
        <v>0</v>
      </c>
      <c r="V102" s="50">
        <v>0.003021</v>
      </c>
      <c r="W102" s="50">
        <v>0.007133</v>
      </c>
      <c r="X102" s="50">
        <v>0.515381</v>
      </c>
      <c r="Y102" s="50">
        <v>0</v>
      </c>
      <c r="Z102" s="50">
        <v>0</v>
      </c>
      <c r="AA102" s="72">
        <v>102</v>
      </c>
      <c r="AB102" s="72"/>
      <c r="AC102" s="73"/>
      <c r="AD102" s="80" t="s">
        <v>765</v>
      </c>
      <c r="AE102" s="80" t="s">
        <v>863</v>
      </c>
      <c r="AF102" s="80"/>
      <c r="AG102" s="80"/>
      <c r="AH102" s="80"/>
      <c r="AI102" s="80"/>
      <c r="AJ102" s="87">
        <v>44305.666921296295</v>
      </c>
      <c r="AK102" s="85" t="str">
        <f>HYPERLINK("https://yt3.ggpht.com/ytc/AAUvwnhxNtjdgIwnhkfscLfsVP2lNe9yH-QoPDHGDtmV=s88-c-k-c0x00ffffff-no-rj")</f>
        <v>https://yt3.ggpht.com/ytc/AAUvwnhxNtjdgIwnhkfscLfsVP2lNe9yH-QoPDHGDtmV=s88-c-k-c0x00ffffff-no-rj</v>
      </c>
      <c r="AL102" s="80">
        <v>0</v>
      </c>
      <c r="AM102" s="80">
        <v>0</v>
      </c>
      <c r="AN102" s="80">
        <v>0</v>
      </c>
      <c r="AO102" s="80" t="b">
        <v>0</v>
      </c>
      <c r="AP102" s="80">
        <v>0</v>
      </c>
      <c r="AQ102" s="80"/>
      <c r="AR102" s="80"/>
      <c r="AS102" s="80" t="s">
        <v>871</v>
      </c>
      <c r="AT102" s="85" t="str">
        <f>HYPERLINK("https://www.youtube.com/channel/UCyMQmbsa4WLITmU0jkuAc2A")</f>
        <v>https://www.youtube.com/channel/UCyMQmbsa4WLITmU0jkuAc2A</v>
      </c>
      <c r="AU102" s="80" t="str">
        <f>REPLACE(INDEX(GroupVertices[Group],MATCH(Vertices[[#This Row],[Vertex]],GroupVertices[Vertex],0)),1,1,"")</f>
        <v>1</v>
      </c>
      <c r="AV102" s="49">
        <v>0</v>
      </c>
      <c r="AW102" s="50">
        <v>0</v>
      </c>
      <c r="AX102" s="49">
        <v>0</v>
      </c>
      <c r="AY102" s="50">
        <v>0</v>
      </c>
      <c r="AZ102" s="49">
        <v>0</v>
      </c>
      <c r="BA102" s="50">
        <v>0</v>
      </c>
      <c r="BB102" s="49">
        <v>13</v>
      </c>
      <c r="BC102" s="50">
        <v>100</v>
      </c>
      <c r="BD102" s="49">
        <v>13</v>
      </c>
      <c r="BE102" s="49"/>
      <c r="BF102" s="49"/>
      <c r="BG102" s="49"/>
      <c r="BH102" s="49"/>
      <c r="BI102" s="49"/>
      <c r="BJ102" s="49"/>
      <c r="BK102" s="111" t="s">
        <v>1353</v>
      </c>
      <c r="BL102" s="111" t="s">
        <v>1353</v>
      </c>
      <c r="BM102" s="111" t="s">
        <v>1424</v>
      </c>
      <c r="BN102" s="111" t="s">
        <v>1424</v>
      </c>
      <c r="BO102" s="2"/>
      <c r="BP102" s="3"/>
      <c r="BQ102" s="3"/>
      <c r="BR102" s="3"/>
      <c r="BS102" s="3"/>
    </row>
    <row r="103" spans="1:71" ht="15">
      <c r="A103" s="65" t="s">
        <v>426</v>
      </c>
      <c r="B103" s="66"/>
      <c r="C103" s="66"/>
      <c r="D103" s="67">
        <v>150</v>
      </c>
      <c r="E103" s="69"/>
      <c r="F103" s="103" t="str">
        <f>HYPERLINK("https://yt3.ggpht.com/ytc/AAUvwngCl7EdqDX-Y_w2QLfp3A7NZXawzNyfJlV8=s88-c-k-c0x00ffffff-no-rj")</f>
        <v>https://yt3.ggpht.com/ytc/AAUvwngCl7EdqDX-Y_w2QLfp3A7NZXawzNyfJlV8=s88-c-k-c0x00ffffff-no-rj</v>
      </c>
      <c r="G103" s="66"/>
      <c r="H103" s="70" t="s">
        <v>766</v>
      </c>
      <c r="I103" s="71"/>
      <c r="J103" s="71" t="s">
        <v>159</v>
      </c>
      <c r="K103" s="70" t="s">
        <v>766</v>
      </c>
      <c r="L103" s="74">
        <v>1</v>
      </c>
      <c r="M103" s="75">
        <v>150.19728088378906</v>
      </c>
      <c r="N103" s="75">
        <v>5065.0078125</v>
      </c>
      <c r="O103" s="76"/>
      <c r="P103" s="77"/>
      <c r="Q103" s="77"/>
      <c r="R103" s="89"/>
      <c r="S103" s="49">
        <v>0</v>
      </c>
      <c r="T103" s="49">
        <v>1</v>
      </c>
      <c r="U103" s="50">
        <v>0</v>
      </c>
      <c r="V103" s="50">
        <v>0.003021</v>
      </c>
      <c r="W103" s="50">
        <v>0.007133</v>
      </c>
      <c r="X103" s="50">
        <v>0.515381</v>
      </c>
      <c r="Y103" s="50">
        <v>0</v>
      </c>
      <c r="Z103" s="50">
        <v>0</v>
      </c>
      <c r="AA103" s="72">
        <v>103</v>
      </c>
      <c r="AB103" s="72"/>
      <c r="AC103" s="73"/>
      <c r="AD103" s="80" t="s">
        <v>766</v>
      </c>
      <c r="AE103" s="80"/>
      <c r="AF103" s="80"/>
      <c r="AG103" s="80"/>
      <c r="AH103" s="80"/>
      <c r="AI103" s="80"/>
      <c r="AJ103" s="87">
        <v>44044.356782407405</v>
      </c>
      <c r="AK103" s="85" t="str">
        <f>HYPERLINK("https://yt3.ggpht.com/ytc/AAUvwngCl7EdqDX-Y_w2QLfp3A7NZXawzNyfJlV8=s88-c-k-c0x00ffffff-no-rj")</f>
        <v>https://yt3.ggpht.com/ytc/AAUvwngCl7EdqDX-Y_w2QLfp3A7NZXawzNyfJlV8=s88-c-k-c0x00ffffff-no-rj</v>
      </c>
      <c r="AL103" s="80">
        <v>0</v>
      </c>
      <c r="AM103" s="80">
        <v>0</v>
      </c>
      <c r="AN103" s="80">
        <v>0</v>
      </c>
      <c r="AO103" s="80" t="b">
        <v>0</v>
      </c>
      <c r="AP103" s="80">
        <v>0</v>
      </c>
      <c r="AQ103" s="80"/>
      <c r="AR103" s="80"/>
      <c r="AS103" s="80" t="s">
        <v>871</v>
      </c>
      <c r="AT103" s="85" t="str">
        <f>HYPERLINK("https://www.youtube.com/channel/UCePijgZwEyM46_wvOb3pQPA")</f>
        <v>https://www.youtube.com/channel/UCePijgZwEyM46_wvOb3pQPA</v>
      </c>
      <c r="AU103" s="80" t="str">
        <f>REPLACE(INDEX(GroupVertices[Group],MATCH(Vertices[[#This Row],[Vertex]],GroupVertices[Vertex],0)),1,1,"")</f>
        <v>1</v>
      </c>
      <c r="AV103" s="49">
        <v>2</v>
      </c>
      <c r="AW103" s="50">
        <v>33.333333333333336</v>
      </c>
      <c r="AX103" s="49">
        <v>3</v>
      </c>
      <c r="AY103" s="50">
        <v>50</v>
      </c>
      <c r="AZ103" s="49">
        <v>0</v>
      </c>
      <c r="BA103" s="50">
        <v>0</v>
      </c>
      <c r="BB103" s="49">
        <v>3</v>
      </c>
      <c r="BC103" s="50">
        <v>50</v>
      </c>
      <c r="BD103" s="49">
        <v>6</v>
      </c>
      <c r="BE103" s="49"/>
      <c r="BF103" s="49"/>
      <c r="BG103" s="49"/>
      <c r="BH103" s="49"/>
      <c r="BI103" s="49"/>
      <c r="BJ103" s="49"/>
      <c r="BK103" s="111" t="s">
        <v>1521</v>
      </c>
      <c r="BL103" s="111" t="s">
        <v>1521</v>
      </c>
      <c r="BM103" s="111" t="s">
        <v>1587</v>
      </c>
      <c r="BN103" s="111" t="s">
        <v>1587</v>
      </c>
      <c r="BO103" s="2"/>
      <c r="BP103" s="3"/>
      <c r="BQ103" s="3"/>
      <c r="BR103" s="3"/>
      <c r="BS103" s="3"/>
    </row>
    <row r="104" spans="1:71" ht="15">
      <c r="A104" s="65" t="s">
        <v>427</v>
      </c>
      <c r="B104" s="66"/>
      <c r="C104" s="66"/>
      <c r="D104" s="67">
        <v>150</v>
      </c>
      <c r="E104" s="69"/>
      <c r="F104" s="103" t="str">
        <f>HYPERLINK("https://yt3.ggpht.com/ytc/AAUvwni6qYLH2Ge6_PNwsvdE9Pbn56EuD4aBkLc1dPx6Uw=s88-c-k-c0x00ffffff-no-rj")</f>
        <v>https://yt3.ggpht.com/ytc/AAUvwni6qYLH2Ge6_PNwsvdE9Pbn56EuD4aBkLc1dPx6Uw=s88-c-k-c0x00ffffff-no-rj</v>
      </c>
      <c r="G104" s="66"/>
      <c r="H104" s="70" t="s">
        <v>767</v>
      </c>
      <c r="I104" s="71"/>
      <c r="J104" s="71" t="s">
        <v>159</v>
      </c>
      <c r="K104" s="70" t="s">
        <v>767</v>
      </c>
      <c r="L104" s="74">
        <v>1</v>
      </c>
      <c r="M104" s="75">
        <v>5223.62890625</v>
      </c>
      <c r="N104" s="75">
        <v>7529.79248046875</v>
      </c>
      <c r="O104" s="76"/>
      <c r="P104" s="77"/>
      <c r="Q104" s="77"/>
      <c r="R104" s="89"/>
      <c r="S104" s="49">
        <v>0</v>
      </c>
      <c r="T104" s="49">
        <v>1</v>
      </c>
      <c r="U104" s="50">
        <v>0</v>
      </c>
      <c r="V104" s="50">
        <v>0.003021</v>
      </c>
      <c r="W104" s="50">
        <v>0.007133</v>
      </c>
      <c r="X104" s="50">
        <v>0.515381</v>
      </c>
      <c r="Y104" s="50">
        <v>0</v>
      </c>
      <c r="Z104" s="50">
        <v>0</v>
      </c>
      <c r="AA104" s="72">
        <v>104</v>
      </c>
      <c r="AB104" s="72"/>
      <c r="AC104" s="73"/>
      <c r="AD104" s="80" t="s">
        <v>767</v>
      </c>
      <c r="AE104" s="80" t="s">
        <v>864</v>
      </c>
      <c r="AF104" s="80"/>
      <c r="AG104" s="80"/>
      <c r="AH104" s="80"/>
      <c r="AI104" s="80"/>
      <c r="AJ104" s="87">
        <v>43501.5584375</v>
      </c>
      <c r="AK104" s="85" t="str">
        <f>HYPERLINK("https://yt3.ggpht.com/ytc/AAUvwni6qYLH2Ge6_PNwsvdE9Pbn56EuD4aBkLc1dPx6Uw=s88-c-k-c0x00ffffff-no-rj")</f>
        <v>https://yt3.ggpht.com/ytc/AAUvwni6qYLH2Ge6_PNwsvdE9Pbn56EuD4aBkLc1dPx6Uw=s88-c-k-c0x00ffffff-no-rj</v>
      </c>
      <c r="AL104" s="80">
        <v>0</v>
      </c>
      <c r="AM104" s="80">
        <v>0</v>
      </c>
      <c r="AN104" s="80">
        <v>16</v>
      </c>
      <c r="AO104" s="80" t="b">
        <v>0</v>
      </c>
      <c r="AP104" s="80">
        <v>0</v>
      </c>
      <c r="AQ104" s="80"/>
      <c r="AR104" s="80"/>
      <c r="AS104" s="80" t="s">
        <v>871</v>
      </c>
      <c r="AT104" s="85" t="str">
        <f>HYPERLINK("https://www.youtube.com/channel/UCcfu2E45fV8NmLtNTjJSmhQ")</f>
        <v>https://www.youtube.com/channel/UCcfu2E45fV8NmLtNTjJSmhQ</v>
      </c>
      <c r="AU104" s="80" t="str">
        <f>REPLACE(INDEX(GroupVertices[Group],MATCH(Vertices[[#This Row],[Vertex]],GroupVertices[Vertex],0)),1,1,"")</f>
        <v>1</v>
      </c>
      <c r="AV104" s="49">
        <v>2</v>
      </c>
      <c r="AW104" s="50">
        <v>6.451612903225806</v>
      </c>
      <c r="AX104" s="49">
        <v>3</v>
      </c>
      <c r="AY104" s="50">
        <v>9.67741935483871</v>
      </c>
      <c r="AZ104" s="49">
        <v>0</v>
      </c>
      <c r="BA104" s="50">
        <v>0</v>
      </c>
      <c r="BB104" s="49">
        <v>27</v>
      </c>
      <c r="BC104" s="50">
        <v>87.09677419354838</v>
      </c>
      <c r="BD104" s="49">
        <v>31</v>
      </c>
      <c r="BE104" s="49"/>
      <c r="BF104" s="49"/>
      <c r="BG104" s="49"/>
      <c r="BH104" s="49"/>
      <c r="BI104" s="49"/>
      <c r="BJ104" s="49"/>
      <c r="BK104" s="111" t="s">
        <v>1522</v>
      </c>
      <c r="BL104" s="111" t="s">
        <v>1522</v>
      </c>
      <c r="BM104" s="111" t="s">
        <v>1588</v>
      </c>
      <c r="BN104" s="111" t="s">
        <v>1588</v>
      </c>
      <c r="BO104" s="2"/>
      <c r="BP104" s="3"/>
      <c r="BQ104" s="3"/>
      <c r="BR104" s="3"/>
      <c r="BS104" s="3"/>
    </row>
    <row r="105" spans="1:71" ht="15">
      <c r="A105" s="65" t="s">
        <v>428</v>
      </c>
      <c r="B105" s="66"/>
      <c r="C105" s="66"/>
      <c r="D105" s="67">
        <v>150</v>
      </c>
      <c r="E105" s="69"/>
      <c r="F105" s="103" t="str">
        <f>HYPERLINK("https://yt3.ggpht.com/ytc/AAUvwnjjQY4VwQO6hZWGqlZsR_aV2bO-ADNr0N1RLw=s88-c-k-c0x00ffffff-no-rj")</f>
        <v>https://yt3.ggpht.com/ytc/AAUvwnjjQY4VwQO6hZWGqlZsR_aV2bO-ADNr0N1RLw=s88-c-k-c0x00ffffff-no-rj</v>
      </c>
      <c r="G105" s="66"/>
      <c r="H105" s="70" t="s">
        <v>768</v>
      </c>
      <c r="I105" s="71"/>
      <c r="J105" s="71" t="s">
        <v>159</v>
      </c>
      <c r="K105" s="70" t="s">
        <v>768</v>
      </c>
      <c r="L105" s="74">
        <v>1</v>
      </c>
      <c r="M105" s="75">
        <v>2469.75830078125</v>
      </c>
      <c r="N105" s="75">
        <v>9558.1064453125</v>
      </c>
      <c r="O105" s="76"/>
      <c r="P105" s="77"/>
      <c r="Q105" s="77"/>
      <c r="R105" s="89"/>
      <c r="S105" s="49">
        <v>0</v>
      </c>
      <c r="T105" s="49">
        <v>1</v>
      </c>
      <c r="U105" s="50">
        <v>0</v>
      </c>
      <c r="V105" s="50">
        <v>0.003021</v>
      </c>
      <c r="W105" s="50">
        <v>0.007133</v>
      </c>
      <c r="X105" s="50">
        <v>0.515381</v>
      </c>
      <c r="Y105" s="50">
        <v>0</v>
      </c>
      <c r="Z105" s="50">
        <v>0</v>
      </c>
      <c r="AA105" s="72">
        <v>105</v>
      </c>
      <c r="AB105" s="72"/>
      <c r="AC105" s="73"/>
      <c r="AD105" s="80" t="s">
        <v>768</v>
      </c>
      <c r="AE105" s="80"/>
      <c r="AF105" s="80"/>
      <c r="AG105" s="80"/>
      <c r="AH105" s="80"/>
      <c r="AI105" s="80"/>
      <c r="AJ105" s="87">
        <v>43766.75921296296</v>
      </c>
      <c r="AK105" s="85" t="str">
        <f>HYPERLINK("https://yt3.ggpht.com/ytc/AAUvwnjjQY4VwQO6hZWGqlZsR_aV2bO-ADNr0N1RLw=s88-c-k-c0x00ffffff-no-rj")</f>
        <v>https://yt3.ggpht.com/ytc/AAUvwnjjQY4VwQO6hZWGqlZsR_aV2bO-ADNr0N1RLw=s88-c-k-c0x00ffffff-no-rj</v>
      </c>
      <c r="AL105" s="80">
        <v>0</v>
      </c>
      <c r="AM105" s="80">
        <v>0</v>
      </c>
      <c r="AN105" s="80">
        <v>1</v>
      </c>
      <c r="AO105" s="80" t="b">
        <v>0</v>
      </c>
      <c r="AP105" s="80">
        <v>0</v>
      </c>
      <c r="AQ105" s="80"/>
      <c r="AR105" s="80"/>
      <c r="AS105" s="80" t="s">
        <v>871</v>
      </c>
      <c r="AT105" s="85" t="str">
        <f>HYPERLINK("https://www.youtube.com/channel/UCXU48nXBo--GCvAKC__hPFA")</f>
        <v>https://www.youtube.com/channel/UCXU48nXBo--GCvAKC__hPFA</v>
      </c>
      <c r="AU105" s="80" t="str">
        <f>REPLACE(INDEX(GroupVertices[Group],MATCH(Vertices[[#This Row],[Vertex]],GroupVertices[Vertex],0)),1,1,"")</f>
        <v>1</v>
      </c>
      <c r="AV105" s="49">
        <v>1</v>
      </c>
      <c r="AW105" s="50">
        <v>16.666666666666668</v>
      </c>
      <c r="AX105" s="49">
        <v>3</v>
      </c>
      <c r="AY105" s="50">
        <v>50</v>
      </c>
      <c r="AZ105" s="49">
        <v>0</v>
      </c>
      <c r="BA105" s="50">
        <v>0</v>
      </c>
      <c r="BB105" s="49">
        <v>2</v>
      </c>
      <c r="BC105" s="50">
        <v>33.333333333333336</v>
      </c>
      <c r="BD105" s="49">
        <v>6</v>
      </c>
      <c r="BE105" s="49"/>
      <c r="BF105" s="49"/>
      <c r="BG105" s="49"/>
      <c r="BH105" s="49"/>
      <c r="BI105" s="49"/>
      <c r="BJ105" s="49"/>
      <c r="BK105" s="111" t="s">
        <v>1354</v>
      </c>
      <c r="BL105" s="111" t="s">
        <v>1354</v>
      </c>
      <c r="BM105" s="111" t="s">
        <v>1425</v>
      </c>
      <c r="BN105" s="111" t="s">
        <v>1425</v>
      </c>
      <c r="BO105" s="2"/>
      <c r="BP105" s="3"/>
      <c r="BQ105" s="3"/>
      <c r="BR105" s="3"/>
      <c r="BS105" s="3"/>
    </row>
    <row r="106" spans="1:71" ht="15">
      <c r="A106" s="65" t="s">
        <v>429</v>
      </c>
      <c r="B106" s="66"/>
      <c r="C106" s="66"/>
      <c r="D106" s="67">
        <v>150</v>
      </c>
      <c r="E106" s="69"/>
      <c r="F106" s="103" t="str">
        <f>HYPERLINK("https://yt3.ggpht.com/ytc/AAUvwniduO43CxlJB2fYR86JYOdgLkwpT3HR4NY8vA=s88-c-k-c0x00ffffff-no-rj")</f>
        <v>https://yt3.ggpht.com/ytc/AAUvwniduO43CxlJB2fYR86JYOdgLkwpT3HR4NY8vA=s88-c-k-c0x00ffffff-no-rj</v>
      </c>
      <c r="G106" s="66"/>
      <c r="H106" s="70" t="s">
        <v>769</v>
      </c>
      <c r="I106" s="71"/>
      <c r="J106" s="71" t="s">
        <v>159</v>
      </c>
      <c r="K106" s="70" t="s">
        <v>769</v>
      </c>
      <c r="L106" s="74">
        <v>1</v>
      </c>
      <c r="M106" s="75">
        <v>4385.19287109375</v>
      </c>
      <c r="N106" s="75">
        <v>4411.6552734375</v>
      </c>
      <c r="O106" s="76"/>
      <c r="P106" s="77"/>
      <c r="Q106" s="77"/>
      <c r="R106" s="89"/>
      <c r="S106" s="49">
        <v>0</v>
      </c>
      <c r="T106" s="49">
        <v>1</v>
      </c>
      <c r="U106" s="50">
        <v>0</v>
      </c>
      <c r="V106" s="50">
        <v>0.003021</v>
      </c>
      <c r="W106" s="50">
        <v>0.007133</v>
      </c>
      <c r="X106" s="50">
        <v>0.515381</v>
      </c>
      <c r="Y106" s="50">
        <v>0</v>
      </c>
      <c r="Z106" s="50">
        <v>0</v>
      </c>
      <c r="AA106" s="72">
        <v>106</v>
      </c>
      <c r="AB106" s="72"/>
      <c r="AC106" s="73"/>
      <c r="AD106" s="80" t="s">
        <v>769</v>
      </c>
      <c r="AE106" s="80"/>
      <c r="AF106" s="80"/>
      <c r="AG106" s="80"/>
      <c r="AH106" s="80"/>
      <c r="AI106" s="80"/>
      <c r="AJ106" s="87">
        <v>43827.060891203706</v>
      </c>
      <c r="AK106" s="85" t="str">
        <f>HYPERLINK("https://yt3.ggpht.com/ytc/AAUvwniduO43CxlJB2fYR86JYOdgLkwpT3HR4NY8vA=s88-c-k-c0x00ffffff-no-rj")</f>
        <v>https://yt3.ggpht.com/ytc/AAUvwniduO43CxlJB2fYR86JYOdgLkwpT3HR4NY8vA=s88-c-k-c0x00ffffff-no-rj</v>
      </c>
      <c r="AL106" s="80">
        <v>0</v>
      </c>
      <c r="AM106" s="80">
        <v>0</v>
      </c>
      <c r="AN106" s="80">
        <v>0</v>
      </c>
      <c r="AO106" s="80" t="b">
        <v>0</v>
      </c>
      <c r="AP106" s="80">
        <v>0</v>
      </c>
      <c r="AQ106" s="80"/>
      <c r="AR106" s="80"/>
      <c r="AS106" s="80" t="s">
        <v>871</v>
      </c>
      <c r="AT106" s="85" t="str">
        <f>HYPERLINK("https://www.youtube.com/channel/UCjH5Umq46BMIsc8f8ETj5XQ")</f>
        <v>https://www.youtube.com/channel/UCjH5Umq46BMIsc8f8ETj5XQ</v>
      </c>
      <c r="AU106" s="80" t="str">
        <f>REPLACE(INDEX(GroupVertices[Group],MATCH(Vertices[[#This Row],[Vertex]],GroupVertices[Vertex],0)),1,1,"")</f>
        <v>1</v>
      </c>
      <c r="AV106" s="49">
        <v>1</v>
      </c>
      <c r="AW106" s="50">
        <v>33.333333333333336</v>
      </c>
      <c r="AX106" s="49">
        <v>0</v>
      </c>
      <c r="AY106" s="50">
        <v>0</v>
      </c>
      <c r="AZ106" s="49">
        <v>0</v>
      </c>
      <c r="BA106" s="50">
        <v>0</v>
      </c>
      <c r="BB106" s="49">
        <v>2</v>
      </c>
      <c r="BC106" s="50">
        <v>66.66666666666667</v>
      </c>
      <c r="BD106" s="49">
        <v>3</v>
      </c>
      <c r="BE106" s="49"/>
      <c r="BF106" s="49"/>
      <c r="BG106" s="49"/>
      <c r="BH106" s="49"/>
      <c r="BI106" s="49"/>
      <c r="BJ106" s="49"/>
      <c r="BK106" s="111" t="s">
        <v>1311</v>
      </c>
      <c r="BL106" s="111" t="s">
        <v>1311</v>
      </c>
      <c r="BM106" s="111" t="s">
        <v>1276</v>
      </c>
      <c r="BN106" s="111" t="s">
        <v>1276</v>
      </c>
      <c r="BO106" s="2"/>
      <c r="BP106" s="3"/>
      <c r="BQ106" s="3"/>
      <c r="BR106" s="3"/>
      <c r="BS106" s="3"/>
    </row>
    <row r="107" spans="1:71" ht="15">
      <c r="A107" s="65" t="s">
        <v>430</v>
      </c>
      <c r="B107" s="66"/>
      <c r="C107" s="66"/>
      <c r="D107" s="67">
        <v>150</v>
      </c>
      <c r="E107" s="69"/>
      <c r="F107" s="103" t="str">
        <f>HYPERLINK("https://yt3.ggpht.com/ytc/AAUvwngbev4M_6B5pkcR7GwfWbHDTf86wPlJ5Ettvw=s88-c-k-c0x00ffffff-no-rj")</f>
        <v>https://yt3.ggpht.com/ytc/AAUvwngbev4M_6B5pkcR7GwfWbHDTf86wPlJ5Ettvw=s88-c-k-c0x00ffffff-no-rj</v>
      </c>
      <c r="G107" s="66"/>
      <c r="H107" s="70" t="s">
        <v>770</v>
      </c>
      <c r="I107" s="71"/>
      <c r="J107" s="71" t="s">
        <v>159</v>
      </c>
      <c r="K107" s="70" t="s">
        <v>770</v>
      </c>
      <c r="L107" s="74">
        <v>1</v>
      </c>
      <c r="M107" s="75">
        <v>5809.3564453125</v>
      </c>
      <c r="N107" s="75">
        <v>3328.906494140625</v>
      </c>
      <c r="O107" s="76"/>
      <c r="P107" s="77"/>
      <c r="Q107" s="77"/>
      <c r="R107" s="89"/>
      <c r="S107" s="49">
        <v>0</v>
      </c>
      <c r="T107" s="49">
        <v>1</v>
      </c>
      <c r="U107" s="50">
        <v>0</v>
      </c>
      <c r="V107" s="50">
        <v>0.003021</v>
      </c>
      <c r="W107" s="50">
        <v>0.007133</v>
      </c>
      <c r="X107" s="50">
        <v>0.515381</v>
      </c>
      <c r="Y107" s="50">
        <v>0</v>
      </c>
      <c r="Z107" s="50">
        <v>0</v>
      </c>
      <c r="AA107" s="72">
        <v>107</v>
      </c>
      <c r="AB107" s="72"/>
      <c r="AC107" s="73"/>
      <c r="AD107" s="80" t="s">
        <v>770</v>
      </c>
      <c r="AE107" s="80"/>
      <c r="AF107" s="80"/>
      <c r="AG107" s="80"/>
      <c r="AH107" s="80"/>
      <c r="AI107" s="80"/>
      <c r="AJ107" s="87">
        <v>43023.88203703704</v>
      </c>
      <c r="AK107" s="85" t="str">
        <f>HYPERLINK("https://yt3.ggpht.com/ytc/AAUvwngbev4M_6B5pkcR7GwfWbHDTf86wPlJ5Ettvw=s88-c-k-c0x00ffffff-no-rj")</f>
        <v>https://yt3.ggpht.com/ytc/AAUvwngbev4M_6B5pkcR7GwfWbHDTf86wPlJ5Ettvw=s88-c-k-c0x00ffffff-no-rj</v>
      </c>
      <c r="AL107" s="80">
        <v>0</v>
      </c>
      <c r="AM107" s="80">
        <v>0</v>
      </c>
      <c r="AN107" s="80">
        <v>0</v>
      </c>
      <c r="AO107" s="80" t="b">
        <v>0</v>
      </c>
      <c r="AP107" s="80">
        <v>0</v>
      </c>
      <c r="AQ107" s="80"/>
      <c r="AR107" s="80"/>
      <c r="AS107" s="80" t="s">
        <v>871</v>
      </c>
      <c r="AT107" s="85" t="str">
        <f>HYPERLINK("https://www.youtube.com/channel/UCioSLRcj9zJtL3k5nYwbeKw")</f>
        <v>https://www.youtube.com/channel/UCioSLRcj9zJtL3k5nYwbeKw</v>
      </c>
      <c r="AU107" s="80" t="str">
        <f>REPLACE(INDEX(GroupVertices[Group],MATCH(Vertices[[#This Row],[Vertex]],GroupVertices[Vertex],0)),1,1,"")</f>
        <v>1</v>
      </c>
      <c r="AV107" s="49">
        <v>2</v>
      </c>
      <c r="AW107" s="50">
        <v>12.5</v>
      </c>
      <c r="AX107" s="49">
        <v>2</v>
      </c>
      <c r="AY107" s="50">
        <v>12.5</v>
      </c>
      <c r="AZ107" s="49">
        <v>0</v>
      </c>
      <c r="BA107" s="50">
        <v>0</v>
      </c>
      <c r="BB107" s="49">
        <v>12</v>
      </c>
      <c r="BC107" s="50">
        <v>75</v>
      </c>
      <c r="BD107" s="49">
        <v>16</v>
      </c>
      <c r="BE107" s="49"/>
      <c r="BF107" s="49"/>
      <c r="BG107" s="49"/>
      <c r="BH107" s="49"/>
      <c r="BI107" s="49"/>
      <c r="BJ107" s="49"/>
      <c r="BK107" s="111" t="s">
        <v>1355</v>
      </c>
      <c r="BL107" s="111" t="s">
        <v>1355</v>
      </c>
      <c r="BM107" s="111" t="s">
        <v>1426</v>
      </c>
      <c r="BN107" s="111" t="s">
        <v>1426</v>
      </c>
      <c r="BO107" s="2"/>
      <c r="BP107" s="3"/>
      <c r="BQ107" s="3"/>
      <c r="BR107" s="3"/>
      <c r="BS107" s="3"/>
    </row>
    <row r="108" spans="1:71" ht="15">
      <c r="A108" s="65" t="s">
        <v>431</v>
      </c>
      <c r="B108" s="66"/>
      <c r="C108" s="66"/>
      <c r="D108" s="67">
        <v>150</v>
      </c>
      <c r="E108" s="69"/>
      <c r="F108" s="103" t="str">
        <f>HYPERLINK("https://yt3.ggpht.com/ytc/AAUvwniKRA5sW8EynXJl-h0c5H4Usnu5VJdHI4Azrw=s88-c-k-c0x00ffffff-no-rj")</f>
        <v>https://yt3.ggpht.com/ytc/AAUvwniKRA5sW8EynXJl-h0c5H4Usnu5VJdHI4Azrw=s88-c-k-c0x00ffffff-no-rj</v>
      </c>
      <c r="G108" s="66"/>
      <c r="H108" s="70" t="s">
        <v>771</v>
      </c>
      <c r="I108" s="71"/>
      <c r="J108" s="71" t="s">
        <v>159</v>
      </c>
      <c r="K108" s="70" t="s">
        <v>771</v>
      </c>
      <c r="L108" s="74">
        <v>1</v>
      </c>
      <c r="M108" s="75">
        <v>5008.70361328125</v>
      </c>
      <c r="N108" s="75">
        <v>5226.1767578125</v>
      </c>
      <c r="O108" s="76"/>
      <c r="P108" s="77"/>
      <c r="Q108" s="77"/>
      <c r="R108" s="89"/>
      <c r="S108" s="49">
        <v>0</v>
      </c>
      <c r="T108" s="49">
        <v>1</v>
      </c>
      <c r="U108" s="50">
        <v>0</v>
      </c>
      <c r="V108" s="50">
        <v>0.003021</v>
      </c>
      <c r="W108" s="50">
        <v>0.007133</v>
      </c>
      <c r="X108" s="50">
        <v>0.515381</v>
      </c>
      <c r="Y108" s="50">
        <v>0</v>
      </c>
      <c r="Z108" s="50">
        <v>0</v>
      </c>
      <c r="AA108" s="72">
        <v>108</v>
      </c>
      <c r="AB108" s="72"/>
      <c r="AC108" s="73"/>
      <c r="AD108" s="80" t="s">
        <v>771</v>
      </c>
      <c r="AE108" s="80" t="s">
        <v>865</v>
      </c>
      <c r="AF108" s="80"/>
      <c r="AG108" s="80"/>
      <c r="AH108" s="80"/>
      <c r="AI108" s="80"/>
      <c r="AJ108" s="87">
        <v>43923.952048611114</v>
      </c>
      <c r="AK108" s="85" t="str">
        <f>HYPERLINK("https://yt3.ggpht.com/ytc/AAUvwniKRA5sW8EynXJl-h0c5H4Usnu5VJdHI4Azrw=s88-c-k-c0x00ffffff-no-rj")</f>
        <v>https://yt3.ggpht.com/ytc/AAUvwniKRA5sW8EynXJl-h0c5H4Usnu5VJdHI4Azrw=s88-c-k-c0x00ffffff-no-rj</v>
      </c>
      <c r="AL108" s="80">
        <v>7</v>
      </c>
      <c r="AM108" s="80">
        <v>0</v>
      </c>
      <c r="AN108" s="80">
        <v>0</v>
      </c>
      <c r="AO108" s="80" t="b">
        <v>0</v>
      </c>
      <c r="AP108" s="80">
        <v>1</v>
      </c>
      <c r="AQ108" s="80"/>
      <c r="AR108" s="80"/>
      <c r="AS108" s="80" t="s">
        <v>871</v>
      </c>
      <c r="AT108" s="85" t="str">
        <f>HYPERLINK("https://www.youtube.com/channel/UCBmePz6UeMu2W3fKvebPA3g")</f>
        <v>https://www.youtube.com/channel/UCBmePz6UeMu2W3fKvebPA3g</v>
      </c>
      <c r="AU108" s="80" t="str">
        <f>REPLACE(INDEX(GroupVertices[Group],MATCH(Vertices[[#This Row],[Vertex]],GroupVertices[Vertex],0)),1,1,"")</f>
        <v>1</v>
      </c>
      <c r="AV108" s="49">
        <v>1</v>
      </c>
      <c r="AW108" s="50">
        <v>7.6923076923076925</v>
      </c>
      <c r="AX108" s="49">
        <v>0</v>
      </c>
      <c r="AY108" s="50">
        <v>0</v>
      </c>
      <c r="AZ108" s="49">
        <v>0</v>
      </c>
      <c r="BA108" s="50">
        <v>0</v>
      </c>
      <c r="BB108" s="49">
        <v>12</v>
      </c>
      <c r="BC108" s="50">
        <v>92.3076923076923</v>
      </c>
      <c r="BD108" s="49">
        <v>13</v>
      </c>
      <c r="BE108" s="49"/>
      <c r="BF108" s="49"/>
      <c r="BG108" s="49"/>
      <c r="BH108" s="49"/>
      <c r="BI108" s="49"/>
      <c r="BJ108" s="49"/>
      <c r="BK108" s="111" t="s">
        <v>1356</v>
      </c>
      <c r="BL108" s="111" t="s">
        <v>1356</v>
      </c>
      <c r="BM108" s="111" t="s">
        <v>1427</v>
      </c>
      <c r="BN108" s="111" t="s">
        <v>1427</v>
      </c>
      <c r="BO108" s="2"/>
      <c r="BP108" s="3"/>
      <c r="BQ108" s="3"/>
      <c r="BR108" s="3"/>
      <c r="BS108" s="3"/>
    </row>
    <row r="109" spans="1:71" ht="15">
      <c r="A109" s="65" t="s">
        <v>432</v>
      </c>
      <c r="B109" s="66"/>
      <c r="C109" s="66"/>
      <c r="D109" s="67">
        <v>150</v>
      </c>
      <c r="E109" s="69"/>
      <c r="F109" s="103" t="str">
        <f>HYPERLINK("https://yt3.ggpht.com/ytc/AAUvwng0dym_U1bzzoTE7VK1AnYAZC_CgGMx_xpEHQ=s88-c-k-c0x00ffffff-no-rj")</f>
        <v>https://yt3.ggpht.com/ytc/AAUvwng0dym_U1bzzoTE7VK1AnYAZC_CgGMx_xpEHQ=s88-c-k-c0x00ffffff-no-rj</v>
      </c>
      <c r="G109" s="66"/>
      <c r="H109" s="70" t="s">
        <v>772</v>
      </c>
      <c r="I109" s="71"/>
      <c r="J109" s="71" t="s">
        <v>159</v>
      </c>
      <c r="K109" s="70" t="s">
        <v>772</v>
      </c>
      <c r="L109" s="74">
        <v>1</v>
      </c>
      <c r="M109" s="75">
        <v>5107.3271484375</v>
      </c>
      <c r="N109" s="75">
        <v>2987.684326171875</v>
      </c>
      <c r="O109" s="76"/>
      <c r="P109" s="77"/>
      <c r="Q109" s="77"/>
      <c r="R109" s="89"/>
      <c r="S109" s="49">
        <v>0</v>
      </c>
      <c r="T109" s="49">
        <v>1</v>
      </c>
      <c r="U109" s="50">
        <v>0</v>
      </c>
      <c r="V109" s="50">
        <v>0.003021</v>
      </c>
      <c r="W109" s="50">
        <v>0.007133</v>
      </c>
      <c r="X109" s="50">
        <v>0.515381</v>
      </c>
      <c r="Y109" s="50">
        <v>0</v>
      </c>
      <c r="Z109" s="50">
        <v>0</v>
      </c>
      <c r="AA109" s="72">
        <v>109</v>
      </c>
      <c r="AB109" s="72"/>
      <c r="AC109" s="73"/>
      <c r="AD109" s="80" t="s">
        <v>772</v>
      </c>
      <c r="AE109" s="80"/>
      <c r="AF109" s="80"/>
      <c r="AG109" s="80"/>
      <c r="AH109" s="80"/>
      <c r="AI109" s="80"/>
      <c r="AJ109" s="87">
        <v>44271.83288194444</v>
      </c>
      <c r="AK109" s="85" t="str">
        <f>HYPERLINK("https://yt3.ggpht.com/ytc/AAUvwng0dym_U1bzzoTE7VK1AnYAZC_CgGMx_xpEHQ=s88-c-k-c0x00ffffff-no-rj")</f>
        <v>https://yt3.ggpht.com/ytc/AAUvwng0dym_U1bzzoTE7VK1AnYAZC_CgGMx_xpEHQ=s88-c-k-c0x00ffffff-no-rj</v>
      </c>
      <c r="AL109" s="80">
        <v>0</v>
      </c>
      <c r="AM109" s="80">
        <v>0</v>
      </c>
      <c r="AN109" s="80">
        <v>0</v>
      </c>
      <c r="AO109" s="80" t="b">
        <v>0</v>
      </c>
      <c r="AP109" s="80">
        <v>0</v>
      </c>
      <c r="AQ109" s="80"/>
      <c r="AR109" s="80"/>
      <c r="AS109" s="80" t="s">
        <v>871</v>
      </c>
      <c r="AT109" s="85" t="str">
        <f>HYPERLINK("https://www.youtube.com/channel/UCAN4uY_roKpSkrVUxY18DGQ")</f>
        <v>https://www.youtube.com/channel/UCAN4uY_roKpSkrVUxY18DGQ</v>
      </c>
      <c r="AU109" s="80" t="str">
        <f>REPLACE(INDEX(GroupVertices[Group],MATCH(Vertices[[#This Row],[Vertex]],GroupVertices[Vertex],0)),1,1,"")</f>
        <v>1</v>
      </c>
      <c r="AV109" s="49">
        <v>2</v>
      </c>
      <c r="AW109" s="50">
        <v>9.523809523809524</v>
      </c>
      <c r="AX109" s="49">
        <v>1</v>
      </c>
      <c r="AY109" s="50">
        <v>4.761904761904762</v>
      </c>
      <c r="AZ109" s="49">
        <v>0</v>
      </c>
      <c r="BA109" s="50">
        <v>0</v>
      </c>
      <c r="BB109" s="49">
        <v>19</v>
      </c>
      <c r="BC109" s="50">
        <v>90.47619047619048</v>
      </c>
      <c r="BD109" s="49">
        <v>21</v>
      </c>
      <c r="BE109" s="49"/>
      <c r="BF109" s="49"/>
      <c r="BG109" s="49"/>
      <c r="BH109" s="49"/>
      <c r="BI109" s="49"/>
      <c r="BJ109" s="49"/>
      <c r="BK109" s="111" t="s">
        <v>1357</v>
      </c>
      <c r="BL109" s="111" t="s">
        <v>1357</v>
      </c>
      <c r="BM109" s="111" t="s">
        <v>1428</v>
      </c>
      <c r="BN109" s="111" t="s">
        <v>1428</v>
      </c>
      <c r="BO109" s="2"/>
      <c r="BP109" s="3"/>
      <c r="BQ109" s="3"/>
      <c r="BR109" s="3"/>
      <c r="BS109" s="3"/>
    </row>
    <row r="110" spans="1:71" ht="15">
      <c r="A110" s="65" t="s">
        <v>433</v>
      </c>
      <c r="B110" s="66"/>
      <c r="C110" s="66"/>
      <c r="D110" s="67">
        <v>150</v>
      </c>
      <c r="E110" s="69"/>
      <c r="F110" s="103" t="str">
        <f>HYPERLINK("https://yt3.ggpht.com/ytc/AAUvwnj3EH-gYK1aM-KH-Qds2L3H6wDBY4_sFkz_JQ=s88-c-k-c0x00ffffff-no-rj")</f>
        <v>https://yt3.ggpht.com/ytc/AAUvwnj3EH-gYK1aM-KH-Qds2L3H6wDBY4_sFkz_JQ=s88-c-k-c0x00ffffff-no-rj</v>
      </c>
      <c r="G110" s="66"/>
      <c r="H110" s="70" t="s">
        <v>773</v>
      </c>
      <c r="I110" s="71"/>
      <c r="J110" s="71" t="s">
        <v>159</v>
      </c>
      <c r="K110" s="70" t="s">
        <v>773</v>
      </c>
      <c r="L110" s="74">
        <v>1</v>
      </c>
      <c r="M110" s="75">
        <v>9144.5205078125</v>
      </c>
      <c r="N110" s="75">
        <v>5006.724609375</v>
      </c>
      <c r="O110" s="76"/>
      <c r="P110" s="77"/>
      <c r="Q110" s="77"/>
      <c r="R110" s="89"/>
      <c r="S110" s="49">
        <v>0</v>
      </c>
      <c r="T110" s="49">
        <v>1</v>
      </c>
      <c r="U110" s="50">
        <v>0</v>
      </c>
      <c r="V110" s="50">
        <v>0.002092</v>
      </c>
      <c r="W110" s="50">
        <v>0.000618</v>
      </c>
      <c r="X110" s="50">
        <v>0.571108</v>
      </c>
      <c r="Y110" s="50">
        <v>0</v>
      </c>
      <c r="Z110" s="50">
        <v>0</v>
      </c>
      <c r="AA110" s="72">
        <v>110</v>
      </c>
      <c r="AB110" s="72"/>
      <c r="AC110" s="73"/>
      <c r="AD110" s="80" t="s">
        <v>773</v>
      </c>
      <c r="AE110" s="80"/>
      <c r="AF110" s="80"/>
      <c r="AG110" s="80"/>
      <c r="AH110" s="80"/>
      <c r="AI110" s="80"/>
      <c r="AJ110" s="87">
        <v>42285.77755787037</v>
      </c>
      <c r="AK110" s="85" t="str">
        <f>HYPERLINK("https://yt3.ggpht.com/ytc/AAUvwnj3EH-gYK1aM-KH-Qds2L3H6wDBY4_sFkz_JQ=s88-c-k-c0x00ffffff-no-rj")</f>
        <v>https://yt3.ggpht.com/ytc/AAUvwnj3EH-gYK1aM-KH-Qds2L3H6wDBY4_sFkz_JQ=s88-c-k-c0x00ffffff-no-rj</v>
      </c>
      <c r="AL110" s="80">
        <v>2</v>
      </c>
      <c r="AM110" s="80">
        <v>0</v>
      </c>
      <c r="AN110" s="80">
        <v>0</v>
      </c>
      <c r="AO110" s="80" t="b">
        <v>0</v>
      </c>
      <c r="AP110" s="80">
        <v>2</v>
      </c>
      <c r="AQ110" s="80"/>
      <c r="AR110" s="80"/>
      <c r="AS110" s="80" t="s">
        <v>871</v>
      </c>
      <c r="AT110" s="85" t="str">
        <f>HYPERLINK("https://www.youtube.com/channel/UC2MLcUNh-oyy4j-1lbt7qSw")</f>
        <v>https://www.youtube.com/channel/UC2MLcUNh-oyy4j-1lbt7qSw</v>
      </c>
      <c r="AU110" s="80" t="str">
        <f>REPLACE(INDEX(GroupVertices[Group],MATCH(Vertices[[#This Row],[Vertex]],GroupVertices[Vertex],0)),1,1,"")</f>
        <v>6</v>
      </c>
      <c r="AV110" s="49">
        <v>0</v>
      </c>
      <c r="AW110" s="50">
        <v>0</v>
      </c>
      <c r="AX110" s="49">
        <v>0</v>
      </c>
      <c r="AY110" s="50">
        <v>0</v>
      </c>
      <c r="AZ110" s="49">
        <v>0</v>
      </c>
      <c r="BA110" s="50">
        <v>0</v>
      </c>
      <c r="BB110" s="49">
        <v>6</v>
      </c>
      <c r="BC110" s="50">
        <v>100</v>
      </c>
      <c r="BD110" s="49">
        <v>6</v>
      </c>
      <c r="BE110" s="49"/>
      <c r="BF110" s="49"/>
      <c r="BG110" s="49"/>
      <c r="BH110" s="49"/>
      <c r="BI110" s="49"/>
      <c r="BJ110" s="49"/>
      <c r="BK110" s="111" t="s">
        <v>1358</v>
      </c>
      <c r="BL110" s="111" t="s">
        <v>1358</v>
      </c>
      <c r="BM110" s="111" t="s">
        <v>1429</v>
      </c>
      <c r="BN110" s="111" t="s">
        <v>1429</v>
      </c>
      <c r="BO110" s="2"/>
      <c r="BP110" s="3"/>
      <c r="BQ110" s="3"/>
      <c r="BR110" s="3"/>
      <c r="BS110" s="3"/>
    </row>
    <row r="111" spans="1:71" ht="15">
      <c r="A111" s="65" t="s">
        <v>435</v>
      </c>
      <c r="B111" s="66"/>
      <c r="C111" s="66"/>
      <c r="D111" s="67">
        <v>575</v>
      </c>
      <c r="E111" s="69"/>
      <c r="F111" s="103" t="str">
        <f>HYPERLINK("https://yt3.ggpht.com/ytc/AAUvwni_XiLKBU3-utaZWwkHfxvpb-OlBUa_isPQ7w=s88-c-k-c0x00ffffff-no-rj")</f>
        <v>https://yt3.ggpht.com/ytc/AAUvwni_XiLKBU3-utaZWwkHfxvpb-OlBUa_isPQ7w=s88-c-k-c0x00ffffff-no-rj</v>
      </c>
      <c r="G111" s="66"/>
      <c r="H111" s="70" t="s">
        <v>775</v>
      </c>
      <c r="I111" s="71"/>
      <c r="J111" s="71" t="s">
        <v>159</v>
      </c>
      <c r="K111" s="70" t="s">
        <v>775</v>
      </c>
      <c r="L111" s="74">
        <v>160.968</v>
      </c>
      <c r="M111" s="75">
        <v>9144.5205078125</v>
      </c>
      <c r="N111" s="75">
        <v>4212.00634765625</v>
      </c>
      <c r="O111" s="76"/>
      <c r="P111" s="77"/>
      <c r="Q111" s="77"/>
      <c r="R111" s="89"/>
      <c r="S111" s="49">
        <v>2</v>
      </c>
      <c r="T111" s="49">
        <v>1</v>
      </c>
      <c r="U111" s="50">
        <v>602</v>
      </c>
      <c r="V111" s="50">
        <v>0.003058</v>
      </c>
      <c r="W111" s="50">
        <v>0.007239</v>
      </c>
      <c r="X111" s="50">
        <v>1.486263</v>
      </c>
      <c r="Y111" s="50">
        <v>0</v>
      </c>
      <c r="Z111" s="50">
        <v>0</v>
      </c>
      <c r="AA111" s="72">
        <v>111</v>
      </c>
      <c r="AB111" s="72"/>
      <c r="AC111" s="73"/>
      <c r="AD111" s="80" t="s">
        <v>775</v>
      </c>
      <c r="AE111" s="80"/>
      <c r="AF111" s="80"/>
      <c r="AG111" s="80"/>
      <c r="AH111" s="80"/>
      <c r="AI111" s="80"/>
      <c r="AJ111" s="87">
        <v>41910.81555555556</v>
      </c>
      <c r="AK111" s="85" t="str">
        <f>HYPERLINK("https://yt3.ggpht.com/ytc/AAUvwni_XiLKBU3-utaZWwkHfxvpb-OlBUa_isPQ7w=s88-c-k-c0x00ffffff-no-rj")</f>
        <v>https://yt3.ggpht.com/ytc/AAUvwni_XiLKBU3-utaZWwkHfxvpb-OlBUa_isPQ7w=s88-c-k-c0x00ffffff-no-rj</v>
      </c>
      <c r="AL111" s="80">
        <v>0</v>
      </c>
      <c r="AM111" s="80">
        <v>0</v>
      </c>
      <c r="AN111" s="80">
        <v>1</v>
      </c>
      <c r="AO111" s="80" t="b">
        <v>0</v>
      </c>
      <c r="AP111" s="80">
        <v>0</v>
      </c>
      <c r="AQ111" s="80"/>
      <c r="AR111" s="80"/>
      <c r="AS111" s="80" t="s">
        <v>871</v>
      </c>
      <c r="AT111" s="85" t="str">
        <f>HYPERLINK("https://www.youtube.com/channel/UCXMluouhfLoLfPWbA13Naug")</f>
        <v>https://www.youtube.com/channel/UCXMluouhfLoLfPWbA13Naug</v>
      </c>
      <c r="AU111" s="80" t="str">
        <f>REPLACE(INDEX(GroupVertices[Group],MATCH(Vertices[[#This Row],[Vertex]],GroupVertices[Vertex],0)),1,1,"")</f>
        <v>6</v>
      </c>
      <c r="AV111" s="49">
        <v>0</v>
      </c>
      <c r="AW111" s="50">
        <v>0</v>
      </c>
      <c r="AX111" s="49">
        <v>0</v>
      </c>
      <c r="AY111" s="50">
        <v>0</v>
      </c>
      <c r="AZ111" s="49">
        <v>0</v>
      </c>
      <c r="BA111" s="50">
        <v>0</v>
      </c>
      <c r="BB111" s="49">
        <v>20</v>
      </c>
      <c r="BC111" s="50">
        <v>100</v>
      </c>
      <c r="BD111" s="49">
        <v>20</v>
      </c>
      <c r="BE111" s="49"/>
      <c r="BF111" s="49"/>
      <c r="BG111" s="49"/>
      <c r="BH111" s="49"/>
      <c r="BI111" s="49"/>
      <c r="BJ111" s="49"/>
      <c r="BK111" s="111" t="s">
        <v>1359</v>
      </c>
      <c r="BL111" s="111" t="s">
        <v>1359</v>
      </c>
      <c r="BM111" s="111" t="s">
        <v>1430</v>
      </c>
      <c r="BN111" s="111" t="s">
        <v>1430</v>
      </c>
      <c r="BO111" s="2"/>
      <c r="BP111" s="3"/>
      <c r="BQ111" s="3"/>
      <c r="BR111" s="3"/>
      <c r="BS111" s="3"/>
    </row>
    <row r="112" spans="1:71" ht="15">
      <c r="A112" s="65" t="s">
        <v>434</v>
      </c>
      <c r="B112" s="66"/>
      <c r="C112" s="66"/>
      <c r="D112" s="67">
        <v>150</v>
      </c>
      <c r="E112" s="69"/>
      <c r="F112" s="103" t="str">
        <f>HYPERLINK("https://yt3.ggpht.com/ytc/AAUvwngNInfUeYn4uEJrd5EgC0AhUTHIRvDN1Zwxfw=s88-c-k-c0x00ffffff-no-rj")</f>
        <v>https://yt3.ggpht.com/ytc/AAUvwngNInfUeYn4uEJrd5EgC0AhUTHIRvDN1Zwxfw=s88-c-k-c0x00ffffff-no-rj</v>
      </c>
      <c r="G112" s="66"/>
      <c r="H112" s="70" t="s">
        <v>774</v>
      </c>
      <c r="I112" s="71"/>
      <c r="J112" s="71" t="s">
        <v>159</v>
      </c>
      <c r="K112" s="70" t="s">
        <v>774</v>
      </c>
      <c r="L112" s="74">
        <v>1</v>
      </c>
      <c r="M112" s="75">
        <v>9643.41015625</v>
      </c>
      <c r="N112" s="75">
        <v>5006.724609375</v>
      </c>
      <c r="O112" s="76"/>
      <c r="P112" s="77"/>
      <c r="Q112" s="77"/>
      <c r="R112" s="89"/>
      <c r="S112" s="49">
        <v>0</v>
      </c>
      <c r="T112" s="49">
        <v>1</v>
      </c>
      <c r="U112" s="50">
        <v>0</v>
      </c>
      <c r="V112" s="50">
        <v>0.002092</v>
      </c>
      <c r="W112" s="50">
        <v>0.000618</v>
      </c>
      <c r="X112" s="50">
        <v>0.571108</v>
      </c>
      <c r="Y112" s="50">
        <v>0</v>
      </c>
      <c r="Z112" s="50">
        <v>0</v>
      </c>
      <c r="AA112" s="72">
        <v>112</v>
      </c>
      <c r="AB112" s="72"/>
      <c r="AC112" s="73"/>
      <c r="AD112" s="80" t="s">
        <v>774</v>
      </c>
      <c r="AE112" s="80"/>
      <c r="AF112" s="80"/>
      <c r="AG112" s="80"/>
      <c r="AH112" s="80"/>
      <c r="AI112" s="80"/>
      <c r="AJ112" s="87">
        <v>44114.733981481484</v>
      </c>
      <c r="AK112" s="85" t="str">
        <f>HYPERLINK("https://yt3.ggpht.com/ytc/AAUvwngNInfUeYn4uEJrd5EgC0AhUTHIRvDN1Zwxfw=s88-c-k-c0x00ffffff-no-rj")</f>
        <v>https://yt3.ggpht.com/ytc/AAUvwngNInfUeYn4uEJrd5EgC0AhUTHIRvDN1Zwxfw=s88-c-k-c0x00ffffff-no-rj</v>
      </c>
      <c r="AL112" s="80">
        <v>0</v>
      </c>
      <c r="AM112" s="80">
        <v>0</v>
      </c>
      <c r="AN112" s="80">
        <v>0</v>
      </c>
      <c r="AO112" s="80" t="b">
        <v>0</v>
      </c>
      <c r="AP112" s="80">
        <v>0</v>
      </c>
      <c r="AQ112" s="80"/>
      <c r="AR112" s="80"/>
      <c r="AS112" s="80" t="s">
        <v>871</v>
      </c>
      <c r="AT112" s="85" t="str">
        <f>HYPERLINK("https://www.youtube.com/channel/UCYGAMP9drMcOky1t2OM_9eg")</f>
        <v>https://www.youtube.com/channel/UCYGAMP9drMcOky1t2OM_9eg</v>
      </c>
      <c r="AU112" s="80" t="str">
        <f>REPLACE(INDEX(GroupVertices[Group],MATCH(Vertices[[#This Row],[Vertex]],GroupVertices[Vertex],0)),1,1,"")</f>
        <v>6</v>
      </c>
      <c r="AV112" s="49">
        <v>1</v>
      </c>
      <c r="AW112" s="50">
        <v>4</v>
      </c>
      <c r="AX112" s="49">
        <v>0</v>
      </c>
      <c r="AY112" s="50">
        <v>0</v>
      </c>
      <c r="AZ112" s="49">
        <v>0</v>
      </c>
      <c r="BA112" s="50">
        <v>0</v>
      </c>
      <c r="BB112" s="49">
        <v>24</v>
      </c>
      <c r="BC112" s="50">
        <v>96</v>
      </c>
      <c r="BD112" s="49">
        <v>25</v>
      </c>
      <c r="BE112" s="49"/>
      <c r="BF112" s="49"/>
      <c r="BG112" s="49"/>
      <c r="BH112" s="49"/>
      <c r="BI112" s="49"/>
      <c r="BJ112" s="49"/>
      <c r="BK112" s="111" t="s">
        <v>1523</v>
      </c>
      <c r="BL112" s="111" t="s">
        <v>1523</v>
      </c>
      <c r="BM112" s="111" t="s">
        <v>1589</v>
      </c>
      <c r="BN112" s="111" t="s">
        <v>1589</v>
      </c>
      <c r="BO112" s="2"/>
      <c r="BP112" s="3"/>
      <c r="BQ112" s="3"/>
      <c r="BR112" s="3"/>
      <c r="BS112" s="3"/>
    </row>
    <row r="113" spans="1:71" ht="15">
      <c r="A113" s="65" t="s">
        <v>436</v>
      </c>
      <c r="B113" s="66"/>
      <c r="C113" s="66"/>
      <c r="D113" s="67">
        <v>150</v>
      </c>
      <c r="E113" s="69"/>
      <c r="F113" s="103" t="str">
        <f>HYPERLINK("https://yt3.ggpht.com/ytc/AAUvwngYAhlrQziKFG0sJ9nup_zmVXCZT6ueMKvvlw=s88-c-k-c0x00ffffff-no-rj")</f>
        <v>https://yt3.ggpht.com/ytc/AAUvwngYAhlrQziKFG0sJ9nup_zmVXCZT6ueMKvvlw=s88-c-k-c0x00ffffff-no-rj</v>
      </c>
      <c r="G113" s="66"/>
      <c r="H113" s="70" t="s">
        <v>776</v>
      </c>
      <c r="I113" s="71"/>
      <c r="J113" s="71" t="s">
        <v>159</v>
      </c>
      <c r="K113" s="70" t="s">
        <v>776</v>
      </c>
      <c r="L113" s="74">
        <v>1</v>
      </c>
      <c r="M113" s="75">
        <v>7918.52880859375</v>
      </c>
      <c r="N113" s="75">
        <v>3312.530029296875</v>
      </c>
      <c r="O113" s="76"/>
      <c r="P113" s="77"/>
      <c r="Q113" s="77"/>
      <c r="R113" s="89"/>
      <c r="S113" s="49">
        <v>0</v>
      </c>
      <c r="T113" s="49">
        <v>1</v>
      </c>
      <c r="U113" s="50">
        <v>0</v>
      </c>
      <c r="V113" s="50">
        <v>0.002083</v>
      </c>
      <c r="W113" s="50">
        <v>0.000613</v>
      </c>
      <c r="X113" s="50">
        <v>0.577748</v>
      </c>
      <c r="Y113" s="50">
        <v>0</v>
      </c>
      <c r="Z113" s="50">
        <v>0</v>
      </c>
      <c r="AA113" s="72">
        <v>113</v>
      </c>
      <c r="AB113" s="72"/>
      <c r="AC113" s="73"/>
      <c r="AD113" s="80" t="s">
        <v>776</v>
      </c>
      <c r="AE113" s="80"/>
      <c r="AF113" s="80"/>
      <c r="AG113" s="80"/>
      <c r="AH113" s="80"/>
      <c r="AI113" s="80"/>
      <c r="AJ113" s="87">
        <v>44064.68716435185</v>
      </c>
      <c r="AK113" s="85" t="str">
        <f>HYPERLINK("https://yt3.ggpht.com/ytc/AAUvwngYAhlrQziKFG0sJ9nup_zmVXCZT6ueMKvvlw=s88-c-k-c0x00ffffff-no-rj")</f>
        <v>https://yt3.ggpht.com/ytc/AAUvwngYAhlrQziKFG0sJ9nup_zmVXCZT6ueMKvvlw=s88-c-k-c0x00ffffff-no-rj</v>
      </c>
      <c r="AL113" s="80">
        <v>0</v>
      </c>
      <c r="AM113" s="80">
        <v>0</v>
      </c>
      <c r="AN113" s="80">
        <v>0</v>
      </c>
      <c r="AO113" s="80" t="b">
        <v>0</v>
      </c>
      <c r="AP113" s="80">
        <v>0</v>
      </c>
      <c r="AQ113" s="80"/>
      <c r="AR113" s="80"/>
      <c r="AS113" s="80" t="s">
        <v>871</v>
      </c>
      <c r="AT113" s="85" t="str">
        <f>HYPERLINK("https://www.youtube.com/channel/UCk4e6mTluJOLbmB8w74YucA")</f>
        <v>https://www.youtube.com/channel/UCk4e6mTluJOLbmB8w74YucA</v>
      </c>
      <c r="AU113" s="80" t="str">
        <f>REPLACE(INDEX(GroupVertices[Group],MATCH(Vertices[[#This Row],[Vertex]],GroupVertices[Vertex],0)),1,1,"")</f>
        <v>14</v>
      </c>
      <c r="AV113" s="49">
        <v>0</v>
      </c>
      <c r="AW113" s="50">
        <v>0</v>
      </c>
      <c r="AX113" s="49">
        <v>0</v>
      </c>
      <c r="AY113" s="50">
        <v>0</v>
      </c>
      <c r="AZ113" s="49">
        <v>0</v>
      </c>
      <c r="BA113" s="50">
        <v>0</v>
      </c>
      <c r="BB113" s="49">
        <v>0</v>
      </c>
      <c r="BC113" s="50">
        <v>0</v>
      </c>
      <c r="BD113" s="49">
        <v>0</v>
      </c>
      <c r="BE113" s="49"/>
      <c r="BF113" s="49"/>
      <c r="BG113" s="49"/>
      <c r="BH113" s="49"/>
      <c r="BI113" s="49"/>
      <c r="BJ113" s="49"/>
      <c r="BK113" s="111" t="s">
        <v>843</v>
      </c>
      <c r="BL113" s="111" t="s">
        <v>843</v>
      </c>
      <c r="BM113" s="111" t="s">
        <v>843</v>
      </c>
      <c r="BN113" s="111" t="s">
        <v>843</v>
      </c>
      <c r="BO113" s="2"/>
      <c r="BP113" s="3"/>
      <c r="BQ113" s="3"/>
      <c r="BR113" s="3"/>
      <c r="BS113" s="3"/>
    </row>
    <row r="114" spans="1:71" ht="15">
      <c r="A114" s="65" t="s">
        <v>437</v>
      </c>
      <c r="B114" s="66"/>
      <c r="C114" s="66"/>
      <c r="D114" s="67">
        <v>362.5</v>
      </c>
      <c r="E114" s="69"/>
      <c r="F114" s="103" t="str">
        <f>HYPERLINK("https://yt3.ggpht.com/ytc/AAUvwnhxsAZ3bjI9nVgC4CFkrgg6fwweFnVe5u9BNdrT=s88-c-k-c0x00ffffff-no-rj")</f>
        <v>https://yt3.ggpht.com/ytc/AAUvwnhxsAZ3bjI9nVgC4CFkrgg6fwweFnVe5u9BNdrT=s88-c-k-c0x00ffffff-no-rj</v>
      </c>
      <c r="G114" s="66"/>
      <c r="H114" s="70" t="s">
        <v>777</v>
      </c>
      <c r="I114" s="71"/>
      <c r="J114" s="71" t="s">
        <v>159</v>
      </c>
      <c r="K114" s="70" t="s">
        <v>777</v>
      </c>
      <c r="L114" s="74">
        <v>80.984</v>
      </c>
      <c r="M114" s="75">
        <v>7918.52880859375</v>
      </c>
      <c r="N114" s="75">
        <v>2597.28369140625</v>
      </c>
      <c r="O114" s="76"/>
      <c r="P114" s="77"/>
      <c r="Q114" s="77"/>
      <c r="R114" s="89"/>
      <c r="S114" s="49">
        <v>1</v>
      </c>
      <c r="T114" s="49">
        <v>1</v>
      </c>
      <c r="U114" s="50">
        <v>302</v>
      </c>
      <c r="V114" s="50">
        <v>0.00304</v>
      </c>
      <c r="W114" s="50">
        <v>0.007186</v>
      </c>
      <c r="X114" s="50">
        <v>1.006466</v>
      </c>
      <c r="Y114" s="50">
        <v>0</v>
      </c>
      <c r="Z114" s="50">
        <v>0</v>
      </c>
      <c r="AA114" s="72">
        <v>114</v>
      </c>
      <c r="AB114" s="72"/>
      <c r="AC114" s="73"/>
      <c r="AD114" s="80" t="s">
        <v>777</v>
      </c>
      <c r="AE114" s="80"/>
      <c r="AF114" s="80"/>
      <c r="AG114" s="80"/>
      <c r="AH114" s="80"/>
      <c r="AI114" s="80"/>
      <c r="AJ114" s="87">
        <v>43097.48546296296</v>
      </c>
      <c r="AK114" s="85" t="str">
        <f>HYPERLINK("https://yt3.ggpht.com/ytc/AAUvwnhxsAZ3bjI9nVgC4CFkrgg6fwweFnVe5u9BNdrT=s88-c-k-c0x00ffffff-no-rj")</f>
        <v>https://yt3.ggpht.com/ytc/AAUvwnhxsAZ3bjI9nVgC4CFkrgg6fwweFnVe5u9BNdrT=s88-c-k-c0x00ffffff-no-rj</v>
      </c>
      <c r="AL114" s="80">
        <v>0</v>
      </c>
      <c r="AM114" s="80">
        <v>0</v>
      </c>
      <c r="AN114" s="80">
        <v>1</v>
      </c>
      <c r="AO114" s="80" t="b">
        <v>0</v>
      </c>
      <c r="AP114" s="80">
        <v>0</v>
      </c>
      <c r="AQ114" s="80"/>
      <c r="AR114" s="80"/>
      <c r="AS114" s="80" t="s">
        <v>871</v>
      </c>
      <c r="AT114" s="85" t="str">
        <f>HYPERLINK("https://www.youtube.com/channel/UCj2C6wNGxiTT7IXA-sB5F_g")</f>
        <v>https://www.youtube.com/channel/UCj2C6wNGxiTT7IXA-sB5F_g</v>
      </c>
      <c r="AU114" s="80" t="str">
        <f>REPLACE(INDEX(GroupVertices[Group],MATCH(Vertices[[#This Row],[Vertex]],GroupVertices[Vertex],0)),1,1,"")</f>
        <v>14</v>
      </c>
      <c r="AV114" s="49">
        <v>1</v>
      </c>
      <c r="AW114" s="50">
        <v>2.5</v>
      </c>
      <c r="AX114" s="49">
        <v>2</v>
      </c>
      <c r="AY114" s="50">
        <v>5</v>
      </c>
      <c r="AZ114" s="49">
        <v>0</v>
      </c>
      <c r="BA114" s="50">
        <v>0</v>
      </c>
      <c r="BB114" s="49">
        <v>37</v>
      </c>
      <c r="BC114" s="50">
        <v>92.5</v>
      </c>
      <c r="BD114" s="49">
        <v>40</v>
      </c>
      <c r="BE114" s="49"/>
      <c r="BF114" s="49"/>
      <c r="BG114" s="49"/>
      <c r="BH114" s="49"/>
      <c r="BI114" s="49"/>
      <c r="BJ114" s="49"/>
      <c r="BK114" s="111" t="s">
        <v>1524</v>
      </c>
      <c r="BL114" s="111" t="s">
        <v>1524</v>
      </c>
      <c r="BM114" s="111" t="s">
        <v>1590</v>
      </c>
      <c r="BN114" s="111" t="s">
        <v>1590</v>
      </c>
      <c r="BO114" s="2"/>
      <c r="BP114" s="3"/>
      <c r="BQ114" s="3"/>
      <c r="BR114" s="3"/>
      <c r="BS114" s="3"/>
    </row>
    <row r="115" spans="1:71" ht="15">
      <c r="A115" s="65" t="s">
        <v>438</v>
      </c>
      <c r="B115" s="66"/>
      <c r="C115" s="66"/>
      <c r="D115" s="67">
        <v>150</v>
      </c>
      <c r="E115" s="69"/>
      <c r="F115" s="103" t="str">
        <f>HYPERLINK("https://yt3.ggpht.com/ytc/AAUvwngY-cDRq2FkANs_Jrc6bRxLa06ORnkgfuxEKY7ZGAM=s88-c-k-c0x00ffffff-no-rj")</f>
        <v>https://yt3.ggpht.com/ytc/AAUvwngY-cDRq2FkANs_Jrc6bRxLa06ORnkgfuxEKY7ZGAM=s88-c-k-c0x00ffffff-no-rj</v>
      </c>
      <c r="G115" s="66"/>
      <c r="H115" s="70" t="s">
        <v>778</v>
      </c>
      <c r="I115" s="71"/>
      <c r="J115" s="71" t="s">
        <v>159</v>
      </c>
      <c r="K115" s="70" t="s">
        <v>778</v>
      </c>
      <c r="L115" s="74">
        <v>1</v>
      </c>
      <c r="M115" s="75">
        <v>6061.68798828125</v>
      </c>
      <c r="N115" s="75">
        <v>4253.59130859375</v>
      </c>
      <c r="O115" s="76"/>
      <c r="P115" s="77"/>
      <c r="Q115" s="77"/>
      <c r="R115" s="89"/>
      <c r="S115" s="49">
        <v>0</v>
      </c>
      <c r="T115" s="49">
        <v>1</v>
      </c>
      <c r="U115" s="50">
        <v>0</v>
      </c>
      <c r="V115" s="50">
        <v>0.003021</v>
      </c>
      <c r="W115" s="50">
        <v>0.007133</v>
      </c>
      <c r="X115" s="50">
        <v>0.515381</v>
      </c>
      <c r="Y115" s="50">
        <v>0</v>
      </c>
      <c r="Z115" s="50">
        <v>0</v>
      </c>
      <c r="AA115" s="72">
        <v>115</v>
      </c>
      <c r="AB115" s="72"/>
      <c r="AC115" s="73"/>
      <c r="AD115" s="80" t="s">
        <v>778</v>
      </c>
      <c r="AE115" s="80"/>
      <c r="AF115" s="80"/>
      <c r="AG115" s="80"/>
      <c r="AH115" s="80"/>
      <c r="AI115" s="80"/>
      <c r="AJ115" s="87">
        <v>41828.0868287037</v>
      </c>
      <c r="AK115" s="85" t="str">
        <f>HYPERLINK("https://yt3.ggpht.com/ytc/AAUvwngY-cDRq2FkANs_Jrc6bRxLa06ORnkgfuxEKY7ZGAM=s88-c-k-c0x00ffffff-no-rj")</f>
        <v>https://yt3.ggpht.com/ytc/AAUvwngY-cDRq2FkANs_Jrc6bRxLa06ORnkgfuxEKY7ZGAM=s88-c-k-c0x00ffffff-no-rj</v>
      </c>
      <c r="AL115" s="80">
        <v>0</v>
      </c>
      <c r="AM115" s="80">
        <v>0</v>
      </c>
      <c r="AN115" s="80">
        <v>60</v>
      </c>
      <c r="AO115" s="80" t="b">
        <v>0</v>
      </c>
      <c r="AP115" s="80">
        <v>0</v>
      </c>
      <c r="AQ115" s="80"/>
      <c r="AR115" s="80"/>
      <c r="AS115" s="80" t="s">
        <v>871</v>
      </c>
      <c r="AT115" s="85" t="str">
        <f>HYPERLINK("https://www.youtube.com/channel/UCA7xKJlipwbl4J5Qlpgu7Lw")</f>
        <v>https://www.youtube.com/channel/UCA7xKJlipwbl4J5Qlpgu7Lw</v>
      </c>
      <c r="AU115" s="80" t="str">
        <f>REPLACE(INDEX(GroupVertices[Group],MATCH(Vertices[[#This Row],[Vertex]],GroupVertices[Vertex],0)),1,1,"")</f>
        <v>1</v>
      </c>
      <c r="AV115" s="49">
        <v>1</v>
      </c>
      <c r="AW115" s="50">
        <v>16.666666666666668</v>
      </c>
      <c r="AX115" s="49">
        <v>1</v>
      </c>
      <c r="AY115" s="50">
        <v>16.666666666666668</v>
      </c>
      <c r="AZ115" s="49">
        <v>0</v>
      </c>
      <c r="BA115" s="50">
        <v>0</v>
      </c>
      <c r="BB115" s="49">
        <v>5</v>
      </c>
      <c r="BC115" s="50">
        <v>83.33333333333333</v>
      </c>
      <c r="BD115" s="49">
        <v>6</v>
      </c>
      <c r="BE115" s="49"/>
      <c r="BF115" s="49"/>
      <c r="BG115" s="49"/>
      <c r="BH115" s="49"/>
      <c r="BI115" s="49"/>
      <c r="BJ115" s="49"/>
      <c r="BK115" s="111" t="s">
        <v>1360</v>
      </c>
      <c r="BL115" s="111" t="s">
        <v>1360</v>
      </c>
      <c r="BM115" s="111" t="s">
        <v>1431</v>
      </c>
      <c r="BN115" s="111" t="s">
        <v>1431</v>
      </c>
      <c r="BO115" s="2"/>
      <c r="BP115" s="3"/>
      <c r="BQ115" s="3"/>
      <c r="BR115" s="3"/>
      <c r="BS115" s="3"/>
    </row>
    <row r="116" spans="1:71" ht="15">
      <c r="A116" s="65" t="s">
        <v>439</v>
      </c>
      <c r="B116" s="66"/>
      <c r="C116" s="66"/>
      <c r="D116" s="67">
        <v>150</v>
      </c>
      <c r="E116" s="69"/>
      <c r="F116" s="103" t="str">
        <f>HYPERLINK("https://yt3.ggpht.com/ytc/AAUvwngiuq6sgQ6s0ri3c8uVzUwzoQfEPMSmX_uGRrGCvPE=s88-c-k-c0x00ffffff-no-rj")</f>
        <v>https://yt3.ggpht.com/ytc/AAUvwngiuq6sgQ6s0ri3c8uVzUwzoQfEPMSmX_uGRrGCvPE=s88-c-k-c0x00ffffff-no-rj</v>
      </c>
      <c r="G116" s="66"/>
      <c r="H116" s="70" t="s">
        <v>779</v>
      </c>
      <c r="I116" s="71"/>
      <c r="J116" s="71" t="s">
        <v>159</v>
      </c>
      <c r="K116" s="70" t="s">
        <v>779</v>
      </c>
      <c r="L116" s="74">
        <v>1</v>
      </c>
      <c r="M116" s="75">
        <v>1754.6900634765625</v>
      </c>
      <c r="N116" s="75">
        <v>6294.47705078125</v>
      </c>
      <c r="O116" s="76"/>
      <c r="P116" s="77"/>
      <c r="Q116" s="77"/>
      <c r="R116" s="89"/>
      <c r="S116" s="49">
        <v>0</v>
      </c>
      <c r="T116" s="49">
        <v>1</v>
      </c>
      <c r="U116" s="50">
        <v>0</v>
      </c>
      <c r="V116" s="50">
        <v>0.003021</v>
      </c>
      <c r="W116" s="50">
        <v>0.007133</v>
      </c>
      <c r="X116" s="50">
        <v>0.515381</v>
      </c>
      <c r="Y116" s="50">
        <v>0</v>
      </c>
      <c r="Z116" s="50">
        <v>0</v>
      </c>
      <c r="AA116" s="72">
        <v>116</v>
      </c>
      <c r="AB116" s="72"/>
      <c r="AC116" s="73"/>
      <c r="AD116" s="80" t="s">
        <v>779</v>
      </c>
      <c r="AE116" s="80"/>
      <c r="AF116" s="80"/>
      <c r="AG116" s="80"/>
      <c r="AH116" s="80"/>
      <c r="AI116" s="80"/>
      <c r="AJ116" s="87">
        <v>42961.46685185185</v>
      </c>
      <c r="AK116" s="85" t="str">
        <f>HYPERLINK("https://yt3.ggpht.com/ytc/AAUvwngiuq6sgQ6s0ri3c8uVzUwzoQfEPMSmX_uGRrGCvPE=s88-c-k-c0x00ffffff-no-rj")</f>
        <v>https://yt3.ggpht.com/ytc/AAUvwngiuq6sgQ6s0ri3c8uVzUwzoQfEPMSmX_uGRrGCvPE=s88-c-k-c0x00ffffff-no-rj</v>
      </c>
      <c r="AL116" s="80">
        <v>0</v>
      </c>
      <c r="AM116" s="80">
        <v>0</v>
      </c>
      <c r="AN116" s="80">
        <v>9</v>
      </c>
      <c r="AO116" s="80" t="b">
        <v>0</v>
      </c>
      <c r="AP116" s="80">
        <v>0</v>
      </c>
      <c r="AQ116" s="80"/>
      <c r="AR116" s="80"/>
      <c r="AS116" s="80" t="s">
        <v>871</v>
      </c>
      <c r="AT116" s="85" t="str">
        <f>HYPERLINK("https://www.youtube.com/channel/UCb7ZSD7d-o5WY32SbQprO-w")</f>
        <v>https://www.youtube.com/channel/UCb7ZSD7d-o5WY32SbQprO-w</v>
      </c>
      <c r="AU116" s="80" t="str">
        <f>REPLACE(INDEX(GroupVertices[Group],MATCH(Vertices[[#This Row],[Vertex]],GroupVertices[Vertex],0)),1,1,"")</f>
        <v>1</v>
      </c>
      <c r="AV116" s="49">
        <v>0</v>
      </c>
      <c r="AW116" s="50">
        <v>0</v>
      </c>
      <c r="AX116" s="49">
        <v>0</v>
      </c>
      <c r="AY116" s="50">
        <v>0</v>
      </c>
      <c r="AZ116" s="49">
        <v>0</v>
      </c>
      <c r="BA116" s="50">
        <v>0</v>
      </c>
      <c r="BB116" s="49">
        <v>1</v>
      </c>
      <c r="BC116" s="50">
        <v>100</v>
      </c>
      <c r="BD116" s="49">
        <v>1</v>
      </c>
      <c r="BE116" s="49"/>
      <c r="BF116" s="49"/>
      <c r="BG116" s="49"/>
      <c r="BH116" s="49"/>
      <c r="BI116" s="49"/>
      <c r="BJ116" s="49"/>
      <c r="BK116" s="111" t="s">
        <v>843</v>
      </c>
      <c r="BL116" s="111" t="s">
        <v>843</v>
      </c>
      <c r="BM116" s="111" t="s">
        <v>843</v>
      </c>
      <c r="BN116" s="111" t="s">
        <v>843</v>
      </c>
      <c r="BO116" s="2"/>
      <c r="BP116" s="3"/>
      <c r="BQ116" s="3"/>
      <c r="BR116" s="3"/>
      <c r="BS116" s="3"/>
    </row>
    <row r="117" spans="1:71" ht="15">
      <c r="A117" s="65" t="s">
        <v>440</v>
      </c>
      <c r="B117" s="66"/>
      <c r="C117" s="66"/>
      <c r="D117" s="67">
        <v>150</v>
      </c>
      <c r="E117" s="69"/>
      <c r="F117" s="103" t="str">
        <f>HYPERLINK("https://yt3.ggpht.com/ytc/AAUvwngUqXpvzwUcdRQDhW4FSpDZRoY5cNcAKr10Bg=s88-c-k-c0x00ffffff-no-rj")</f>
        <v>https://yt3.ggpht.com/ytc/AAUvwngUqXpvzwUcdRQDhW4FSpDZRoY5cNcAKr10Bg=s88-c-k-c0x00ffffff-no-rj</v>
      </c>
      <c r="G117" s="66"/>
      <c r="H117" s="70" t="s">
        <v>780</v>
      </c>
      <c r="I117" s="71"/>
      <c r="J117" s="71" t="s">
        <v>159</v>
      </c>
      <c r="K117" s="70" t="s">
        <v>780</v>
      </c>
      <c r="L117" s="74">
        <v>1</v>
      </c>
      <c r="M117" s="75">
        <v>2789.86474609375</v>
      </c>
      <c r="N117" s="75">
        <v>7606.48779296875</v>
      </c>
      <c r="O117" s="76"/>
      <c r="P117" s="77"/>
      <c r="Q117" s="77"/>
      <c r="R117" s="89"/>
      <c r="S117" s="49">
        <v>0</v>
      </c>
      <c r="T117" s="49">
        <v>1</v>
      </c>
      <c r="U117" s="50">
        <v>0</v>
      </c>
      <c r="V117" s="50">
        <v>0.003021</v>
      </c>
      <c r="W117" s="50">
        <v>0.007133</v>
      </c>
      <c r="X117" s="50">
        <v>0.515381</v>
      </c>
      <c r="Y117" s="50">
        <v>0</v>
      </c>
      <c r="Z117" s="50">
        <v>0</v>
      </c>
      <c r="AA117" s="72">
        <v>117</v>
      </c>
      <c r="AB117" s="72"/>
      <c r="AC117" s="73"/>
      <c r="AD117" s="80" t="s">
        <v>780</v>
      </c>
      <c r="AE117" s="80" t="s">
        <v>866</v>
      </c>
      <c r="AF117" s="80"/>
      <c r="AG117" s="80"/>
      <c r="AH117" s="80"/>
      <c r="AI117" s="80"/>
      <c r="AJ117" s="87">
        <v>44020.98082175926</v>
      </c>
      <c r="AK117" s="85" t="str">
        <f>HYPERLINK("https://yt3.ggpht.com/ytc/AAUvwngUqXpvzwUcdRQDhW4FSpDZRoY5cNcAKr10Bg=s88-c-k-c0x00ffffff-no-rj")</f>
        <v>https://yt3.ggpht.com/ytc/AAUvwngUqXpvzwUcdRQDhW4FSpDZRoY5cNcAKr10Bg=s88-c-k-c0x00ffffff-no-rj</v>
      </c>
      <c r="AL117" s="80">
        <v>0</v>
      </c>
      <c r="AM117" s="80">
        <v>0</v>
      </c>
      <c r="AN117" s="80">
        <v>0</v>
      </c>
      <c r="AO117" s="80" t="b">
        <v>0</v>
      </c>
      <c r="AP117" s="80">
        <v>0</v>
      </c>
      <c r="AQ117" s="80"/>
      <c r="AR117" s="80"/>
      <c r="AS117" s="80" t="s">
        <v>871</v>
      </c>
      <c r="AT117" s="85" t="str">
        <f>HYPERLINK("https://www.youtube.com/channel/UCia0k6WxnqiEsRnM2OZ4bfQ")</f>
        <v>https://www.youtube.com/channel/UCia0k6WxnqiEsRnM2OZ4bfQ</v>
      </c>
      <c r="AU117" s="80" t="str">
        <f>REPLACE(INDEX(GroupVertices[Group],MATCH(Vertices[[#This Row],[Vertex]],GroupVertices[Vertex],0)),1,1,"")</f>
        <v>1</v>
      </c>
      <c r="AV117" s="49">
        <v>1</v>
      </c>
      <c r="AW117" s="50">
        <v>11.11111111111111</v>
      </c>
      <c r="AX117" s="49">
        <v>1</v>
      </c>
      <c r="AY117" s="50">
        <v>11.11111111111111</v>
      </c>
      <c r="AZ117" s="49">
        <v>0</v>
      </c>
      <c r="BA117" s="50">
        <v>0</v>
      </c>
      <c r="BB117" s="49">
        <v>7</v>
      </c>
      <c r="BC117" s="50">
        <v>77.77777777777777</v>
      </c>
      <c r="BD117" s="49">
        <v>9</v>
      </c>
      <c r="BE117" s="49"/>
      <c r="BF117" s="49"/>
      <c r="BG117" s="49"/>
      <c r="BH117" s="49"/>
      <c r="BI117" s="49"/>
      <c r="BJ117" s="49"/>
      <c r="BK117" s="111" t="s">
        <v>1361</v>
      </c>
      <c r="BL117" s="111" t="s">
        <v>1361</v>
      </c>
      <c r="BM117" s="111" t="s">
        <v>1432</v>
      </c>
      <c r="BN117" s="111" t="s">
        <v>1432</v>
      </c>
      <c r="BO117" s="2"/>
      <c r="BP117" s="3"/>
      <c r="BQ117" s="3"/>
      <c r="BR117" s="3"/>
      <c r="BS117" s="3"/>
    </row>
    <row r="118" spans="1:71" ht="15">
      <c r="A118" s="65" t="s">
        <v>441</v>
      </c>
      <c r="B118" s="66"/>
      <c r="C118" s="66"/>
      <c r="D118" s="67">
        <v>150</v>
      </c>
      <c r="E118" s="69"/>
      <c r="F118" s="103" t="str">
        <f>HYPERLINK("https://yt3.ggpht.com/ytc/AAUvwnhjB9eO3nC_tLEVCQrKqQpRZDWBTEie7MQ4eA=s88-c-k-c0x00ffffff-no-rj")</f>
        <v>https://yt3.ggpht.com/ytc/AAUvwnhjB9eO3nC_tLEVCQrKqQpRZDWBTEie7MQ4eA=s88-c-k-c0x00ffffff-no-rj</v>
      </c>
      <c r="G118" s="66"/>
      <c r="H118" s="70" t="s">
        <v>781</v>
      </c>
      <c r="I118" s="71"/>
      <c r="J118" s="71" t="s">
        <v>159</v>
      </c>
      <c r="K118" s="70" t="s">
        <v>781</v>
      </c>
      <c r="L118" s="74">
        <v>1</v>
      </c>
      <c r="M118" s="75">
        <v>4916.67138671875</v>
      </c>
      <c r="N118" s="75">
        <v>8339.9404296875</v>
      </c>
      <c r="O118" s="76"/>
      <c r="P118" s="77"/>
      <c r="Q118" s="77"/>
      <c r="R118" s="89"/>
      <c r="S118" s="49">
        <v>0</v>
      </c>
      <c r="T118" s="49">
        <v>1</v>
      </c>
      <c r="U118" s="50">
        <v>0</v>
      </c>
      <c r="V118" s="50">
        <v>0.003021</v>
      </c>
      <c r="W118" s="50">
        <v>0.007133</v>
      </c>
      <c r="X118" s="50">
        <v>0.515381</v>
      </c>
      <c r="Y118" s="50">
        <v>0</v>
      </c>
      <c r="Z118" s="50">
        <v>0</v>
      </c>
      <c r="AA118" s="72">
        <v>118</v>
      </c>
      <c r="AB118" s="72"/>
      <c r="AC118" s="73"/>
      <c r="AD118" s="80" t="s">
        <v>781</v>
      </c>
      <c r="AE118" s="80"/>
      <c r="AF118" s="80"/>
      <c r="AG118" s="80"/>
      <c r="AH118" s="80"/>
      <c r="AI118" s="80"/>
      <c r="AJ118" s="87">
        <v>43617.975798611114</v>
      </c>
      <c r="AK118" s="85" t="str">
        <f>HYPERLINK("https://yt3.ggpht.com/ytc/AAUvwnhjB9eO3nC_tLEVCQrKqQpRZDWBTEie7MQ4eA=s88-c-k-c0x00ffffff-no-rj")</f>
        <v>https://yt3.ggpht.com/ytc/AAUvwnhjB9eO3nC_tLEVCQrKqQpRZDWBTEie7MQ4eA=s88-c-k-c0x00ffffff-no-rj</v>
      </c>
      <c r="AL118" s="80">
        <v>0</v>
      </c>
      <c r="AM118" s="80">
        <v>0</v>
      </c>
      <c r="AN118" s="80">
        <v>1</v>
      </c>
      <c r="AO118" s="80" t="b">
        <v>0</v>
      </c>
      <c r="AP118" s="80">
        <v>0</v>
      </c>
      <c r="AQ118" s="80"/>
      <c r="AR118" s="80"/>
      <c r="AS118" s="80" t="s">
        <v>871</v>
      </c>
      <c r="AT118" s="85" t="str">
        <f>HYPERLINK("https://www.youtube.com/channel/UCsKp3c6Rc5snyNBpBY2focg")</f>
        <v>https://www.youtube.com/channel/UCsKp3c6Rc5snyNBpBY2focg</v>
      </c>
      <c r="AU118" s="80" t="str">
        <f>REPLACE(INDEX(GroupVertices[Group],MATCH(Vertices[[#This Row],[Vertex]],GroupVertices[Vertex],0)),1,1,"")</f>
        <v>1</v>
      </c>
      <c r="AV118" s="49">
        <v>10</v>
      </c>
      <c r="AW118" s="50">
        <v>4.149377593360996</v>
      </c>
      <c r="AX118" s="49">
        <v>16</v>
      </c>
      <c r="AY118" s="50">
        <v>6.639004149377594</v>
      </c>
      <c r="AZ118" s="49">
        <v>0</v>
      </c>
      <c r="BA118" s="50">
        <v>0</v>
      </c>
      <c r="BB118" s="49">
        <v>220</v>
      </c>
      <c r="BC118" s="50">
        <v>91.28630705394191</v>
      </c>
      <c r="BD118" s="49">
        <v>241</v>
      </c>
      <c r="BE118" s="49"/>
      <c r="BF118" s="49"/>
      <c r="BG118" s="49"/>
      <c r="BH118" s="49"/>
      <c r="BI118" s="49"/>
      <c r="BJ118" s="49"/>
      <c r="BK118" s="111" t="s">
        <v>1525</v>
      </c>
      <c r="BL118" s="111" t="s">
        <v>1525</v>
      </c>
      <c r="BM118" s="111" t="s">
        <v>1591</v>
      </c>
      <c r="BN118" s="111" t="s">
        <v>1591</v>
      </c>
      <c r="BO118" s="2"/>
      <c r="BP118" s="3"/>
      <c r="BQ118" s="3"/>
      <c r="BR118" s="3"/>
      <c r="BS118" s="3"/>
    </row>
    <row r="119" spans="1:71" ht="15">
      <c r="A119" s="65" t="s">
        <v>442</v>
      </c>
      <c r="B119" s="66"/>
      <c r="C119" s="66"/>
      <c r="D119" s="67">
        <v>150</v>
      </c>
      <c r="E119" s="69"/>
      <c r="F119" s="103" t="str">
        <f>HYPERLINK("https://yt3.ggpht.com/ytc/AAUvwngMoRVPYomvdTYjUoOUGcJy7Y8rPdrZ5IH5Tw=s88-c-k-c0x00ffffff-no-rj")</f>
        <v>https://yt3.ggpht.com/ytc/AAUvwngMoRVPYomvdTYjUoOUGcJy7Y8rPdrZ5IH5Tw=s88-c-k-c0x00ffffff-no-rj</v>
      </c>
      <c r="G119" s="66"/>
      <c r="H119" s="70" t="s">
        <v>782</v>
      </c>
      <c r="I119" s="71"/>
      <c r="J119" s="71" t="s">
        <v>159</v>
      </c>
      <c r="K119" s="70" t="s">
        <v>782</v>
      </c>
      <c r="L119" s="74">
        <v>1</v>
      </c>
      <c r="M119" s="75">
        <v>776.955078125</v>
      </c>
      <c r="N119" s="75">
        <v>2129.182861328125</v>
      </c>
      <c r="O119" s="76"/>
      <c r="P119" s="77"/>
      <c r="Q119" s="77"/>
      <c r="R119" s="89"/>
      <c r="S119" s="49">
        <v>0</v>
      </c>
      <c r="T119" s="49">
        <v>1</v>
      </c>
      <c r="U119" s="50">
        <v>0</v>
      </c>
      <c r="V119" s="50">
        <v>0.003021</v>
      </c>
      <c r="W119" s="50">
        <v>0.007133</v>
      </c>
      <c r="X119" s="50">
        <v>0.515381</v>
      </c>
      <c r="Y119" s="50">
        <v>0</v>
      </c>
      <c r="Z119" s="50">
        <v>0</v>
      </c>
      <c r="AA119" s="72">
        <v>119</v>
      </c>
      <c r="AB119" s="72"/>
      <c r="AC119" s="73"/>
      <c r="AD119" s="80" t="s">
        <v>782</v>
      </c>
      <c r="AE119" s="80"/>
      <c r="AF119" s="80"/>
      <c r="AG119" s="80"/>
      <c r="AH119" s="80"/>
      <c r="AI119" s="80"/>
      <c r="AJ119" s="87">
        <v>41961.88359953704</v>
      </c>
      <c r="AK119" s="85" t="str">
        <f>HYPERLINK("https://yt3.ggpht.com/ytc/AAUvwngMoRVPYomvdTYjUoOUGcJy7Y8rPdrZ5IH5Tw=s88-c-k-c0x00ffffff-no-rj")</f>
        <v>https://yt3.ggpht.com/ytc/AAUvwngMoRVPYomvdTYjUoOUGcJy7Y8rPdrZ5IH5Tw=s88-c-k-c0x00ffffff-no-rj</v>
      </c>
      <c r="AL119" s="80">
        <v>0</v>
      </c>
      <c r="AM119" s="80">
        <v>0</v>
      </c>
      <c r="AN119" s="80">
        <v>0</v>
      </c>
      <c r="AO119" s="80" t="b">
        <v>0</v>
      </c>
      <c r="AP119" s="80">
        <v>0</v>
      </c>
      <c r="AQ119" s="80"/>
      <c r="AR119" s="80"/>
      <c r="AS119" s="80" t="s">
        <v>871</v>
      </c>
      <c r="AT119" s="85" t="str">
        <f>HYPERLINK("https://www.youtube.com/channel/UCqz3D5OY3-qNGd0YB2WylUQ")</f>
        <v>https://www.youtube.com/channel/UCqz3D5OY3-qNGd0YB2WylUQ</v>
      </c>
      <c r="AU119" s="80" t="str">
        <f>REPLACE(INDEX(GroupVertices[Group],MATCH(Vertices[[#This Row],[Vertex]],GroupVertices[Vertex],0)),1,1,"")</f>
        <v>1</v>
      </c>
      <c r="AV119" s="49">
        <v>11</v>
      </c>
      <c r="AW119" s="50">
        <v>6.5476190476190474</v>
      </c>
      <c r="AX119" s="49">
        <v>17</v>
      </c>
      <c r="AY119" s="50">
        <v>10.119047619047619</v>
      </c>
      <c r="AZ119" s="49">
        <v>0</v>
      </c>
      <c r="BA119" s="50">
        <v>0</v>
      </c>
      <c r="BB119" s="49">
        <v>149</v>
      </c>
      <c r="BC119" s="50">
        <v>88.69047619047619</v>
      </c>
      <c r="BD119" s="49">
        <v>168</v>
      </c>
      <c r="BE119" s="49"/>
      <c r="BF119" s="49"/>
      <c r="BG119" s="49"/>
      <c r="BH119" s="49"/>
      <c r="BI119" s="49"/>
      <c r="BJ119" s="49"/>
      <c r="BK119" s="111" t="s">
        <v>1526</v>
      </c>
      <c r="BL119" s="111" t="s">
        <v>1549</v>
      </c>
      <c r="BM119" s="111" t="s">
        <v>1592</v>
      </c>
      <c r="BN119" s="111" t="s">
        <v>1592</v>
      </c>
      <c r="BO119" s="2"/>
      <c r="BP119" s="3"/>
      <c r="BQ119" s="3"/>
      <c r="BR119" s="3"/>
      <c r="BS119" s="3"/>
    </row>
    <row r="120" spans="1:71" ht="15">
      <c r="A120" s="65" t="s">
        <v>443</v>
      </c>
      <c r="B120" s="66"/>
      <c r="C120" s="66"/>
      <c r="D120" s="67">
        <v>150</v>
      </c>
      <c r="E120" s="69"/>
      <c r="F120" s="103" t="str">
        <f>HYPERLINK("https://yt3.ggpht.com/ytc/AAUvwnhtOxKN4uAAOY7y9HDK5Z-eiAEiVwzyEQrCAg=s88-c-k-c0x00ffffff-no-rj")</f>
        <v>https://yt3.ggpht.com/ytc/AAUvwnhtOxKN4uAAOY7y9HDK5Z-eiAEiVwzyEQrCAg=s88-c-k-c0x00ffffff-no-rj</v>
      </c>
      <c r="G120" s="66"/>
      <c r="H120" s="70" t="s">
        <v>783</v>
      </c>
      <c r="I120" s="71"/>
      <c r="J120" s="71" t="s">
        <v>159</v>
      </c>
      <c r="K120" s="70" t="s">
        <v>783</v>
      </c>
      <c r="L120" s="74">
        <v>1</v>
      </c>
      <c r="M120" s="75">
        <v>9340.8916015625</v>
      </c>
      <c r="N120" s="75">
        <v>1871.2001953125</v>
      </c>
      <c r="O120" s="76"/>
      <c r="P120" s="77"/>
      <c r="Q120" s="77"/>
      <c r="R120" s="89"/>
      <c r="S120" s="49">
        <v>0</v>
      </c>
      <c r="T120" s="49">
        <v>1</v>
      </c>
      <c r="U120" s="50">
        <v>0</v>
      </c>
      <c r="V120" s="50">
        <v>0.002083</v>
      </c>
      <c r="W120" s="50">
        <v>0.000671</v>
      </c>
      <c r="X120" s="50">
        <v>0.5328</v>
      </c>
      <c r="Y120" s="50">
        <v>0</v>
      </c>
      <c r="Z120" s="50">
        <v>0</v>
      </c>
      <c r="AA120" s="72">
        <v>120</v>
      </c>
      <c r="AB120" s="72"/>
      <c r="AC120" s="73"/>
      <c r="AD120" s="80" t="s">
        <v>783</v>
      </c>
      <c r="AE120" s="80"/>
      <c r="AF120" s="80"/>
      <c r="AG120" s="80"/>
      <c r="AH120" s="80"/>
      <c r="AI120" s="80"/>
      <c r="AJ120" s="87">
        <v>44296.985625</v>
      </c>
      <c r="AK120" s="85" t="str">
        <f>HYPERLINK("https://yt3.ggpht.com/ytc/AAUvwnhtOxKN4uAAOY7y9HDK5Z-eiAEiVwzyEQrCAg=s88-c-k-c0x00ffffff-no-rj")</f>
        <v>https://yt3.ggpht.com/ytc/AAUvwnhtOxKN4uAAOY7y9HDK5Z-eiAEiVwzyEQrCAg=s88-c-k-c0x00ffffff-no-rj</v>
      </c>
      <c r="AL120" s="80">
        <v>0</v>
      </c>
      <c r="AM120" s="80">
        <v>0</v>
      </c>
      <c r="AN120" s="80">
        <v>0</v>
      </c>
      <c r="AO120" s="80" t="b">
        <v>0</v>
      </c>
      <c r="AP120" s="80">
        <v>0</v>
      </c>
      <c r="AQ120" s="80"/>
      <c r="AR120" s="80"/>
      <c r="AS120" s="80" t="s">
        <v>871</v>
      </c>
      <c r="AT120" s="85" t="str">
        <f>HYPERLINK("https://www.youtube.com/channel/UCdjNuIJY0vkpkTvXabR808A")</f>
        <v>https://www.youtube.com/channel/UCdjNuIJY0vkpkTvXabR808A</v>
      </c>
      <c r="AU120" s="80" t="str">
        <f>REPLACE(INDEX(GroupVertices[Group],MATCH(Vertices[[#This Row],[Vertex]],GroupVertices[Vertex],0)),1,1,"")</f>
        <v>13</v>
      </c>
      <c r="AV120" s="49">
        <v>0</v>
      </c>
      <c r="AW120" s="50">
        <v>0</v>
      </c>
      <c r="AX120" s="49">
        <v>0</v>
      </c>
      <c r="AY120" s="50">
        <v>0</v>
      </c>
      <c r="AZ120" s="49">
        <v>0</v>
      </c>
      <c r="BA120" s="50">
        <v>0</v>
      </c>
      <c r="BB120" s="49">
        <v>8</v>
      </c>
      <c r="BC120" s="50">
        <v>100</v>
      </c>
      <c r="BD120" s="49">
        <v>8</v>
      </c>
      <c r="BE120" s="49"/>
      <c r="BF120" s="49"/>
      <c r="BG120" s="49"/>
      <c r="BH120" s="49"/>
      <c r="BI120" s="49"/>
      <c r="BJ120" s="49"/>
      <c r="BK120" s="111" t="s">
        <v>1527</v>
      </c>
      <c r="BL120" s="111" t="s">
        <v>1527</v>
      </c>
      <c r="BM120" s="111" t="s">
        <v>1593</v>
      </c>
      <c r="BN120" s="111" t="s">
        <v>1593</v>
      </c>
      <c r="BO120" s="2"/>
      <c r="BP120" s="3"/>
      <c r="BQ120" s="3"/>
      <c r="BR120" s="3"/>
      <c r="BS120" s="3"/>
    </row>
    <row r="121" spans="1:71" ht="15">
      <c r="A121" s="65" t="s">
        <v>444</v>
      </c>
      <c r="B121" s="66"/>
      <c r="C121" s="66"/>
      <c r="D121" s="67">
        <v>575</v>
      </c>
      <c r="E121" s="69"/>
      <c r="F121" s="103" t="str">
        <f>HYPERLINK("https://yt3.ggpht.com/ytc/AAUvwnhXIIRCmMa2tbHFAbMjWgx4TrmR_vl2Kq5o5B9W=s88-c-k-c0x00ffffff-no-rj")</f>
        <v>https://yt3.ggpht.com/ytc/AAUvwnhXIIRCmMa2tbHFAbMjWgx4TrmR_vl2Kq5o5B9W=s88-c-k-c0x00ffffff-no-rj</v>
      </c>
      <c r="G121" s="66"/>
      <c r="H121" s="70" t="s">
        <v>784</v>
      </c>
      <c r="I121" s="71"/>
      <c r="J121" s="71" t="s">
        <v>159</v>
      </c>
      <c r="K121" s="70" t="s">
        <v>784</v>
      </c>
      <c r="L121" s="74">
        <v>160.968</v>
      </c>
      <c r="M121" s="75">
        <v>9340.8916015625</v>
      </c>
      <c r="N121" s="75">
        <v>1423.26806640625</v>
      </c>
      <c r="O121" s="76"/>
      <c r="P121" s="77"/>
      <c r="Q121" s="77"/>
      <c r="R121" s="89"/>
      <c r="S121" s="49">
        <v>2</v>
      </c>
      <c r="T121" s="49">
        <v>2</v>
      </c>
      <c r="U121" s="50">
        <v>302</v>
      </c>
      <c r="V121" s="50">
        <v>0.00304</v>
      </c>
      <c r="W121" s="50">
        <v>0.007861</v>
      </c>
      <c r="X121" s="50">
        <v>1.351061</v>
      </c>
      <c r="Y121" s="50">
        <v>0</v>
      </c>
      <c r="Z121" s="50">
        <v>0</v>
      </c>
      <c r="AA121" s="72">
        <v>121</v>
      </c>
      <c r="AB121" s="72"/>
      <c r="AC121" s="73"/>
      <c r="AD121" s="80" t="s">
        <v>784</v>
      </c>
      <c r="AE121" s="80" t="s">
        <v>867</v>
      </c>
      <c r="AF121" s="80"/>
      <c r="AG121" s="80"/>
      <c r="AH121" s="80"/>
      <c r="AI121" s="80"/>
      <c r="AJ121" s="87">
        <v>43302.799675925926</v>
      </c>
      <c r="AK121" s="85" t="str">
        <f>HYPERLINK("https://yt3.ggpht.com/ytc/AAUvwnhXIIRCmMa2tbHFAbMjWgx4TrmR_vl2Kq5o5B9W=s88-c-k-c0x00ffffff-no-rj")</f>
        <v>https://yt3.ggpht.com/ytc/AAUvwnhXIIRCmMa2tbHFAbMjWgx4TrmR_vl2Kq5o5B9W=s88-c-k-c0x00ffffff-no-rj</v>
      </c>
      <c r="AL121" s="80">
        <v>1287</v>
      </c>
      <c r="AM121" s="80">
        <v>0</v>
      </c>
      <c r="AN121" s="80">
        <v>5</v>
      </c>
      <c r="AO121" s="80" t="b">
        <v>0</v>
      </c>
      <c r="AP121" s="80">
        <v>6</v>
      </c>
      <c r="AQ121" s="80"/>
      <c r="AR121" s="80"/>
      <c r="AS121" s="80" t="s">
        <v>871</v>
      </c>
      <c r="AT121" s="85" t="str">
        <f>HYPERLINK("https://www.youtube.com/channel/UC_2poQCdUPlEGvNNFg7-9Lg")</f>
        <v>https://www.youtube.com/channel/UC_2poQCdUPlEGvNNFg7-9Lg</v>
      </c>
      <c r="AU121" s="80" t="str">
        <f>REPLACE(INDEX(GroupVertices[Group],MATCH(Vertices[[#This Row],[Vertex]],GroupVertices[Vertex],0)),1,1,"")</f>
        <v>13</v>
      </c>
      <c r="AV121" s="49">
        <v>1</v>
      </c>
      <c r="AW121" s="50">
        <v>6.25</v>
      </c>
      <c r="AX121" s="49">
        <v>0</v>
      </c>
      <c r="AY121" s="50">
        <v>0</v>
      </c>
      <c r="AZ121" s="49">
        <v>0</v>
      </c>
      <c r="BA121" s="50">
        <v>0</v>
      </c>
      <c r="BB121" s="49">
        <v>15</v>
      </c>
      <c r="BC121" s="50">
        <v>93.75</v>
      </c>
      <c r="BD121" s="49">
        <v>16</v>
      </c>
      <c r="BE121" s="49"/>
      <c r="BF121" s="49"/>
      <c r="BG121" s="49"/>
      <c r="BH121" s="49"/>
      <c r="BI121" s="49"/>
      <c r="BJ121" s="49"/>
      <c r="BK121" s="111" t="s">
        <v>1528</v>
      </c>
      <c r="BL121" s="111" t="s">
        <v>1528</v>
      </c>
      <c r="BM121" s="111" t="s">
        <v>1594</v>
      </c>
      <c r="BN121" s="111" t="s">
        <v>1594</v>
      </c>
      <c r="BO121" s="2"/>
      <c r="BP121" s="3"/>
      <c r="BQ121" s="3"/>
      <c r="BR121" s="3"/>
      <c r="BS121" s="3"/>
    </row>
    <row r="122" spans="1:71" ht="15">
      <c r="A122" s="65" t="s">
        <v>445</v>
      </c>
      <c r="B122" s="66"/>
      <c r="C122" s="66"/>
      <c r="D122" s="67">
        <v>150</v>
      </c>
      <c r="E122" s="69"/>
      <c r="F122" s="103" t="str">
        <f>HYPERLINK("https://yt3.ggpht.com/ytc/AAUvwnjH442tgAn9vcTVdxffi9CR0NTKCaOWp402QQ=s88-c-k-c0x00ffffff-no-rj")</f>
        <v>https://yt3.ggpht.com/ytc/AAUvwnjH442tgAn9vcTVdxffi9CR0NTKCaOWp402QQ=s88-c-k-c0x00ffffff-no-rj</v>
      </c>
      <c r="G122" s="66"/>
      <c r="H122" s="70" t="s">
        <v>785</v>
      </c>
      <c r="I122" s="71"/>
      <c r="J122" s="71" t="s">
        <v>159</v>
      </c>
      <c r="K122" s="70" t="s">
        <v>785</v>
      </c>
      <c r="L122" s="74">
        <v>1</v>
      </c>
      <c r="M122" s="75">
        <v>9340.8916015625</v>
      </c>
      <c r="N122" s="75">
        <v>827.2294311523438</v>
      </c>
      <c r="O122" s="76"/>
      <c r="P122" s="77"/>
      <c r="Q122" s="77"/>
      <c r="R122" s="89"/>
      <c r="S122" s="49">
        <v>0</v>
      </c>
      <c r="T122" s="49">
        <v>1</v>
      </c>
      <c r="U122" s="50">
        <v>0</v>
      </c>
      <c r="V122" s="50">
        <v>0.002083</v>
      </c>
      <c r="W122" s="50">
        <v>0.000613</v>
      </c>
      <c r="X122" s="50">
        <v>0.577748</v>
      </c>
      <c r="Y122" s="50">
        <v>0</v>
      </c>
      <c r="Z122" s="50">
        <v>0</v>
      </c>
      <c r="AA122" s="72">
        <v>122</v>
      </c>
      <c r="AB122" s="72"/>
      <c r="AC122" s="73"/>
      <c r="AD122" s="80" t="s">
        <v>785</v>
      </c>
      <c r="AE122" s="80"/>
      <c r="AF122" s="80"/>
      <c r="AG122" s="80"/>
      <c r="AH122" s="80"/>
      <c r="AI122" s="80"/>
      <c r="AJ122" s="87">
        <v>44254.9878125</v>
      </c>
      <c r="AK122" s="85" t="str">
        <f>HYPERLINK("https://yt3.ggpht.com/ytc/AAUvwnjH442tgAn9vcTVdxffi9CR0NTKCaOWp402QQ=s88-c-k-c0x00ffffff-no-rj")</f>
        <v>https://yt3.ggpht.com/ytc/AAUvwnjH442tgAn9vcTVdxffi9CR0NTKCaOWp402QQ=s88-c-k-c0x00ffffff-no-rj</v>
      </c>
      <c r="AL122" s="80">
        <v>0</v>
      </c>
      <c r="AM122" s="80">
        <v>0</v>
      </c>
      <c r="AN122" s="80">
        <v>0</v>
      </c>
      <c r="AO122" s="80" t="b">
        <v>0</v>
      </c>
      <c r="AP122" s="80">
        <v>0</v>
      </c>
      <c r="AQ122" s="80"/>
      <c r="AR122" s="80"/>
      <c r="AS122" s="80" t="s">
        <v>871</v>
      </c>
      <c r="AT122" s="85" t="str">
        <f>HYPERLINK("https://www.youtube.com/channel/UCVwViq0CL8a65VDA-kpwchw")</f>
        <v>https://www.youtube.com/channel/UCVwViq0CL8a65VDA-kpwchw</v>
      </c>
      <c r="AU122" s="80" t="str">
        <f>REPLACE(INDEX(GroupVertices[Group],MATCH(Vertices[[#This Row],[Vertex]],GroupVertices[Vertex],0)),1,1,"")</f>
        <v>12</v>
      </c>
      <c r="AV122" s="49">
        <v>0</v>
      </c>
      <c r="AW122" s="50">
        <v>0</v>
      </c>
      <c r="AX122" s="49">
        <v>0</v>
      </c>
      <c r="AY122" s="50">
        <v>0</v>
      </c>
      <c r="AZ122" s="49">
        <v>0</v>
      </c>
      <c r="BA122" s="50">
        <v>0</v>
      </c>
      <c r="BB122" s="49">
        <v>18</v>
      </c>
      <c r="BC122" s="50">
        <v>100</v>
      </c>
      <c r="BD122" s="49">
        <v>18</v>
      </c>
      <c r="BE122" s="49"/>
      <c r="BF122" s="49"/>
      <c r="BG122" s="49"/>
      <c r="BH122" s="49"/>
      <c r="BI122" s="49"/>
      <c r="BJ122" s="49"/>
      <c r="BK122" s="111" t="s">
        <v>1529</v>
      </c>
      <c r="BL122" s="111" t="s">
        <v>1529</v>
      </c>
      <c r="BM122" s="111" t="s">
        <v>1595</v>
      </c>
      <c r="BN122" s="111" t="s">
        <v>1595</v>
      </c>
      <c r="BO122" s="2"/>
      <c r="BP122" s="3"/>
      <c r="BQ122" s="3"/>
      <c r="BR122" s="3"/>
      <c r="BS122" s="3"/>
    </row>
    <row r="123" spans="1:71" ht="15">
      <c r="A123" s="65" t="s">
        <v>446</v>
      </c>
      <c r="B123" s="66"/>
      <c r="C123" s="66"/>
      <c r="D123" s="67">
        <v>362.5</v>
      </c>
      <c r="E123" s="69"/>
      <c r="F123" s="103" t="str">
        <f>HYPERLINK("https://yt3.ggpht.com/ytc/AAUvwngOFez1r0on4aWw4uel28r-f5UBkdDujNM7rQ=s88-c-k-c0x00ffffff-no-rj")</f>
        <v>https://yt3.ggpht.com/ytc/AAUvwngOFez1r0on4aWw4uel28r-f5UBkdDujNM7rQ=s88-c-k-c0x00ffffff-no-rj</v>
      </c>
      <c r="G123" s="66"/>
      <c r="H123" s="70" t="s">
        <v>786</v>
      </c>
      <c r="I123" s="71"/>
      <c r="J123" s="71" t="s">
        <v>159</v>
      </c>
      <c r="K123" s="70" t="s">
        <v>786</v>
      </c>
      <c r="L123" s="74">
        <v>80.984</v>
      </c>
      <c r="M123" s="75">
        <v>9340.8916015625</v>
      </c>
      <c r="N123" s="75">
        <v>372.0726013183594</v>
      </c>
      <c r="O123" s="76"/>
      <c r="P123" s="77"/>
      <c r="Q123" s="77"/>
      <c r="R123" s="89"/>
      <c r="S123" s="49">
        <v>1</v>
      </c>
      <c r="T123" s="49">
        <v>1</v>
      </c>
      <c r="U123" s="50">
        <v>302</v>
      </c>
      <c r="V123" s="50">
        <v>0.00304</v>
      </c>
      <c r="W123" s="50">
        <v>0.007186</v>
      </c>
      <c r="X123" s="50">
        <v>1.006466</v>
      </c>
      <c r="Y123" s="50">
        <v>0</v>
      </c>
      <c r="Z123" s="50">
        <v>0</v>
      </c>
      <c r="AA123" s="72">
        <v>123</v>
      </c>
      <c r="AB123" s="72"/>
      <c r="AC123" s="73"/>
      <c r="AD123" s="80" t="s">
        <v>786</v>
      </c>
      <c r="AE123" s="80"/>
      <c r="AF123" s="80"/>
      <c r="AG123" s="80"/>
      <c r="AH123" s="80"/>
      <c r="AI123" s="80"/>
      <c r="AJ123" s="87">
        <v>43395.966574074075</v>
      </c>
      <c r="AK123" s="85" t="str">
        <f>HYPERLINK("https://yt3.ggpht.com/ytc/AAUvwngOFez1r0on4aWw4uel28r-f5UBkdDujNM7rQ=s88-c-k-c0x00ffffff-no-rj")</f>
        <v>https://yt3.ggpht.com/ytc/AAUvwngOFez1r0on4aWw4uel28r-f5UBkdDujNM7rQ=s88-c-k-c0x00ffffff-no-rj</v>
      </c>
      <c r="AL123" s="80">
        <v>0</v>
      </c>
      <c r="AM123" s="80">
        <v>0</v>
      </c>
      <c r="AN123" s="80">
        <v>0</v>
      </c>
      <c r="AO123" s="80" t="b">
        <v>0</v>
      </c>
      <c r="AP123" s="80">
        <v>0</v>
      </c>
      <c r="AQ123" s="80"/>
      <c r="AR123" s="80"/>
      <c r="AS123" s="80" t="s">
        <v>871</v>
      </c>
      <c r="AT123" s="85" t="str">
        <f>HYPERLINK("https://www.youtube.com/channel/UCmIOnORoi4RkdOGWPRBErTA")</f>
        <v>https://www.youtube.com/channel/UCmIOnORoi4RkdOGWPRBErTA</v>
      </c>
      <c r="AU123" s="80" t="str">
        <f>REPLACE(INDEX(GroupVertices[Group],MATCH(Vertices[[#This Row],[Vertex]],GroupVertices[Vertex],0)),1,1,"")</f>
        <v>12</v>
      </c>
      <c r="AV123" s="49">
        <v>1</v>
      </c>
      <c r="AW123" s="50">
        <v>16.666666666666668</v>
      </c>
      <c r="AX123" s="49">
        <v>0</v>
      </c>
      <c r="AY123" s="50">
        <v>0</v>
      </c>
      <c r="AZ123" s="49">
        <v>0</v>
      </c>
      <c r="BA123" s="50">
        <v>0</v>
      </c>
      <c r="BB123" s="49">
        <v>5</v>
      </c>
      <c r="BC123" s="50">
        <v>83.33333333333333</v>
      </c>
      <c r="BD123" s="49">
        <v>6</v>
      </c>
      <c r="BE123" s="49"/>
      <c r="BF123" s="49"/>
      <c r="BG123" s="49"/>
      <c r="BH123" s="49"/>
      <c r="BI123" s="49"/>
      <c r="BJ123" s="49"/>
      <c r="BK123" s="111" t="s">
        <v>1362</v>
      </c>
      <c r="BL123" s="111" t="s">
        <v>1362</v>
      </c>
      <c r="BM123" s="111" t="s">
        <v>1433</v>
      </c>
      <c r="BN123" s="111" t="s">
        <v>1433</v>
      </c>
      <c r="BO123" s="2"/>
      <c r="BP123" s="3"/>
      <c r="BQ123" s="3"/>
      <c r="BR123" s="3"/>
      <c r="BS123" s="3"/>
    </row>
    <row r="124" spans="1:71" ht="15">
      <c r="A124" s="65" t="s">
        <v>447</v>
      </c>
      <c r="B124" s="66"/>
      <c r="C124" s="66"/>
      <c r="D124" s="67">
        <v>150</v>
      </c>
      <c r="E124" s="69"/>
      <c r="F124" s="103" t="str">
        <f>HYPERLINK("https://yt3.ggpht.com/ytc/AAUvwniYj6k8AZ0KKBpJVZkYlDlG4Q9QfRI_bUpeTg=s88-c-k-c0x00ffffff-no-rj")</f>
        <v>https://yt3.ggpht.com/ytc/AAUvwniYj6k8AZ0KKBpJVZkYlDlG4Q9QfRI_bUpeTg=s88-c-k-c0x00ffffff-no-rj</v>
      </c>
      <c r="G124" s="66"/>
      <c r="H124" s="70" t="s">
        <v>787</v>
      </c>
      <c r="I124" s="71"/>
      <c r="J124" s="71" t="s">
        <v>159</v>
      </c>
      <c r="K124" s="70" t="s">
        <v>787</v>
      </c>
      <c r="L124" s="74">
        <v>1</v>
      </c>
      <c r="M124" s="75">
        <v>465.7247314453125</v>
      </c>
      <c r="N124" s="75">
        <v>5423.03955078125</v>
      </c>
      <c r="O124" s="76"/>
      <c r="P124" s="77"/>
      <c r="Q124" s="77"/>
      <c r="R124" s="89"/>
      <c r="S124" s="49">
        <v>0</v>
      </c>
      <c r="T124" s="49">
        <v>1</v>
      </c>
      <c r="U124" s="50">
        <v>0</v>
      </c>
      <c r="V124" s="50">
        <v>0.003021</v>
      </c>
      <c r="W124" s="50">
        <v>0.007133</v>
      </c>
      <c r="X124" s="50">
        <v>0.515381</v>
      </c>
      <c r="Y124" s="50">
        <v>0</v>
      </c>
      <c r="Z124" s="50">
        <v>0</v>
      </c>
      <c r="AA124" s="72">
        <v>124</v>
      </c>
      <c r="AB124" s="72"/>
      <c r="AC124" s="73"/>
      <c r="AD124" s="80" t="s">
        <v>787</v>
      </c>
      <c r="AE124" s="80"/>
      <c r="AF124" s="80"/>
      <c r="AG124" s="80"/>
      <c r="AH124" s="80"/>
      <c r="AI124" s="80"/>
      <c r="AJ124" s="87">
        <v>43961.47493055555</v>
      </c>
      <c r="AK124" s="85" t="str">
        <f>HYPERLINK("https://yt3.ggpht.com/ytc/AAUvwniYj6k8AZ0KKBpJVZkYlDlG4Q9QfRI_bUpeTg=s88-c-k-c0x00ffffff-no-rj")</f>
        <v>https://yt3.ggpht.com/ytc/AAUvwniYj6k8AZ0KKBpJVZkYlDlG4Q9QfRI_bUpeTg=s88-c-k-c0x00ffffff-no-rj</v>
      </c>
      <c r="AL124" s="80">
        <v>0</v>
      </c>
      <c r="AM124" s="80">
        <v>0</v>
      </c>
      <c r="AN124" s="80">
        <v>0</v>
      </c>
      <c r="AO124" s="80" t="b">
        <v>0</v>
      </c>
      <c r="AP124" s="80">
        <v>0</v>
      </c>
      <c r="AQ124" s="80"/>
      <c r="AR124" s="80"/>
      <c r="AS124" s="80" t="s">
        <v>871</v>
      </c>
      <c r="AT124" s="85" t="str">
        <f>HYPERLINK("https://www.youtube.com/channel/UCt3Ukfibp43QrzSg0CA4cGA")</f>
        <v>https://www.youtube.com/channel/UCt3Ukfibp43QrzSg0CA4cGA</v>
      </c>
      <c r="AU124" s="80" t="str">
        <f>REPLACE(INDEX(GroupVertices[Group],MATCH(Vertices[[#This Row],[Vertex]],GroupVertices[Vertex],0)),1,1,"")</f>
        <v>1</v>
      </c>
      <c r="AV124" s="49">
        <v>2</v>
      </c>
      <c r="AW124" s="50">
        <v>3.1746031746031744</v>
      </c>
      <c r="AX124" s="49">
        <v>2</v>
      </c>
      <c r="AY124" s="50">
        <v>3.1746031746031744</v>
      </c>
      <c r="AZ124" s="49">
        <v>0</v>
      </c>
      <c r="BA124" s="50">
        <v>0</v>
      </c>
      <c r="BB124" s="49">
        <v>60</v>
      </c>
      <c r="BC124" s="50">
        <v>95.23809523809524</v>
      </c>
      <c r="BD124" s="49">
        <v>63</v>
      </c>
      <c r="BE124" s="49"/>
      <c r="BF124" s="49"/>
      <c r="BG124" s="49"/>
      <c r="BH124" s="49"/>
      <c r="BI124" s="49"/>
      <c r="BJ124" s="49"/>
      <c r="BK124" s="111" t="s">
        <v>1530</v>
      </c>
      <c r="BL124" s="111" t="s">
        <v>1530</v>
      </c>
      <c r="BM124" s="111" t="s">
        <v>1596</v>
      </c>
      <c r="BN124" s="111" t="s">
        <v>1596</v>
      </c>
      <c r="BO124" s="2"/>
      <c r="BP124" s="3"/>
      <c r="BQ124" s="3"/>
      <c r="BR124" s="3"/>
      <c r="BS124" s="3"/>
    </row>
    <row r="125" spans="1:71" ht="15">
      <c r="A125" s="65" t="s">
        <v>448</v>
      </c>
      <c r="B125" s="66"/>
      <c r="C125" s="66"/>
      <c r="D125" s="67">
        <v>150</v>
      </c>
      <c r="E125" s="69"/>
      <c r="F125" s="103" t="str">
        <f>HYPERLINK("https://yt3.ggpht.com/ytc/AAUvwnju3oY3eQxxLoQesc-utaA9Dduoqq3sd9GYDr8E5Q=s88-c-k-c0x00ffffff-no-rj")</f>
        <v>https://yt3.ggpht.com/ytc/AAUvwnju3oY3eQxxLoQesc-utaA9Dduoqq3sd9GYDr8E5Q=s88-c-k-c0x00ffffff-no-rj</v>
      </c>
      <c r="G125" s="66"/>
      <c r="H125" s="70" t="s">
        <v>788</v>
      </c>
      <c r="I125" s="71"/>
      <c r="J125" s="71" t="s">
        <v>159</v>
      </c>
      <c r="K125" s="70" t="s">
        <v>788</v>
      </c>
      <c r="L125" s="74">
        <v>1</v>
      </c>
      <c r="M125" s="75">
        <v>6561.078125</v>
      </c>
      <c r="N125" s="75">
        <v>5423.16162109375</v>
      </c>
      <c r="O125" s="76"/>
      <c r="P125" s="77"/>
      <c r="Q125" s="77"/>
      <c r="R125" s="89"/>
      <c r="S125" s="49">
        <v>0</v>
      </c>
      <c r="T125" s="49">
        <v>1</v>
      </c>
      <c r="U125" s="50">
        <v>0</v>
      </c>
      <c r="V125" s="50">
        <v>0.003021</v>
      </c>
      <c r="W125" s="50">
        <v>0.007133</v>
      </c>
      <c r="X125" s="50">
        <v>0.515381</v>
      </c>
      <c r="Y125" s="50">
        <v>0</v>
      </c>
      <c r="Z125" s="50">
        <v>0</v>
      </c>
      <c r="AA125" s="72">
        <v>125</v>
      </c>
      <c r="AB125" s="72"/>
      <c r="AC125" s="73"/>
      <c r="AD125" s="80" t="s">
        <v>788</v>
      </c>
      <c r="AE125" s="80"/>
      <c r="AF125" s="80"/>
      <c r="AG125" s="80"/>
      <c r="AH125" s="80"/>
      <c r="AI125" s="80"/>
      <c r="AJ125" s="87">
        <v>42261.345717592594</v>
      </c>
      <c r="AK125" s="85" t="str">
        <f>HYPERLINK("https://yt3.ggpht.com/ytc/AAUvwnju3oY3eQxxLoQesc-utaA9Dduoqq3sd9GYDr8E5Q=s88-c-k-c0x00ffffff-no-rj")</f>
        <v>https://yt3.ggpht.com/ytc/AAUvwnju3oY3eQxxLoQesc-utaA9Dduoqq3sd9GYDr8E5Q=s88-c-k-c0x00ffffff-no-rj</v>
      </c>
      <c r="AL125" s="80">
        <v>0</v>
      </c>
      <c r="AM125" s="80">
        <v>0</v>
      </c>
      <c r="AN125" s="80">
        <v>0</v>
      </c>
      <c r="AO125" s="80" t="b">
        <v>0</v>
      </c>
      <c r="AP125" s="80">
        <v>0</v>
      </c>
      <c r="AQ125" s="80"/>
      <c r="AR125" s="80"/>
      <c r="AS125" s="80" t="s">
        <v>871</v>
      </c>
      <c r="AT125" s="85" t="str">
        <f>HYPERLINK("https://www.youtube.com/channel/UCnwayuvfO0Buvpig6t1NHLA")</f>
        <v>https://www.youtube.com/channel/UCnwayuvfO0Buvpig6t1NHLA</v>
      </c>
      <c r="AU125" s="80" t="str">
        <f>REPLACE(INDEX(GroupVertices[Group],MATCH(Vertices[[#This Row],[Vertex]],GroupVertices[Vertex],0)),1,1,"")</f>
        <v>1</v>
      </c>
      <c r="AV125" s="49">
        <v>0</v>
      </c>
      <c r="AW125" s="50">
        <v>0</v>
      </c>
      <c r="AX125" s="49">
        <v>1</v>
      </c>
      <c r="AY125" s="50">
        <v>20</v>
      </c>
      <c r="AZ125" s="49">
        <v>0</v>
      </c>
      <c r="BA125" s="50">
        <v>0</v>
      </c>
      <c r="BB125" s="49">
        <v>4</v>
      </c>
      <c r="BC125" s="50">
        <v>80</v>
      </c>
      <c r="BD125" s="49">
        <v>5</v>
      </c>
      <c r="BE125" s="49"/>
      <c r="BF125" s="49"/>
      <c r="BG125" s="49"/>
      <c r="BH125" s="49"/>
      <c r="BI125" s="49"/>
      <c r="BJ125" s="49"/>
      <c r="BK125" s="111" t="s">
        <v>1057</v>
      </c>
      <c r="BL125" s="111" t="s">
        <v>1057</v>
      </c>
      <c r="BM125" s="111" t="s">
        <v>843</v>
      </c>
      <c r="BN125" s="111" t="s">
        <v>843</v>
      </c>
      <c r="BO125" s="2"/>
      <c r="BP125" s="3"/>
      <c r="BQ125" s="3"/>
      <c r="BR125" s="3"/>
      <c r="BS125" s="3"/>
    </row>
    <row r="126" spans="1:71" ht="15">
      <c r="A126" s="65" t="s">
        <v>449</v>
      </c>
      <c r="B126" s="66"/>
      <c r="C126" s="66"/>
      <c r="D126" s="67">
        <v>150</v>
      </c>
      <c r="E126" s="69"/>
      <c r="F126" s="103" t="str">
        <f>HYPERLINK("https://yt3.ggpht.com/ytc/AAUvwngEcX75SRn_TXakZ2eCLBeYJs3AuH8QmFqD76uF2g=s88-c-k-c0x00ffffff-no-rj")</f>
        <v>https://yt3.ggpht.com/ytc/AAUvwngEcX75SRn_TXakZ2eCLBeYJs3AuH8QmFqD76uF2g=s88-c-k-c0x00ffffff-no-rj</v>
      </c>
      <c r="G126" s="66"/>
      <c r="H126" s="70" t="s">
        <v>789</v>
      </c>
      <c r="I126" s="71"/>
      <c r="J126" s="71" t="s">
        <v>159</v>
      </c>
      <c r="K126" s="70" t="s">
        <v>789</v>
      </c>
      <c r="L126" s="74">
        <v>1</v>
      </c>
      <c r="M126" s="75">
        <v>8125.51416015625</v>
      </c>
      <c r="N126" s="75">
        <v>1871.2001953125</v>
      </c>
      <c r="O126" s="76"/>
      <c r="P126" s="77"/>
      <c r="Q126" s="77"/>
      <c r="R126" s="89"/>
      <c r="S126" s="49">
        <v>0</v>
      </c>
      <c r="T126" s="49">
        <v>1</v>
      </c>
      <c r="U126" s="50">
        <v>0</v>
      </c>
      <c r="V126" s="50">
        <v>0.002083</v>
      </c>
      <c r="W126" s="50">
        <v>0.000613</v>
      </c>
      <c r="X126" s="50">
        <v>0.577748</v>
      </c>
      <c r="Y126" s="50">
        <v>0</v>
      </c>
      <c r="Z126" s="50">
        <v>0</v>
      </c>
      <c r="AA126" s="72">
        <v>126</v>
      </c>
      <c r="AB126" s="72"/>
      <c r="AC126" s="73"/>
      <c r="AD126" s="80" t="s">
        <v>789</v>
      </c>
      <c r="AE126" s="80" t="s">
        <v>868</v>
      </c>
      <c r="AF126" s="80"/>
      <c r="AG126" s="80"/>
      <c r="AH126" s="80"/>
      <c r="AI126" s="80"/>
      <c r="AJ126" s="87">
        <v>41482.740625</v>
      </c>
      <c r="AK126" s="85" t="str">
        <f>HYPERLINK("https://yt3.ggpht.com/ytc/AAUvwngEcX75SRn_TXakZ2eCLBeYJs3AuH8QmFqD76uF2g=s88-c-k-c0x00ffffff-no-rj")</f>
        <v>https://yt3.ggpht.com/ytc/AAUvwngEcX75SRn_TXakZ2eCLBeYJs3AuH8QmFqD76uF2g=s88-c-k-c0x00ffffff-no-rj</v>
      </c>
      <c r="AL126" s="80">
        <v>0</v>
      </c>
      <c r="AM126" s="80">
        <v>0</v>
      </c>
      <c r="AN126" s="80">
        <v>45</v>
      </c>
      <c r="AO126" s="80" t="b">
        <v>0</v>
      </c>
      <c r="AP126" s="80">
        <v>0</v>
      </c>
      <c r="AQ126" s="80"/>
      <c r="AR126" s="80"/>
      <c r="AS126" s="80" t="s">
        <v>871</v>
      </c>
      <c r="AT126" s="85" t="str">
        <f>HYPERLINK("https://www.youtube.com/channel/UCLjavJHCl9XMdz-1HRSrlAg")</f>
        <v>https://www.youtube.com/channel/UCLjavJHCl9XMdz-1HRSrlAg</v>
      </c>
      <c r="AU126" s="80" t="str">
        <f>REPLACE(INDEX(GroupVertices[Group],MATCH(Vertices[[#This Row],[Vertex]],GroupVertices[Vertex],0)),1,1,"")</f>
        <v>11</v>
      </c>
      <c r="AV126" s="49">
        <v>0</v>
      </c>
      <c r="AW126" s="50">
        <v>0</v>
      </c>
      <c r="AX126" s="49">
        <v>0</v>
      </c>
      <c r="AY126" s="50">
        <v>0</v>
      </c>
      <c r="AZ126" s="49">
        <v>0</v>
      </c>
      <c r="BA126" s="50">
        <v>0</v>
      </c>
      <c r="BB126" s="49">
        <v>8</v>
      </c>
      <c r="BC126" s="50">
        <v>100</v>
      </c>
      <c r="BD126" s="49">
        <v>8</v>
      </c>
      <c r="BE126" s="49"/>
      <c r="BF126" s="49"/>
      <c r="BG126" s="49"/>
      <c r="BH126" s="49"/>
      <c r="BI126" s="49"/>
      <c r="BJ126" s="49"/>
      <c r="BK126" s="111" t="s">
        <v>1363</v>
      </c>
      <c r="BL126" s="111" t="s">
        <v>1363</v>
      </c>
      <c r="BM126" s="111" t="s">
        <v>1434</v>
      </c>
      <c r="BN126" s="111" t="s">
        <v>1434</v>
      </c>
      <c r="BO126" s="2"/>
      <c r="BP126" s="3"/>
      <c r="BQ126" s="3"/>
      <c r="BR126" s="3"/>
      <c r="BS126" s="3"/>
    </row>
    <row r="127" spans="1:71" ht="15">
      <c r="A127" s="65" t="s">
        <v>450</v>
      </c>
      <c r="B127" s="66"/>
      <c r="C127" s="66"/>
      <c r="D127" s="67">
        <v>362.5</v>
      </c>
      <c r="E127" s="69"/>
      <c r="F127" s="103" t="str">
        <f>HYPERLINK("https://yt3.ggpht.com/ytc/AAUvwng6d32LYoE-YsxhW4dVUoWBJ5KN1v7GsAOzBQ=s88-c-k-c0x00ffffff-no-rj")</f>
        <v>https://yt3.ggpht.com/ytc/AAUvwng6d32LYoE-YsxhW4dVUoWBJ5KN1v7GsAOzBQ=s88-c-k-c0x00ffffff-no-rj</v>
      </c>
      <c r="G127" s="66"/>
      <c r="H127" s="70" t="s">
        <v>790</v>
      </c>
      <c r="I127" s="71"/>
      <c r="J127" s="71" t="s">
        <v>159</v>
      </c>
      <c r="K127" s="70" t="s">
        <v>790</v>
      </c>
      <c r="L127" s="74">
        <v>80.984</v>
      </c>
      <c r="M127" s="75">
        <v>8125.51416015625</v>
      </c>
      <c r="N127" s="75">
        <v>1423.26806640625</v>
      </c>
      <c r="O127" s="76"/>
      <c r="P127" s="77"/>
      <c r="Q127" s="77"/>
      <c r="R127" s="89"/>
      <c r="S127" s="49">
        <v>1</v>
      </c>
      <c r="T127" s="49">
        <v>1</v>
      </c>
      <c r="U127" s="50">
        <v>302</v>
      </c>
      <c r="V127" s="50">
        <v>0.00304</v>
      </c>
      <c r="W127" s="50">
        <v>0.007186</v>
      </c>
      <c r="X127" s="50">
        <v>1.006466</v>
      </c>
      <c r="Y127" s="50">
        <v>0</v>
      </c>
      <c r="Z127" s="50">
        <v>0</v>
      </c>
      <c r="AA127" s="72">
        <v>127</v>
      </c>
      <c r="AB127" s="72"/>
      <c r="AC127" s="73"/>
      <c r="AD127" s="80" t="s">
        <v>790</v>
      </c>
      <c r="AE127" s="80"/>
      <c r="AF127" s="80"/>
      <c r="AG127" s="80"/>
      <c r="AH127" s="80"/>
      <c r="AI127" s="80"/>
      <c r="AJ127" s="87">
        <v>44051.63959490741</v>
      </c>
      <c r="AK127" s="85" t="str">
        <f>HYPERLINK("https://yt3.ggpht.com/ytc/AAUvwng6d32LYoE-YsxhW4dVUoWBJ5KN1v7GsAOzBQ=s88-c-k-c0x00ffffff-no-rj")</f>
        <v>https://yt3.ggpht.com/ytc/AAUvwng6d32LYoE-YsxhW4dVUoWBJ5KN1v7GsAOzBQ=s88-c-k-c0x00ffffff-no-rj</v>
      </c>
      <c r="AL127" s="80">
        <v>0</v>
      </c>
      <c r="AM127" s="80">
        <v>0</v>
      </c>
      <c r="AN127" s="80">
        <v>0</v>
      </c>
      <c r="AO127" s="80" t="b">
        <v>0</v>
      </c>
      <c r="AP127" s="80">
        <v>0</v>
      </c>
      <c r="AQ127" s="80"/>
      <c r="AR127" s="80"/>
      <c r="AS127" s="80" t="s">
        <v>871</v>
      </c>
      <c r="AT127" s="85" t="str">
        <f>HYPERLINK("https://www.youtube.com/channel/UCkZ1kzcwoKfNEFZDpr-NwMw")</f>
        <v>https://www.youtube.com/channel/UCkZ1kzcwoKfNEFZDpr-NwMw</v>
      </c>
      <c r="AU127" s="80" t="str">
        <f>REPLACE(INDEX(GroupVertices[Group],MATCH(Vertices[[#This Row],[Vertex]],GroupVertices[Vertex],0)),1,1,"")</f>
        <v>11</v>
      </c>
      <c r="AV127" s="49">
        <v>0</v>
      </c>
      <c r="AW127" s="50">
        <v>0</v>
      </c>
      <c r="AX127" s="49">
        <v>1</v>
      </c>
      <c r="AY127" s="50">
        <v>1.639344262295082</v>
      </c>
      <c r="AZ127" s="49">
        <v>0</v>
      </c>
      <c r="BA127" s="50">
        <v>0</v>
      </c>
      <c r="BB127" s="49">
        <v>60</v>
      </c>
      <c r="BC127" s="50">
        <v>98.36065573770492</v>
      </c>
      <c r="BD127" s="49">
        <v>61</v>
      </c>
      <c r="BE127" s="49"/>
      <c r="BF127" s="49"/>
      <c r="BG127" s="49"/>
      <c r="BH127" s="49"/>
      <c r="BI127" s="49"/>
      <c r="BJ127" s="49"/>
      <c r="BK127" s="111" t="s">
        <v>1364</v>
      </c>
      <c r="BL127" s="111" t="s">
        <v>1364</v>
      </c>
      <c r="BM127" s="111" t="s">
        <v>1435</v>
      </c>
      <c r="BN127" s="111" t="s">
        <v>1435</v>
      </c>
      <c r="BO127" s="2"/>
      <c r="BP127" s="3"/>
      <c r="BQ127" s="3"/>
      <c r="BR127" s="3"/>
      <c r="BS127" s="3"/>
    </row>
    <row r="128" spans="1:71" ht="15">
      <c r="A128" s="65" t="s">
        <v>451</v>
      </c>
      <c r="B128" s="66"/>
      <c r="C128" s="66"/>
      <c r="D128" s="67">
        <v>150</v>
      </c>
      <c r="E128" s="69"/>
      <c r="F128" s="103" t="str">
        <f>HYPERLINK("https://yt3.ggpht.com/ytc/AAUvwnh5U3BKezE-XvpLMALyCXynhXhy08dYrOSjKQ=s88-c-k-c0x00ffffff-no-rj")</f>
        <v>https://yt3.ggpht.com/ytc/AAUvwnh5U3BKezE-XvpLMALyCXynhXhy08dYrOSjKQ=s88-c-k-c0x00ffffff-no-rj</v>
      </c>
      <c r="G128" s="66"/>
      <c r="H128" s="70" t="s">
        <v>791</v>
      </c>
      <c r="I128" s="71"/>
      <c r="J128" s="71" t="s">
        <v>159</v>
      </c>
      <c r="K128" s="70" t="s">
        <v>791</v>
      </c>
      <c r="L128" s="74">
        <v>1</v>
      </c>
      <c r="M128" s="75">
        <v>3500.181884765625</v>
      </c>
      <c r="N128" s="75">
        <v>3849.440673828125</v>
      </c>
      <c r="O128" s="76"/>
      <c r="P128" s="77"/>
      <c r="Q128" s="77"/>
      <c r="R128" s="89"/>
      <c r="S128" s="49">
        <v>0</v>
      </c>
      <c r="T128" s="49">
        <v>1</v>
      </c>
      <c r="U128" s="50">
        <v>0</v>
      </c>
      <c r="V128" s="50">
        <v>0.003021</v>
      </c>
      <c r="W128" s="50">
        <v>0.007133</v>
      </c>
      <c r="X128" s="50">
        <v>0.515381</v>
      </c>
      <c r="Y128" s="50">
        <v>0</v>
      </c>
      <c r="Z128" s="50">
        <v>0</v>
      </c>
      <c r="AA128" s="72">
        <v>128</v>
      </c>
      <c r="AB128" s="72"/>
      <c r="AC128" s="73"/>
      <c r="AD128" s="80" t="s">
        <v>791</v>
      </c>
      <c r="AE128" s="80"/>
      <c r="AF128" s="80"/>
      <c r="AG128" s="80"/>
      <c r="AH128" s="80"/>
      <c r="AI128" s="80"/>
      <c r="AJ128" s="87">
        <v>42076.76412037037</v>
      </c>
      <c r="AK128" s="85" t="str">
        <f>HYPERLINK("https://yt3.ggpht.com/ytc/AAUvwnh5U3BKezE-XvpLMALyCXynhXhy08dYrOSjKQ=s88-c-k-c0x00ffffff-no-rj")</f>
        <v>https://yt3.ggpht.com/ytc/AAUvwnh5U3BKezE-XvpLMALyCXynhXhy08dYrOSjKQ=s88-c-k-c0x00ffffff-no-rj</v>
      </c>
      <c r="AL128" s="80">
        <v>0</v>
      </c>
      <c r="AM128" s="80">
        <v>0</v>
      </c>
      <c r="AN128" s="80">
        <v>1</v>
      </c>
      <c r="AO128" s="80" t="b">
        <v>0</v>
      </c>
      <c r="AP128" s="80">
        <v>0</v>
      </c>
      <c r="AQ128" s="80"/>
      <c r="AR128" s="80"/>
      <c r="AS128" s="80" t="s">
        <v>871</v>
      </c>
      <c r="AT128" s="85" t="str">
        <f>HYPERLINK("https://www.youtube.com/channel/UC4QyM1zt8sEbSeOFfw63mFA")</f>
        <v>https://www.youtube.com/channel/UC4QyM1zt8sEbSeOFfw63mFA</v>
      </c>
      <c r="AU128" s="80" t="str">
        <f>REPLACE(INDEX(GroupVertices[Group],MATCH(Vertices[[#This Row],[Vertex]],GroupVertices[Vertex],0)),1,1,"")</f>
        <v>1</v>
      </c>
      <c r="AV128" s="49">
        <v>1</v>
      </c>
      <c r="AW128" s="50">
        <v>3.4482758620689653</v>
      </c>
      <c r="AX128" s="49">
        <v>1</v>
      </c>
      <c r="AY128" s="50">
        <v>3.4482758620689653</v>
      </c>
      <c r="AZ128" s="49">
        <v>0</v>
      </c>
      <c r="BA128" s="50">
        <v>0</v>
      </c>
      <c r="BB128" s="49">
        <v>27</v>
      </c>
      <c r="BC128" s="50">
        <v>93.10344827586206</v>
      </c>
      <c r="BD128" s="49">
        <v>29</v>
      </c>
      <c r="BE128" s="49"/>
      <c r="BF128" s="49"/>
      <c r="BG128" s="49"/>
      <c r="BH128" s="49"/>
      <c r="BI128" s="49"/>
      <c r="BJ128" s="49"/>
      <c r="BK128" s="111" t="s">
        <v>1365</v>
      </c>
      <c r="BL128" s="111" t="s">
        <v>1365</v>
      </c>
      <c r="BM128" s="111" t="s">
        <v>1436</v>
      </c>
      <c r="BN128" s="111" t="s">
        <v>1436</v>
      </c>
      <c r="BO128" s="2"/>
      <c r="BP128" s="3"/>
      <c r="BQ128" s="3"/>
      <c r="BR128" s="3"/>
      <c r="BS128" s="3"/>
    </row>
    <row r="129" spans="1:71" ht="15">
      <c r="A129" s="65" t="s">
        <v>452</v>
      </c>
      <c r="B129" s="66"/>
      <c r="C129" s="66"/>
      <c r="D129" s="67">
        <v>150</v>
      </c>
      <c r="E129" s="69"/>
      <c r="F129" s="103" t="str">
        <f>HYPERLINK("https://yt3.ggpht.com/ytc/AAUvwnjEdLJZkuIrN2GOs5qgGq2DND-NLcvqZXNfuoMPXko=s88-c-k-c0x00ffffff-no-rj")</f>
        <v>https://yt3.ggpht.com/ytc/AAUvwnjEdLJZkuIrN2GOs5qgGq2DND-NLcvqZXNfuoMPXko=s88-c-k-c0x00ffffff-no-rj</v>
      </c>
      <c r="G129" s="66"/>
      <c r="H129" s="70" t="s">
        <v>792</v>
      </c>
      <c r="I129" s="71"/>
      <c r="J129" s="71" t="s">
        <v>159</v>
      </c>
      <c r="K129" s="70" t="s">
        <v>792</v>
      </c>
      <c r="L129" s="74">
        <v>1</v>
      </c>
      <c r="M129" s="75">
        <v>4608.51708984375</v>
      </c>
      <c r="N129" s="75">
        <v>6560.68798828125</v>
      </c>
      <c r="O129" s="76"/>
      <c r="P129" s="77"/>
      <c r="Q129" s="77"/>
      <c r="R129" s="89"/>
      <c r="S129" s="49">
        <v>0</v>
      </c>
      <c r="T129" s="49">
        <v>1</v>
      </c>
      <c r="U129" s="50">
        <v>0</v>
      </c>
      <c r="V129" s="50">
        <v>0.003021</v>
      </c>
      <c r="W129" s="50">
        <v>0.007133</v>
      </c>
      <c r="X129" s="50">
        <v>0.515381</v>
      </c>
      <c r="Y129" s="50">
        <v>0</v>
      </c>
      <c r="Z129" s="50">
        <v>0</v>
      </c>
      <c r="AA129" s="72">
        <v>129</v>
      </c>
      <c r="AB129" s="72"/>
      <c r="AC129" s="73"/>
      <c r="AD129" s="80" t="s">
        <v>792</v>
      </c>
      <c r="AE129" s="80"/>
      <c r="AF129" s="80"/>
      <c r="AG129" s="80"/>
      <c r="AH129" s="80"/>
      <c r="AI129" s="80"/>
      <c r="AJ129" s="87">
        <v>42418.745092592595</v>
      </c>
      <c r="AK129" s="85" t="str">
        <f>HYPERLINK("https://yt3.ggpht.com/ytc/AAUvwnjEdLJZkuIrN2GOs5qgGq2DND-NLcvqZXNfuoMPXko=s88-c-k-c0x00ffffff-no-rj")</f>
        <v>https://yt3.ggpht.com/ytc/AAUvwnjEdLJZkuIrN2GOs5qgGq2DND-NLcvqZXNfuoMPXko=s88-c-k-c0x00ffffff-no-rj</v>
      </c>
      <c r="AL129" s="80">
        <v>0</v>
      </c>
      <c r="AM129" s="80">
        <v>0</v>
      </c>
      <c r="AN129" s="80">
        <v>1</v>
      </c>
      <c r="AO129" s="80" t="b">
        <v>0</v>
      </c>
      <c r="AP129" s="80">
        <v>0</v>
      </c>
      <c r="AQ129" s="80"/>
      <c r="AR129" s="80"/>
      <c r="AS129" s="80" t="s">
        <v>871</v>
      </c>
      <c r="AT129" s="85" t="str">
        <f>HYPERLINK("https://www.youtube.com/channel/UCpRws4XFaiFQtfmd32lS8Ag")</f>
        <v>https://www.youtube.com/channel/UCpRws4XFaiFQtfmd32lS8Ag</v>
      </c>
      <c r="AU129" s="80" t="str">
        <f>REPLACE(INDEX(GroupVertices[Group],MATCH(Vertices[[#This Row],[Vertex]],GroupVertices[Vertex],0)),1,1,"")</f>
        <v>1</v>
      </c>
      <c r="AV129" s="49">
        <v>9</v>
      </c>
      <c r="AW129" s="50">
        <v>5.325443786982248</v>
      </c>
      <c r="AX129" s="49">
        <v>15</v>
      </c>
      <c r="AY129" s="50">
        <v>8.875739644970414</v>
      </c>
      <c r="AZ129" s="49">
        <v>0</v>
      </c>
      <c r="BA129" s="50">
        <v>0</v>
      </c>
      <c r="BB129" s="49">
        <v>150</v>
      </c>
      <c r="BC129" s="50">
        <v>88.75739644970415</v>
      </c>
      <c r="BD129" s="49">
        <v>169</v>
      </c>
      <c r="BE129" s="49"/>
      <c r="BF129" s="49"/>
      <c r="BG129" s="49"/>
      <c r="BH129" s="49"/>
      <c r="BI129" s="49"/>
      <c r="BJ129" s="49"/>
      <c r="BK129" s="111" t="s">
        <v>1531</v>
      </c>
      <c r="BL129" s="111" t="s">
        <v>1531</v>
      </c>
      <c r="BM129" s="111" t="s">
        <v>1437</v>
      </c>
      <c r="BN129" s="111" t="s">
        <v>1437</v>
      </c>
      <c r="BO129" s="2"/>
      <c r="BP129" s="3"/>
      <c r="BQ129" s="3"/>
      <c r="BR129" s="3"/>
      <c r="BS129" s="3"/>
    </row>
    <row r="130" spans="1:71" ht="15">
      <c r="A130" s="65" t="s">
        <v>453</v>
      </c>
      <c r="B130" s="66"/>
      <c r="C130" s="66"/>
      <c r="D130" s="67">
        <v>150</v>
      </c>
      <c r="E130" s="69"/>
      <c r="F130" s="103" t="str">
        <f>HYPERLINK("https://yt3.ggpht.com/ytc/AAUvwngTw78GoycpK5wTI64kk7kwP58tMtL-a8-u8w=s88-c-k-c0x00ffffff-no-rj")</f>
        <v>https://yt3.ggpht.com/ytc/AAUvwngTw78GoycpK5wTI64kk7kwP58tMtL-a8-u8w=s88-c-k-c0x00ffffff-no-rj</v>
      </c>
      <c r="G130" s="66"/>
      <c r="H130" s="70" t="s">
        <v>793</v>
      </c>
      <c r="I130" s="71"/>
      <c r="J130" s="71" t="s">
        <v>159</v>
      </c>
      <c r="K130" s="70" t="s">
        <v>793</v>
      </c>
      <c r="L130" s="74">
        <v>1</v>
      </c>
      <c r="M130" s="75">
        <v>3933.430908203125</v>
      </c>
      <c r="N130" s="75">
        <v>9667.0712890625</v>
      </c>
      <c r="O130" s="76"/>
      <c r="P130" s="77"/>
      <c r="Q130" s="77"/>
      <c r="R130" s="89"/>
      <c r="S130" s="49">
        <v>0</v>
      </c>
      <c r="T130" s="49">
        <v>1</v>
      </c>
      <c r="U130" s="50">
        <v>0</v>
      </c>
      <c r="V130" s="50">
        <v>0.003021</v>
      </c>
      <c r="W130" s="50">
        <v>0.007133</v>
      </c>
      <c r="X130" s="50">
        <v>0.515381</v>
      </c>
      <c r="Y130" s="50">
        <v>0</v>
      </c>
      <c r="Z130" s="50">
        <v>0</v>
      </c>
      <c r="AA130" s="72">
        <v>130</v>
      </c>
      <c r="AB130" s="72"/>
      <c r="AC130" s="73"/>
      <c r="AD130" s="80" t="s">
        <v>793</v>
      </c>
      <c r="AE130" s="80"/>
      <c r="AF130" s="80"/>
      <c r="AG130" s="80"/>
      <c r="AH130" s="80"/>
      <c r="AI130" s="80"/>
      <c r="AJ130" s="87">
        <v>43108.60644675926</v>
      </c>
      <c r="AK130" s="85" t="str">
        <f>HYPERLINK("https://yt3.ggpht.com/ytc/AAUvwngTw78GoycpK5wTI64kk7kwP58tMtL-a8-u8w=s88-c-k-c0x00ffffff-no-rj")</f>
        <v>https://yt3.ggpht.com/ytc/AAUvwngTw78GoycpK5wTI64kk7kwP58tMtL-a8-u8w=s88-c-k-c0x00ffffff-no-rj</v>
      </c>
      <c r="AL130" s="80">
        <v>0</v>
      </c>
      <c r="AM130" s="80">
        <v>0</v>
      </c>
      <c r="AN130" s="80">
        <v>17</v>
      </c>
      <c r="AO130" s="80" t="b">
        <v>0</v>
      </c>
      <c r="AP130" s="80">
        <v>0</v>
      </c>
      <c r="AQ130" s="80"/>
      <c r="AR130" s="80"/>
      <c r="AS130" s="80" t="s">
        <v>871</v>
      </c>
      <c r="AT130" s="85" t="str">
        <f>HYPERLINK("https://www.youtube.com/channel/UCQ4_-9ld_2rCwq10BoHWkKg")</f>
        <v>https://www.youtube.com/channel/UCQ4_-9ld_2rCwq10BoHWkKg</v>
      </c>
      <c r="AU130" s="80" t="str">
        <f>REPLACE(INDEX(GroupVertices[Group],MATCH(Vertices[[#This Row],[Vertex]],GroupVertices[Vertex],0)),1,1,"")</f>
        <v>1</v>
      </c>
      <c r="AV130" s="49">
        <v>1</v>
      </c>
      <c r="AW130" s="50">
        <v>3.7037037037037037</v>
      </c>
      <c r="AX130" s="49">
        <v>0</v>
      </c>
      <c r="AY130" s="50">
        <v>0</v>
      </c>
      <c r="AZ130" s="49">
        <v>0</v>
      </c>
      <c r="BA130" s="50">
        <v>0</v>
      </c>
      <c r="BB130" s="49">
        <v>26</v>
      </c>
      <c r="BC130" s="50">
        <v>96.29629629629629</v>
      </c>
      <c r="BD130" s="49">
        <v>27</v>
      </c>
      <c r="BE130" s="49"/>
      <c r="BF130" s="49"/>
      <c r="BG130" s="49"/>
      <c r="BH130" s="49"/>
      <c r="BI130" s="49"/>
      <c r="BJ130" s="49"/>
      <c r="BK130" s="111" t="s">
        <v>1532</v>
      </c>
      <c r="BL130" s="111" t="s">
        <v>1532</v>
      </c>
      <c r="BM130" s="111" t="s">
        <v>1597</v>
      </c>
      <c r="BN130" s="111" t="s">
        <v>1597</v>
      </c>
      <c r="BO130" s="2"/>
      <c r="BP130" s="3"/>
      <c r="BQ130" s="3"/>
      <c r="BR130" s="3"/>
      <c r="BS130" s="3"/>
    </row>
    <row r="131" spans="1:71" ht="15">
      <c r="A131" s="65" t="s">
        <v>454</v>
      </c>
      <c r="B131" s="66"/>
      <c r="C131" s="66"/>
      <c r="D131" s="67">
        <v>150</v>
      </c>
      <c r="E131" s="69"/>
      <c r="F131" s="103" t="str">
        <f>HYPERLINK("https://yt3.ggpht.com/ytc/AAUvwnh16NiKKN9AoWMfDYn23YA2M6K5HzA0i3AP8Q=s88-c-k-c0x00ffffff-no-rj")</f>
        <v>https://yt3.ggpht.com/ytc/AAUvwnh16NiKKN9AoWMfDYn23YA2M6K5HzA0i3AP8Q=s88-c-k-c0x00ffffff-no-rj</v>
      </c>
      <c r="G131" s="66"/>
      <c r="H131" s="70" t="s">
        <v>794</v>
      </c>
      <c r="I131" s="71"/>
      <c r="J131" s="71" t="s">
        <v>159</v>
      </c>
      <c r="K131" s="70" t="s">
        <v>794</v>
      </c>
      <c r="L131" s="74">
        <v>1</v>
      </c>
      <c r="M131" s="75">
        <v>1105.0743408203125</v>
      </c>
      <c r="N131" s="75">
        <v>5830.08935546875</v>
      </c>
      <c r="O131" s="76"/>
      <c r="P131" s="77"/>
      <c r="Q131" s="77"/>
      <c r="R131" s="89"/>
      <c r="S131" s="49">
        <v>0</v>
      </c>
      <c r="T131" s="49">
        <v>1</v>
      </c>
      <c r="U131" s="50">
        <v>0</v>
      </c>
      <c r="V131" s="50">
        <v>0.003021</v>
      </c>
      <c r="W131" s="50">
        <v>0.007133</v>
      </c>
      <c r="X131" s="50">
        <v>0.515381</v>
      </c>
      <c r="Y131" s="50">
        <v>0</v>
      </c>
      <c r="Z131" s="50">
        <v>0</v>
      </c>
      <c r="AA131" s="72">
        <v>131</v>
      </c>
      <c r="AB131" s="72"/>
      <c r="AC131" s="73"/>
      <c r="AD131" s="80" t="s">
        <v>794</v>
      </c>
      <c r="AE131" s="80"/>
      <c r="AF131" s="80"/>
      <c r="AG131" s="80"/>
      <c r="AH131" s="80"/>
      <c r="AI131" s="80"/>
      <c r="AJ131" s="87">
        <v>44064.65111111111</v>
      </c>
      <c r="AK131" s="85" t="str">
        <f>HYPERLINK("https://yt3.ggpht.com/ytc/AAUvwnh16NiKKN9AoWMfDYn23YA2M6K5HzA0i3AP8Q=s88-c-k-c0x00ffffff-no-rj")</f>
        <v>https://yt3.ggpht.com/ytc/AAUvwnh16NiKKN9AoWMfDYn23YA2M6K5HzA0i3AP8Q=s88-c-k-c0x00ffffff-no-rj</v>
      </c>
      <c r="AL131" s="80">
        <v>0</v>
      </c>
      <c r="AM131" s="80">
        <v>0</v>
      </c>
      <c r="AN131" s="80">
        <v>0</v>
      </c>
      <c r="AO131" s="80" t="b">
        <v>0</v>
      </c>
      <c r="AP131" s="80">
        <v>0</v>
      </c>
      <c r="AQ131" s="80"/>
      <c r="AR131" s="80"/>
      <c r="AS131" s="80" t="s">
        <v>871</v>
      </c>
      <c r="AT131" s="85" t="str">
        <f>HYPERLINK("https://www.youtube.com/channel/UCUyVTvdsDRbp1j6kpGstRyw")</f>
        <v>https://www.youtube.com/channel/UCUyVTvdsDRbp1j6kpGstRyw</v>
      </c>
      <c r="AU131" s="80" t="str">
        <f>REPLACE(INDEX(GroupVertices[Group],MATCH(Vertices[[#This Row],[Vertex]],GroupVertices[Vertex],0)),1,1,"")</f>
        <v>1</v>
      </c>
      <c r="AV131" s="49">
        <v>0</v>
      </c>
      <c r="AW131" s="50">
        <v>0</v>
      </c>
      <c r="AX131" s="49">
        <v>1</v>
      </c>
      <c r="AY131" s="50">
        <v>14.285714285714286</v>
      </c>
      <c r="AZ131" s="49">
        <v>0</v>
      </c>
      <c r="BA131" s="50">
        <v>0</v>
      </c>
      <c r="BB131" s="49">
        <v>6</v>
      </c>
      <c r="BC131" s="50">
        <v>85.71428571428571</v>
      </c>
      <c r="BD131" s="49">
        <v>7</v>
      </c>
      <c r="BE131" s="49"/>
      <c r="BF131" s="49"/>
      <c r="BG131" s="49"/>
      <c r="BH131" s="49"/>
      <c r="BI131" s="49"/>
      <c r="BJ131" s="49"/>
      <c r="BK131" s="111" t="s">
        <v>1366</v>
      </c>
      <c r="BL131" s="111" t="s">
        <v>1366</v>
      </c>
      <c r="BM131" s="111" t="s">
        <v>1438</v>
      </c>
      <c r="BN131" s="111" t="s">
        <v>1438</v>
      </c>
      <c r="BO131" s="2"/>
      <c r="BP131" s="3"/>
      <c r="BQ131" s="3"/>
      <c r="BR131" s="3"/>
      <c r="BS131" s="3"/>
    </row>
    <row r="132" spans="1:71" ht="15">
      <c r="A132" s="65" t="s">
        <v>455</v>
      </c>
      <c r="B132" s="66"/>
      <c r="C132" s="66"/>
      <c r="D132" s="67">
        <v>150</v>
      </c>
      <c r="E132" s="69"/>
      <c r="F132" s="103" t="str">
        <f>HYPERLINK("https://yt3.ggpht.com/ytc/AAUvwnhRNPP6sOd3BmQWsUp-ScMgjbLP0CDHaxCGkQ=s88-c-k-c0x00ffffff-no-rj")</f>
        <v>https://yt3.ggpht.com/ytc/AAUvwnhRNPP6sOd3BmQWsUp-ScMgjbLP0CDHaxCGkQ=s88-c-k-c0x00ffffff-no-rj</v>
      </c>
      <c r="G132" s="66"/>
      <c r="H132" s="70" t="s">
        <v>795</v>
      </c>
      <c r="I132" s="71"/>
      <c r="J132" s="71" t="s">
        <v>159</v>
      </c>
      <c r="K132" s="70" t="s">
        <v>795</v>
      </c>
      <c r="L132" s="74">
        <v>1</v>
      </c>
      <c r="M132" s="75">
        <v>196.59922790527344</v>
      </c>
      <c r="N132" s="75">
        <v>4447.37890625</v>
      </c>
      <c r="O132" s="76"/>
      <c r="P132" s="77"/>
      <c r="Q132" s="77"/>
      <c r="R132" s="89"/>
      <c r="S132" s="49">
        <v>0</v>
      </c>
      <c r="T132" s="49">
        <v>1</v>
      </c>
      <c r="U132" s="50">
        <v>0</v>
      </c>
      <c r="V132" s="50">
        <v>0.003021</v>
      </c>
      <c r="W132" s="50">
        <v>0.007133</v>
      </c>
      <c r="X132" s="50">
        <v>0.515381</v>
      </c>
      <c r="Y132" s="50">
        <v>0</v>
      </c>
      <c r="Z132" s="50">
        <v>0</v>
      </c>
      <c r="AA132" s="72">
        <v>132</v>
      </c>
      <c r="AB132" s="72"/>
      <c r="AC132" s="73"/>
      <c r="AD132" s="80" t="s">
        <v>795</v>
      </c>
      <c r="AE132" s="80"/>
      <c r="AF132" s="80"/>
      <c r="AG132" s="80"/>
      <c r="AH132" s="80"/>
      <c r="AI132" s="80"/>
      <c r="AJ132" s="87">
        <v>43476.091319444444</v>
      </c>
      <c r="AK132" s="85" t="str">
        <f>HYPERLINK("https://yt3.ggpht.com/ytc/AAUvwnhRNPP6sOd3BmQWsUp-ScMgjbLP0CDHaxCGkQ=s88-c-k-c0x00ffffff-no-rj")</f>
        <v>https://yt3.ggpht.com/ytc/AAUvwnhRNPP6sOd3BmQWsUp-ScMgjbLP0CDHaxCGkQ=s88-c-k-c0x00ffffff-no-rj</v>
      </c>
      <c r="AL132" s="80">
        <v>0</v>
      </c>
      <c r="AM132" s="80">
        <v>0</v>
      </c>
      <c r="AN132" s="80">
        <v>0</v>
      </c>
      <c r="AO132" s="80" t="b">
        <v>0</v>
      </c>
      <c r="AP132" s="80">
        <v>0</v>
      </c>
      <c r="AQ132" s="80"/>
      <c r="AR132" s="80"/>
      <c r="AS132" s="80" t="s">
        <v>871</v>
      </c>
      <c r="AT132" s="85" t="str">
        <f>HYPERLINK("https://www.youtube.com/channel/UCWn8vuyfirkkJbPVdGlS5KQ")</f>
        <v>https://www.youtube.com/channel/UCWn8vuyfirkkJbPVdGlS5KQ</v>
      </c>
      <c r="AU132" s="80" t="str">
        <f>REPLACE(INDEX(GroupVertices[Group],MATCH(Vertices[[#This Row],[Vertex]],GroupVertices[Vertex],0)),1,1,"")</f>
        <v>1</v>
      </c>
      <c r="AV132" s="49">
        <v>0</v>
      </c>
      <c r="AW132" s="50">
        <v>0</v>
      </c>
      <c r="AX132" s="49">
        <v>0</v>
      </c>
      <c r="AY132" s="50">
        <v>0</v>
      </c>
      <c r="AZ132" s="49">
        <v>0</v>
      </c>
      <c r="BA132" s="50">
        <v>0</v>
      </c>
      <c r="BB132" s="49">
        <v>15</v>
      </c>
      <c r="BC132" s="50">
        <v>100</v>
      </c>
      <c r="BD132" s="49">
        <v>15</v>
      </c>
      <c r="BE132" s="49"/>
      <c r="BF132" s="49"/>
      <c r="BG132" s="49"/>
      <c r="BH132" s="49"/>
      <c r="BI132" s="49"/>
      <c r="BJ132" s="49"/>
      <c r="BK132" s="111" t="s">
        <v>1533</v>
      </c>
      <c r="BL132" s="111" t="s">
        <v>1533</v>
      </c>
      <c r="BM132" s="111" t="s">
        <v>1598</v>
      </c>
      <c r="BN132" s="111" t="s">
        <v>1598</v>
      </c>
      <c r="BO132" s="2"/>
      <c r="BP132" s="3"/>
      <c r="BQ132" s="3"/>
      <c r="BR132" s="3"/>
      <c r="BS132" s="3"/>
    </row>
    <row r="133" spans="1:71" ht="15">
      <c r="A133" s="65" t="s">
        <v>456</v>
      </c>
      <c r="B133" s="66"/>
      <c r="C133" s="66"/>
      <c r="D133" s="67">
        <v>150</v>
      </c>
      <c r="E133" s="69"/>
      <c r="F133" s="103" t="str">
        <f>HYPERLINK("https://yt3.ggpht.com/ytc/AAUvwni6_XFLFjSLpjSylg90bQmGtLZKLnoWZw4e_w=s88-c-k-c0x00ffffff-no-rj")</f>
        <v>https://yt3.ggpht.com/ytc/AAUvwni6_XFLFjSLpjSylg90bQmGtLZKLnoWZw4e_w=s88-c-k-c0x00ffffff-no-rj</v>
      </c>
      <c r="G133" s="66"/>
      <c r="H133" s="70" t="s">
        <v>796</v>
      </c>
      <c r="I133" s="71"/>
      <c r="J133" s="71" t="s">
        <v>159</v>
      </c>
      <c r="K133" s="70" t="s">
        <v>796</v>
      </c>
      <c r="L133" s="74">
        <v>1</v>
      </c>
      <c r="M133" s="75">
        <v>4299.79541015625</v>
      </c>
      <c r="N133" s="75">
        <v>8673.9404296875</v>
      </c>
      <c r="O133" s="76"/>
      <c r="P133" s="77"/>
      <c r="Q133" s="77"/>
      <c r="R133" s="89"/>
      <c r="S133" s="49">
        <v>0</v>
      </c>
      <c r="T133" s="49">
        <v>1</v>
      </c>
      <c r="U133" s="50">
        <v>0</v>
      </c>
      <c r="V133" s="50">
        <v>0.003021</v>
      </c>
      <c r="W133" s="50">
        <v>0.007133</v>
      </c>
      <c r="X133" s="50">
        <v>0.515381</v>
      </c>
      <c r="Y133" s="50">
        <v>0</v>
      </c>
      <c r="Z133" s="50">
        <v>0</v>
      </c>
      <c r="AA133" s="72">
        <v>133</v>
      </c>
      <c r="AB133" s="72"/>
      <c r="AC133" s="73"/>
      <c r="AD133" s="80" t="s">
        <v>796</v>
      </c>
      <c r="AE133" s="80" t="s">
        <v>869</v>
      </c>
      <c r="AF133" s="80"/>
      <c r="AG133" s="80"/>
      <c r="AH133" s="80"/>
      <c r="AI133" s="80"/>
      <c r="AJ133" s="87">
        <v>43166.35060185185</v>
      </c>
      <c r="AK133" s="85" t="str">
        <f>HYPERLINK("https://yt3.ggpht.com/ytc/AAUvwni6_XFLFjSLpjSylg90bQmGtLZKLnoWZw4e_w=s88-c-k-c0x00ffffff-no-rj")</f>
        <v>https://yt3.ggpht.com/ytc/AAUvwni6_XFLFjSLpjSylg90bQmGtLZKLnoWZw4e_w=s88-c-k-c0x00ffffff-no-rj</v>
      </c>
      <c r="AL133" s="80">
        <v>0</v>
      </c>
      <c r="AM133" s="80">
        <v>0</v>
      </c>
      <c r="AN133" s="80">
        <v>1</v>
      </c>
      <c r="AO133" s="80" t="b">
        <v>0</v>
      </c>
      <c r="AP133" s="80">
        <v>0</v>
      </c>
      <c r="AQ133" s="80"/>
      <c r="AR133" s="80"/>
      <c r="AS133" s="80" t="s">
        <v>871</v>
      </c>
      <c r="AT133" s="85" t="str">
        <f>HYPERLINK("https://www.youtube.com/channel/UCui6uBSvAYX-Lqjb_wzCBeg")</f>
        <v>https://www.youtube.com/channel/UCui6uBSvAYX-Lqjb_wzCBeg</v>
      </c>
      <c r="AU133" s="80" t="str">
        <f>REPLACE(INDEX(GroupVertices[Group],MATCH(Vertices[[#This Row],[Vertex]],GroupVertices[Vertex],0)),1,1,"")</f>
        <v>1</v>
      </c>
      <c r="AV133" s="49">
        <v>1</v>
      </c>
      <c r="AW133" s="50">
        <v>50</v>
      </c>
      <c r="AX133" s="49">
        <v>1</v>
      </c>
      <c r="AY133" s="50">
        <v>50</v>
      </c>
      <c r="AZ133" s="49">
        <v>0</v>
      </c>
      <c r="BA133" s="50">
        <v>0</v>
      </c>
      <c r="BB133" s="49">
        <v>1</v>
      </c>
      <c r="BC133" s="50">
        <v>50</v>
      </c>
      <c r="BD133" s="49">
        <v>2</v>
      </c>
      <c r="BE133" s="49"/>
      <c r="BF133" s="49"/>
      <c r="BG133" s="49"/>
      <c r="BH133" s="49"/>
      <c r="BI133" s="49"/>
      <c r="BJ133" s="49"/>
      <c r="BK133" s="111" t="s">
        <v>914</v>
      </c>
      <c r="BL133" s="111" t="s">
        <v>914</v>
      </c>
      <c r="BM133" s="111" t="s">
        <v>843</v>
      </c>
      <c r="BN133" s="111" t="s">
        <v>843</v>
      </c>
      <c r="BO133" s="2"/>
      <c r="BP133" s="3"/>
      <c r="BQ133" s="3"/>
      <c r="BR133" s="3"/>
      <c r="BS133" s="3"/>
    </row>
    <row r="134" spans="1:71" ht="15">
      <c r="A134" s="65" t="s">
        <v>457</v>
      </c>
      <c r="B134" s="66"/>
      <c r="C134" s="66"/>
      <c r="D134" s="67">
        <v>150</v>
      </c>
      <c r="E134" s="69"/>
      <c r="F134" s="103" t="str">
        <f>HYPERLINK("https://yt3.ggpht.com/ytc/AAUvwnj3Dq_6htvXp9D8zcaa8YDVmeUg5WZtRzfHvA=s88-c-k-c0x00ffffff-no-rj")</f>
        <v>https://yt3.ggpht.com/ytc/AAUvwnj3Dq_6htvXp9D8zcaa8YDVmeUg5WZtRzfHvA=s88-c-k-c0x00ffffff-no-rj</v>
      </c>
      <c r="G134" s="66"/>
      <c r="H134" s="70" t="s">
        <v>797</v>
      </c>
      <c r="I134" s="71"/>
      <c r="J134" s="71" t="s">
        <v>159</v>
      </c>
      <c r="K134" s="70" t="s">
        <v>797</v>
      </c>
      <c r="L134" s="74">
        <v>1</v>
      </c>
      <c r="M134" s="75">
        <v>5484.04541015625</v>
      </c>
      <c r="N134" s="75">
        <v>2271.8154296875</v>
      </c>
      <c r="O134" s="76"/>
      <c r="P134" s="77"/>
      <c r="Q134" s="77"/>
      <c r="R134" s="89"/>
      <c r="S134" s="49">
        <v>0</v>
      </c>
      <c r="T134" s="49">
        <v>1</v>
      </c>
      <c r="U134" s="50">
        <v>0</v>
      </c>
      <c r="V134" s="50">
        <v>0.003021</v>
      </c>
      <c r="W134" s="50">
        <v>0.007133</v>
      </c>
      <c r="X134" s="50">
        <v>0.515381</v>
      </c>
      <c r="Y134" s="50">
        <v>0</v>
      </c>
      <c r="Z134" s="50">
        <v>0</v>
      </c>
      <c r="AA134" s="72">
        <v>134</v>
      </c>
      <c r="AB134" s="72"/>
      <c r="AC134" s="73"/>
      <c r="AD134" s="80" t="s">
        <v>797</v>
      </c>
      <c r="AE134" s="80"/>
      <c r="AF134" s="80"/>
      <c r="AG134" s="80"/>
      <c r="AH134" s="80"/>
      <c r="AI134" s="80"/>
      <c r="AJ134" s="87">
        <v>42020.93289351852</v>
      </c>
      <c r="AK134" s="85" t="str">
        <f>HYPERLINK("https://yt3.ggpht.com/ytc/AAUvwnj3Dq_6htvXp9D8zcaa8YDVmeUg5WZtRzfHvA=s88-c-k-c0x00ffffff-no-rj")</f>
        <v>https://yt3.ggpht.com/ytc/AAUvwnj3Dq_6htvXp9D8zcaa8YDVmeUg5WZtRzfHvA=s88-c-k-c0x00ffffff-no-rj</v>
      </c>
      <c r="AL134" s="80">
        <v>0</v>
      </c>
      <c r="AM134" s="80">
        <v>0</v>
      </c>
      <c r="AN134" s="80">
        <v>2</v>
      </c>
      <c r="AO134" s="80" t="b">
        <v>0</v>
      </c>
      <c r="AP134" s="80">
        <v>0</v>
      </c>
      <c r="AQ134" s="80"/>
      <c r="AR134" s="80"/>
      <c r="AS134" s="80" t="s">
        <v>871</v>
      </c>
      <c r="AT134" s="85" t="str">
        <f>HYPERLINK("https://www.youtube.com/channel/UCvA1dCycuCB9ohqPmmH9QFA")</f>
        <v>https://www.youtube.com/channel/UCvA1dCycuCB9ohqPmmH9QFA</v>
      </c>
      <c r="AU134" s="80" t="str">
        <f>REPLACE(INDEX(GroupVertices[Group],MATCH(Vertices[[#This Row],[Vertex]],GroupVertices[Vertex],0)),1,1,"")</f>
        <v>1</v>
      </c>
      <c r="AV134" s="49">
        <v>1</v>
      </c>
      <c r="AW134" s="50">
        <v>5</v>
      </c>
      <c r="AX134" s="49">
        <v>1</v>
      </c>
      <c r="AY134" s="50">
        <v>5</v>
      </c>
      <c r="AZ134" s="49">
        <v>0</v>
      </c>
      <c r="BA134" s="50">
        <v>0</v>
      </c>
      <c r="BB134" s="49">
        <v>19</v>
      </c>
      <c r="BC134" s="50">
        <v>95</v>
      </c>
      <c r="BD134" s="49">
        <v>20</v>
      </c>
      <c r="BE134" s="49"/>
      <c r="BF134" s="49"/>
      <c r="BG134" s="49"/>
      <c r="BH134" s="49"/>
      <c r="BI134" s="49"/>
      <c r="BJ134" s="49"/>
      <c r="BK134" s="111" t="s">
        <v>1534</v>
      </c>
      <c r="BL134" s="111" t="s">
        <v>1534</v>
      </c>
      <c r="BM134" s="111" t="s">
        <v>1599</v>
      </c>
      <c r="BN134" s="111" t="s">
        <v>1599</v>
      </c>
      <c r="BO134" s="2"/>
      <c r="BP134" s="3"/>
      <c r="BQ134" s="3"/>
      <c r="BR134" s="3"/>
      <c r="BS134" s="3"/>
    </row>
    <row r="135" spans="1:71" ht="15">
      <c r="A135" s="65" t="s">
        <v>458</v>
      </c>
      <c r="B135" s="66"/>
      <c r="C135" s="66"/>
      <c r="D135" s="67">
        <v>150</v>
      </c>
      <c r="E135" s="69"/>
      <c r="F135" s="103" t="str">
        <f>HYPERLINK("https://yt3.ggpht.com/ytc/AAUvwnjwR_laKF-iQwQbaQvPcnj7eKfM5QOlTcJIEQ=s88-c-k-c0x00ffffff-no-rj")</f>
        <v>https://yt3.ggpht.com/ytc/AAUvwnjwR_laKF-iQwQbaQvPcnj7eKfM5QOlTcJIEQ=s88-c-k-c0x00ffffff-no-rj</v>
      </c>
      <c r="G135" s="66"/>
      <c r="H135" s="70" t="s">
        <v>798</v>
      </c>
      <c r="I135" s="71"/>
      <c r="J135" s="71" t="s">
        <v>159</v>
      </c>
      <c r="K135" s="70" t="s">
        <v>798</v>
      </c>
      <c r="L135" s="74">
        <v>1</v>
      </c>
      <c r="M135" s="75">
        <v>1407.095458984375</v>
      </c>
      <c r="N135" s="75">
        <v>2241.74072265625</v>
      </c>
      <c r="O135" s="76"/>
      <c r="P135" s="77"/>
      <c r="Q135" s="77"/>
      <c r="R135" s="89"/>
      <c r="S135" s="49">
        <v>0</v>
      </c>
      <c r="T135" s="49">
        <v>1</v>
      </c>
      <c r="U135" s="50">
        <v>0</v>
      </c>
      <c r="V135" s="50">
        <v>0.003021</v>
      </c>
      <c r="W135" s="50">
        <v>0.007133</v>
      </c>
      <c r="X135" s="50">
        <v>0.515381</v>
      </c>
      <c r="Y135" s="50">
        <v>0</v>
      </c>
      <c r="Z135" s="50">
        <v>0</v>
      </c>
      <c r="AA135" s="72">
        <v>135</v>
      </c>
      <c r="AB135" s="72"/>
      <c r="AC135" s="73"/>
      <c r="AD135" s="80" t="s">
        <v>798</v>
      </c>
      <c r="AE135" s="80"/>
      <c r="AF135" s="80"/>
      <c r="AG135" s="80"/>
      <c r="AH135" s="80"/>
      <c r="AI135" s="80"/>
      <c r="AJ135" s="87">
        <v>44284.74275462963</v>
      </c>
      <c r="AK135" s="85" t="str">
        <f>HYPERLINK("https://yt3.ggpht.com/ytc/AAUvwnjwR_laKF-iQwQbaQvPcnj7eKfM5QOlTcJIEQ=s88-c-k-c0x00ffffff-no-rj")</f>
        <v>https://yt3.ggpht.com/ytc/AAUvwnjwR_laKF-iQwQbaQvPcnj7eKfM5QOlTcJIEQ=s88-c-k-c0x00ffffff-no-rj</v>
      </c>
      <c r="AL135" s="80">
        <v>0</v>
      </c>
      <c r="AM135" s="80">
        <v>0</v>
      </c>
      <c r="AN135" s="80">
        <v>0</v>
      </c>
      <c r="AO135" s="80" t="b">
        <v>0</v>
      </c>
      <c r="AP135" s="80">
        <v>0</v>
      </c>
      <c r="AQ135" s="80"/>
      <c r="AR135" s="80"/>
      <c r="AS135" s="80" t="s">
        <v>871</v>
      </c>
      <c r="AT135" s="85" t="str">
        <f>HYPERLINK("https://www.youtube.com/channel/UCLgsdRpMD0KaJSubRDx_WXA")</f>
        <v>https://www.youtube.com/channel/UCLgsdRpMD0KaJSubRDx_WXA</v>
      </c>
      <c r="AU135" s="80" t="str">
        <f>REPLACE(INDEX(GroupVertices[Group],MATCH(Vertices[[#This Row],[Vertex]],GroupVertices[Vertex],0)),1,1,"")</f>
        <v>1</v>
      </c>
      <c r="AV135" s="49">
        <v>1</v>
      </c>
      <c r="AW135" s="50">
        <v>5.2631578947368425</v>
      </c>
      <c r="AX135" s="49">
        <v>1</v>
      </c>
      <c r="AY135" s="50">
        <v>5.2631578947368425</v>
      </c>
      <c r="AZ135" s="49">
        <v>0</v>
      </c>
      <c r="BA135" s="50">
        <v>0</v>
      </c>
      <c r="BB135" s="49">
        <v>17</v>
      </c>
      <c r="BC135" s="50">
        <v>89.47368421052632</v>
      </c>
      <c r="BD135" s="49">
        <v>19</v>
      </c>
      <c r="BE135" s="49"/>
      <c r="BF135" s="49"/>
      <c r="BG135" s="49"/>
      <c r="BH135" s="49"/>
      <c r="BI135" s="49"/>
      <c r="BJ135" s="49"/>
      <c r="BK135" s="111" t="s">
        <v>1367</v>
      </c>
      <c r="BL135" s="111" t="s">
        <v>1367</v>
      </c>
      <c r="BM135" s="111" t="s">
        <v>1439</v>
      </c>
      <c r="BN135" s="111" t="s">
        <v>1439</v>
      </c>
      <c r="BO135" s="2"/>
      <c r="BP135" s="3"/>
      <c r="BQ135" s="3"/>
      <c r="BR135" s="3"/>
      <c r="BS135" s="3"/>
    </row>
    <row r="136" spans="1:71" ht="15">
      <c r="A136" s="65" t="s">
        <v>459</v>
      </c>
      <c r="B136" s="66"/>
      <c r="C136" s="66"/>
      <c r="D136" s="67">
        <v>150</v>
      </c>
      <c r="E136" s="69"/>
      <c r="F136" s="103" t="str">
        <f>HYPERLINK("https://yt3.ggpht.com/ytc/AAUvwngmC9HrlZ9WUpwk2V8tXHToURDwJsD_5bNZZ6oHKA=s88-c-k-c0x00ffffff-no-rj")</f>
        <v>https://yt3.ggpht.com/ytc/AAUvwngmC9HrlZ9WUpwk2V8tXHToURDwJsD_5bNZZ6oHKA=s88-c-k-c0x00ffffff-no-rj</v>
      </c>
      <c r="G136" s="66"/>
      <c r="H136" s="70" t="s">
        <v>799</v>
      </c>
      <c r="I136" s="71"/>
      <c r="J136" s="71" t="s">
        <v>159</v>
      </c>
      <c r="K136" s="70" t="s">
        <v>799</v>
      </c>
      <c r="L136" s="74">
        <v>1</v>
      </c>
      <c r="M136" s="75">
        <v>2930.607177734375</v>
      </c>
      <c r="N136" s="75">
        <v>8683.7392578125</v>
      </c>
      <c r="O136" s="76"/>
      <c r="P136" s="77"/>
      <c r="Q136" s="77"/>
      <c r="R136" s="89"/>
      <c r="S136" s="49">
        <v>0</v>
      </c>
      <c r="T136" s="49">
        <v>1</v>
      </c>
      <c r="U136" s="50">
        <v>0</v>
      </c>
      <c r="V136" s="50">
        <v>0.003021</v>
      </c>
      <c r="W136" s="50">
        <v>0.007133</v>
      </c>
      <c r="X136" s="50">
        <v>0.515381</v>
      </c>
      <c r="Y136" s="50">
        <v>0</v>
      </c>
      <c r="Z136" s="50">
        <v>0</v>
      </c>
      <c r="AA136" s="72">
        <v>136</v>
      </c>
      <c r="AB136" s="72"/>
      <c r="AC136" s="73"/>
      <c r="AD136" s="80" t="s">
        <v>799</v>
      </c>
      <c r="AE136" s="80"/>
      <c r="AF136" s="80"/>
      <c r="AG136" s="80"/>
      <c r="AH136" s="80"/>
      <c r="AI136" s="80"/>
      <c r="AJ136" s="87">
        <v>42959.37048611111</v>
      </c>
      <c r="AK136" s="85" t="str">
        <f>HYPERLINK("https://yt3.ggpht.com/ytc/AAUvwngmC9HrlZ9WUpwk2V8tXHToURDwJsD_5bNZZ6oHKA=s88-c-k-c0x00ffffff-no-rj")</f>
        <v>https://yt3.ggpht.com/ytc/AAUvwngmC9HrlZ9WUpwk2V8tXHToURDwJsD_5bNZZ6oHKA=s88-c-k-c0x00ffffff-no-rj</v>
      </c>
      <c r="AL136" s="80">
        <v>0</v>
      </c>
      <c r="AM136" s="80">
        <v>0</v>
      </c>
      <c r="AN136" s="80">
        <v>0</v>
      </c>
      <c r="AO136" s="80" t="b">
        <v>0</v>
      </c>
      <c r="AP136" s="80">
        <v>0</v>
      </c>
      <c r="AQ136" s="80"/>
      <c r="AR136" s="80"/>
      <c r="AS136" s="80" t="s">
        <v>871</v>
      </c>
      <c r="AT136" s="85" t="str">
        <f>HYPERLINK("https://www.youtube.com/channel/UCj0wgdlwzc_mrRP8aPp9OCA")</f>
        <v>https://www.youtube.com/channel/UCj0wgdlwzc_mrRP8aPp9OCA</v>
      </c>
      <c r="AU136" s="80" t="str">
        <f>REPLACE(INDEX(GroupVertices[Group],MATCH(Vertices[[#This Row],[Vertex]],GroupVertices[Vertex],0)),1,1,"")</f>
        <v>1</v>
      </c>
      <c r="AV136" s="49">
        <v>1</v>
      </c>
      <c r="AW136" s="50">
        <v>33.333333333333336</v>
      </c>
      <c r="AX136" s="49">
        <v>1</v>
      </c>
      <c r="AY136" s="50">
        <v>33.333333333333336</v>
      </c>
      <c r="AZ136" s="49">
        <v>0</v>
      </c>
      <c r="BA136" s="50">
        <v>0</v>
      </c>
      <c r="BB136" s="49">
        <v>2</v>
      </c>
      <c r="BC136" s="50">
        <v>66.66666666666667</v>
      </c>
      <c r="BD136" s="49">
        <v>3</v>
      </c>
      <c r="BE136" s="49"/>
      <c r="BF136" s="49"/>
      <c r="BG136" s="49"/>
      <c r="BH136" s="49"/>
      <c r="BI136" s="49"/>
      <c r="BJ136" s="49"/>
      <c r="BK136" s="111" t="s">
        <v>984</v>
      </c>
      <c r="BL136" s="111" t="s">
        <v>984</v>
      </c>
      <c r="BM136" s="111" t="s">
        <v>843</v>
      </c>
      <c r="BN136" s="111" t="s">
        <v>843</v>
      </c>
      <c r="BO136" s="2"/>
      <c r="BP136" s="3"/>
      <c r="BQ136" s="3"/>
      <c r="BR136" s="3"/>
      <c r="BS136" s="3"/>
    </row>
    <row r="137" spans="1:71" ht="15">
      <c r="A137" s="65" t="s">
        <v>460</v>
      </c>
      <c r="B137" s="66"/>
      <c r="C137" s="66"/>
      <c r="D137" s="67">
        <v>150</v>
      </c>
      <c r="E137" s="69"/>
      <c r="F137" s="103" t="str">
        <f>HYPERLINK("https://yt3.ggpht.com/ytc/AAUvwni2Ii5cKngsncoMlUUiXa0q1EXKQOH6Aoo3ZJ8Hig=s88-c-k-c0x00ffffff-no-rj")</f>
        <v>https://yt3.ggpht.com/ytc/AAUvwni2Ii5cKngsncoMlUUiXa0q1EXKQOH6Aoo3ZJ8Hig=s88-c-k-c0x00ffffff-no-rj</v>
      </c>
      <c r="G137" s="66"/>
      <c r="H137" s="70" t="s">
        <v>800</v>
      </c>
      <c r="I137" s="71"/>
      <c r="J137" s="71" t="s">
        <v>159</v>
      </c>
      <c r="K137" s="70" t="s">
        <v>800</v>
      </c>
      <c r="L137" s="74">
        <v>1</v>
      </c>
      <c r="M137" s="75">
        <v>1709.4407958984375</v>
      </c>
      <c r="N137" s="75">
        <v>8477.5654296875</v>
      </c>
      <c r="O137" s="76"/>
      <c r="P137" s="77"/>
      <c r="Q137" s="77"/>
      <c r="R137" s="89"/>
      <c r="S137" s="49">
        <v>0</v>
      </c>
      <c r="T137" s="49">
        <v>1</v>
      </c>
      <c r="U137" s="50">
        <v>0</v>
      </c>
      <c r="V137" s="50">
        <v>0.003021</v>
      </c>
      <c r="W137" s="50">
        <v>0.007133</v>
      </c>
      <c r="X137" s="50">
        <v>0.515381</v>
      </c>
      <c r="Y137" s="50">
        <v>0</v>
      </c>
      <c r="Z137" s="50">
        <v>0</v>
      </c>
      <c r="AA137" s="72">
        <v>137</v>
      </c>
      <c r="AB137" s="72"/>
      <c r="AC137" s="73"/>
      <c r="AD137" s="80" t="s">
        <v>800</v>
      </c>
      <c r="AE137" s="80"/>
      <c r="AF137" s="80"/>
      <c r="AG137" s="80"/>
      <c r="AH137" s="80"/>
      <c r="AI137" s="80"/>
      <c r="AJ137" s="87">
        <v>42712.048125</v>
      </c>
      <c r="AK137" s="85" t="str">
        <f>HYPERLINK("https://yt3.ggpht.com/ytc/AAUvwni2Ii5cKngsncoMlUUiXa0q1EXKQOH6Aoo3ZJ8Hig=s88-c-k-c0x00ffffff-no-rj")</f>
        <v>https://yt3.ggpht.com/ytc/AAUvwni2Ii5cKngsncoMlUUiXa0q1EXKQOH6Aoo3ZJ8Hig=s88-c-k-c0x00ffffff-no-rj</v>
      </c>
      <c r="AL137" s="80">
        <v>0</v>
      </c>
      <c r="AM137" s="80">
        <v>0</v>
      </c>
      <c r="AN137" s="80">
        <v>11</v>
      </c>
      <c r="AO137" s="80" t="b">
        <v>0</v>
      </c>
      <c r="AP137" s="80">
        <v>0</v>
      </c>
      <c r="AQ137" s="80"/>
      <c r="AR137" s="80"/>
      <c r="AS137" s="80" t="s">
        <v>871</v>
      </c>
      <c r="AT137" s="85" t="str">
        <f>HYPERLINK("https://www.youtube.com/channel/UCV6FmOfPwUZc_bPhoUZZWgQ")</f>
        <v>https://www.youtube.com/channel/UCV6FmOfPwUZc_bPhoUZZWgQ</v>
      </c>
      <c r="AU137" s="80" t="str">
        <f>REPLACE(INDEX(GroupVertices[Group],MATCH(Vertices[[#This Row],[Vertex]],GroupVertices[Vertex],0)),1,1,"")</f>
        <v>1</v>
      </c>
      <c r="AV137" s="49">
        <v>1</v>
      </c>
      <c r="AW137" s="50">
        <v>33.333333333333336</v>
      </c>
      <c r="AX137" s="49">
        <v>0</v>
      </c>
      <c r="AY137" s="50">
        <v>0</v>
      </c>
      <c r="AZ137" s="49">
        <v>0</v>
      </c>
      <c r="BA137" s="50">
        <v>0</v>
      </c>
      <c r="BB137" s="49">
        <v>2</v>
      </c>
      <c r="BC137" s="50">
        <v>66.66666666666667</v>
      </c>
      <c r="BD137" s="49">
        <v>3</v>
      </c>
      <c r="BE137" s="49"/>
      <c r="BF137" s="49"/>
      <c r="BG137" s="49"/>
      <c r="BH137" s="49"/>
      <c r="BI137" s="49"/>
      <c r="BJ137" s="49"/>
      <c r="BK137" s="111" t="s">
        <v>1311</v>
      </c>
      <c r="BL137" s="111" t="s">
        <v>1311</v>
      </c>
      <c r="BM137" s="111" t="s">
        <v>1276</v>
      </c>
      <c r="BN137" s="111" t="s">
        <v>1276</v>
      </c>
      <c r="BO137" s="2"/>
      <c r="BP137" s="3"/>
      <c r="BQ137" s="3"/>
      <c r="BR137" s="3"/>
      <c r="BS137" s="3"/>
    </row>
    <row r="138" spans="1:71" ht="15">
      <c r="A138" s="65" t="s">
        <v>461</v>
      </c>
      <c r="B138" s="66"/>
      <c r="C138" s="66"/>
      <c r="D138" s="67">
        <v>150</v>
      </c>
      <c r="E138" s="69"/>
      <c r="F138" s="103" t="str">
        <f>HYPERLINK("https://yt3.ggpht.com/ytc/AAUvwngeHrf79dJVHobsBWDMMF8afIx0UDfFImMyz5YF=s88-c-k-c0x00ffffff-no-rj")</f>
        <v>https://yt3.ggpht.com/ytc/AAUvwngeHrf79dJVHobsBWDMMF8afIx0UDfFImMyz5YF=s88-c-k-c0x00ffffff-no-rj</v>
      </c>
      <c r="G138" s="66"/>
      <c r="H138" s="70" t="s">
        <v>801</v>
      </c>
      <c r="I138" s="71"/>
      <c r="J138" s="71" t="s">
        <v>159</v>
      </c>
      <c r="K138" s="70" t="s">
        <v>801</v>
      </c>
      <c r="L138" s="74">
        <v>1</v>
      </c>
      <c r="M138" s="75">
        <v>5188.15771484375</v>
      </c>
      <c r="N138" s="75">
        <v>965.7547607421875</v>
      </c>
      <c r="O138" s="76"/>
      <c r="P138" s="77"/>
      <c r="Q138" s="77"/>
      <c r="R138" s="89"/>
      <c r="S138" s="49">
        <v>0</v>
      </c>
      <c r="T138" s="49">
        <v>1</v>
      </c>
      <c r="U138" s="50">
        <v>0</v>
      </c>
      <c r="V138" s="50">
        <v>0.003021</v>
      </c>
      <c r="W138" s="50">
        <v>0.007133</v>
      </c>
      <c r="X138" s="50">
        <v>0.515381</v>
      </c>
      <c r="Y138" s="50">
        <v>0</v>
      </c>
      <c r="Z138" s="50">
        <v>0</v>
      </c>
      <c r="AA138" s="72">
        <v>138</v>
      </c>
      <c r="AB138" s="72"/>
      <c r="AC138" s="73"/>
      <c r="AD138" s="80" t="s">
        <v>801</v>
      </c>
      <c r="AE138" s="80"/>
      <c r="AF138" s="80"/>
      <c r="AG138" s="80"/>
      <c r="AH138" s="80"/>
      <c r="AI138" s="80"/>
      <c r="AJ138" s="87">
        <v>44170.16189814815</v>
      </c>
      <c r="AK138" s="85" t="str">
        <f>HYPERLINK("https://yt3.ggpht.com/ytc/AAUvwngeHrf79dJVHobsBWDMMF8afIx0UDfFImMyz5YF=s88-c-k-c0x00ffffff-no-rj")</f>
        <v>https://yt3.ggpht.com/ytc/AAUvwngeHrf79dJVHobsBWDMMF8afIx0UDfFImMyz5YF=s88-c-k-c0x00ffffff-no-rj</v>
      </c>
      <c r="AL138" s="80">
        <v>0</v>
      </c>
      <c r="AM138" s="80">
        <v>0</v>
      </c>
      <c r="AN138" s="80">
        <v>0</v>
      </c>
      <c r="AO138" s="80" t="b">
        <v>0</v>
      </c>
      <c r="AP138" s="80">
        <v>0</v>
      </c>
      <c r="AQ138" s="80"/>
      <c r="AR138" s="80"/>
      <c r="AS138" s="80" t="s">
        <v>871</v>
      </c>
      <c r="AT138" s="85" t="str">
        <f>HYPERLINK("https://www.youtube.com/channel/UCIBIS5AepYGOjvOyl5O3JGg")</f>
        <v>https://www.youtube.com/channel/UCIBIS5AepYGOjvOyl5O3JGg</v>
      </c>
      <c r="AU138" s="80" t="str">
        <f>REPLACE(INDEX(GroupVertices[Group],MATCH(Vertices[[#This Row],[Vertex]],GroupVertices[Vertex],0)),1,1,"")</f>
        <v>1</v>
      </c>
      <c r="AV138" s="49">
        <v>3</v>
      </c>
      <c r="AW138" s="50">
        <v>7.5</v>
      </c>
      <c r="AX138" s="49">
        <v>2</v>
      </c>
      <c r="AY138" s="50">
        <v>5</v>
      </c>
      <c r="AZ138" s="49">
        <v>0</v>
      </c>
      <c r="BA138" s="50">
        <v>0</v>
      </c>
      <c r="BB138" s="49">
        <v>37</v>
      </c>
      <c r="BC138" s="50">
        <v>92.5</v>
      </c>
      <c r="BD138" s="49">
        <v>40</v>
      </c>
      <c r="BE138" s="49"/>
      <c r="BF138" s="49"/>
      <c r="BG138" s="49"/>
      <c r="BH138" s="49"/>
      <c r="BI138" s="49"/>
      <c r="BJ138" s="49"/>
      <c r="BK138" s="111" t="s">
        <v>1535</v>
      </c>
      <c r="BL138" s="111" t="s">
        <v>1535</v>
      </c>
      <c r="BM138" s="111" t="s">
        <v>1600</v>
      </c>
      <c r="BN138" s="111" t="s">
        <v>1600</v>
      </c>
      <c r="BO138" s="2"/>
      <c r="BP138" s="3"/>
      <c r="BQ138" s="3"/>
      <c r="BR138" s="3"/>
      <c r="BS138" s="3"/>
    </row>
    <row r="139" spans="1:71" ht="15">
      <c r="A139" s="65" t="s">
        <v>462</v>
      </c>
      <c r="B139" s="66"/>
      <c r="C139" s="66"/>
      <c r="D139" s="67">
        <v>150</v>
      </c>
      <c r="E139" s="69"/>
      <c r="F139" s="103" t="str">
        <f>HYPERLINK("https://yt3.ggpht.com/a/default-user=s88")</f>
        <v>https://yt3.ggpht.com/a/default-user=s88</v>
      </c>
      <c r="G139" s="66"/>
      <c r="H139" s="70" t="s">
        <v>802</v>
      </c>
      <c r="I139" s="71"/>
      <c r="J139" s="71" t="s">
        <v>159</v>
      </c>
      <c r="K139" s="70" t="s">
        <v>802</v>
      </c>
      <c r="L139" s="74">
        <v>1</v>
      </c>
      <c r="M139" s="75">
        <v>2447.7900390625</v>
      </c>
      <c r="N139" s="75">
        <v>6563.67919921875</v>
      </c>
      <c r="O139" s="76"/>
      <c r="P139" s="77"/>
      <c r="Q139" s="77"/>
      <c r="R139" s="89"/>
      <c r="S139" s="49">
        <v>0</v>
      </c>
      <c r="T139" s="49">
        <v>1</v>
      </c>
      <c r="U139" s="50">
        <v>0</v>
      </c>
      <c r="V139" s="50">
        <v>0.003021</v>
      </c>
      <c r="W139" s="50">
        <v>0.007133</v>
      </c>
      <c r="X139" s="50">
        <v>0.515381</v>
      </c>
      <c r="Y139" s="50">
        <v>0</v>
      </c>
      <c r="Z139" s="50">
        <v>0</v>
      </c>
      <c r="AA139" s="72">
        <v>139</v>
      </c>
      <c r="AB139" s="72"/>
      <c r="AC139" s="73"/>
      <c r="AD139" s="80" t="s">
        <v>802</v>
      </c>
      <c r="AE139" s="80"/>
      <c r="AF139" s="80"/>
      <c r="AG139" s="80"/>
      <c r="AH139" s="80"/>
      <c r="AI139" s="80"/>
      <c r="AJ139" s="87">
        <v>44322.75975694445</v>
      </c>
      <c r="AK139" s="85" t="str">
        <f>HYPERLINK("https://yt3.ggpht.com/a/default-user=s88")</f>
        <v>https://yt3.ggpht.com/a/default-user=s88</v>
      </c>
      <c r="AL139" s="80">
        <v>0</v>
      </c>
      <c r="AM139" s="80">
        <v>0</v>
      </c>
      <c r="AN139" s="80">
        <v>0</v>
      </c>
      <c r="AO139" s="80" t="b">
        <v>0</v>
      </c>
      <c r="AP139" s="80">
        <v>0</v>
      </c>
      <c r="AQ139" s="80"/>
      <c r="AR139" s="80"/>
      <c r="AS139" s="80" t="s">
        <v>871</v>
      </c>
      <c r="AT139" s="85" t="str">
        <f>HYPERLINK("https://www.youtube.com/channel/UCOJa4bpknlhm5hixz0PWSuQ")</f>
        <v>https://www.youtube.com/channel/UCOJa4bpknlhm5hixz0PWSuQ</v>
      </c>
      <c r="AU139" s="80" t="str">
        <f>REPLACE(INDEX(GroupVertices[Group],MATCH(Vertices[[#This Row],[Vertex]],GroupVertices[Vertex],0)),1,1,"")</f>
        <v>1</v>
      </c>
      <c r="AV139" s="49">
        <v>1</v>
      </c>
      <c r="AW139" s="50">
        <v>16.666666666666668</v>
      </c>
      <c r="AX139" s="49">
        <v>0</v>
      </c>
      <c r="AY139" s="50">
        <v>0</v>
      </c>
      <c r="AZ139" s="49">
        <v>0</v>
      </c>
      <c r="BA139" s="50">
        <v>0</v>
      </c>
      <c r="BB139" s="49">
        <v>5</v>
      </c>
      <c r="BC139" s="50">
        <v>83.33333333333333</v>
      </c>
      <c r="BD139" s="49">
        <v>6</v>
      </c>
      <c r="BE139" s="49"/>
      <c r="BF139" s="49"/>
      <c r="BG139" s="49"/>
      <c r="BH139" s="49"/>
      <c r="BI139" s="49"/>
      <c r="BJ139" s="49"/>
      <c r="BK139" s="111" t="s">
        <v>1536</v>
      </c>
      <c r="BL139" s="111" t="s">
        <v>1536</v>
      </c>
      <c r="BM139" s="111" t="s">
        <v>1601</v>
      </c>
      <c r="BN139" s="111" t="s">
        <v>1601</v>
      </c>
      <c r="BO139" s="2"/>
      <c r="BP139" s="3"/>
      <c r="BQ139" s="3"/>
      <c r="BR139" s="3"/>
      <c r="BS139" s="3"/>
    </row>
    <row r="140" spans="1:71" ht="15">
      <c r="A140" s="65" t="s">
        <v>463</v>
      </c>
      <c r="B140" s="66"/>
      <c r="C140" s="66"/>
      <c r="D140" s="67">
        <v>150</v>
      </c>
      <c r="E140" s="69"/>
      <c r="F140" s="103" t="str">
        <f>HYPERLINK("https://yt3.ggpht.com/ytc/AAUvwniBIiqzEsAH5vEZl2WiTMaNBeFkXMsd-XzzqA=s88-c-k-c0x00ffffff-no-rj")</f>
        <v>https://yt3.ggpht.com/ytc/AAUvwniBIiqzEsAH5vEZl2WiTMaNBeFkXMsd-XzzqA=s88-c-k-c0x00ffffff-no-rj</v>
      </c>
      <c r="G140" s="66"/>
      <c r="H140" s="70" t="s">
        <v>803</v>
      </c>
      <c r="I140" s="71"/>
      <c r="J140" s="71" t="s">
        <v>159</v>
      </c>
      <c r="K140" s="70" t="s">
        <v>803</v>
      </c>
      <c r="L140" s="74">
        <v>1</v>
      </c>
      <c r="M140" s="75">
        <v>2301.101318359375</v>
      </c>
      <c r="N140" s="75">
        <v>849.396484375</v>
      </c>
      <c r="O140" s="76"/>
      <c r="P140" s="77"/>
      <c r="Q140" s="77"/>
      <c r="R140" s="89"/>
      <c r="S140" s="49">
        <v>0</v>
      </c>
      <c r="T140" s="49">
        <v>1</v>
      </c>
      <c r="U140" s="50">
        <v>0</v>
      </c>
      <c r="V140" s="50">
        <v>0.003021</v>
      </c>
      <c r="W140" s="50">
        <v>0.007133</v>
      </c>
      <c r="X140" s="50">
        <v>0.515381</v>
      </c>
      <c r="Y140" s="50">
        <v>0</v>
      </c>
      <c r="Z140" s="50">
        <v>0</v>
      </c>
      <c r="AA140" s="72">
        <v>140</v>
      </c>
      <c r="AB140" s="72"/>
      <c r="AC140" s="73"/>
      <c r="AD140" s="80" t="s">
        <v>803</v>
      </c>
      <c r="AE140" s="80"/>
      <c r="AF140" s="80"/>
      <c r="AG140" s="80"/>
      <c r="AH140" s="80"/>
      <c r="AI140" s="80"/>
      <c r="AJ140" s="87">
        <v>44299.73241898148</v>
      </c>
      <c r="AK140" s="85" t="str">
        <f>HYPERLINK("https://yt3.ggpht.com/ytc/AAUvwniBIiqzEsAH5vEZl2WiTMaNBeFkXMsd-XzzqA=s88-c-k-c0x00ffffff-no-rj")</f>
        <v>https://yt3.ggpht.com/ytc/AAUvwniBIiqzEsAH5vEZl2WiTMaNBeFkXMsd-XzzqA=s88-c-k-c0x00ffffff-no-rj</v>
      </c>
      <c r="AL140" s="80">
        <v>0</v>
      </c>
      <c r="AM140" s="80">
        <v>0</v>
      </c>
      <c r="AN140" s="80">
        <v>0</v>
      </c>
      <c r="AO140" s="80" t="b">
        <v>0</v>
      </c>
      <c r="AP140" s="80">
        <v>0</v>
      </c>
      <c r="AQ140" s="80"/>
      <c r="AR140" s="80"/>
      <c r="AS140" s="80" t="s">
        <v>871</v>
      </c>
      <c r="AT140" s="85" t="str">
        <f>HYPERLINK("https://www.youtube.com/channel/UCrdc8c0VXEBe6rrzycPhTbg")</f>
        <v>https://www.youtube.com/channel/UCrdc8c0VXEBe6rrzycPhTbg</v>
      </c>
      <c r="AU140" s="80" t="str">
        <f>REPLACE(INDEX(GroupVertices[Group],MATCH(Vertices[[#This Row],[Vertex]],GroupVertices[Vertex],0)),1,1,"")</f>
        <v>1</v>
      </c>
      <c r="AV140" s="49">
        <v>1</v>
      </c>
      <c r="AW140" s="50">
        <v>20</v>
      </c>
      <c r="AX140" s="49">
        <v>1</v>
      </c>
      <c r="AY140" s="50">
        <v>20</v>
      </c>
      <c r="AZ140" s="49">
        <v>0</v>
      </c>
      <c r="BA140" s="50">
        <v>0</v>
      </c>
      <c r="BB140" s="49">
        <v>4</v>
      </c>
      <c r="BC140" s="50">
        <v>80</v>
      </c>
      <c r="BD140" s="49">
        <v>5</v>
      </c>
      <c r="BE140" s="49"/>
      <c r="BF140" s="49"/>
      <c r="BG140" s="49"/>
      <c r="BH140" s="49"/>
      <c r="BI140" s="49"/>
      <c r="BJ140" s="49"/>
      <c r="BK140" s="111" t="s">
        <v>1537</v>
      </c>
      <c r="BL140" s="111" t="s">
        <v>1537</v>
      </c>
      <c r="BM140" s="111" t="s">
        <v>1602</v>
      </c>
      <c r="BN140" s="111" t="s">
        <v>1602</v>
      </c>
      <c r="BO140" s="2"/>
      <c r="BP140" s="3"/>
      <c r="BQ140" s="3"/>
      <c r="BR140" s="3"/>
      <c r="BS140" s="3"/>
    </row>
    <row r="141" spans="1:71" ht="15">
      <c r="A141" s="65" t="s">
        <v>464</v>
      </c>
      <c r="B141" s="66"/>
      <c r="C141" s="66"/>
      <c r="D141" s="67">
        <v>150</v>
      </c>
      <c r="E141" s="69"/>
      <c r="F141" s="103" t="str">
        <f>HYPERLINK("https://yt3.ggpht.com/ytc/AAUvwniSgvDt2q4Nc4ttEowYNBSr6ZQppx8FirtKYA=s88-c-k-c0x00ffffff-no-rj")</f>
        <v>https://yt3.ggpht.com/ytc/AAUvwniSgvDt2q4Nc4ttEowYNBSr6ZQppx8FirtKYA=s88-c-k-c0x00ffffff-no-rj</v>
      </c>
      <c r="G141" s="66"/>
      <c r="H141" s="70" t="s">
        <v>804</v>
      </c>
      <c r="I141" s="71"/>
      <c r="J141" s="71" t="s">
        <v>159</v>
      </c>
      <c r="K141" s="70" t="s">
        <v>804</v>
      </c>
      <c r="L141" s="74">
        <v>1</v>
      </c>
      <c r="M141" s="75">
        <v>5469.8515625</v>
      </c>
      <c r="N141" s="75">
        <v>8642.205078125</v>
      </c>
      <c r="O141" s="76"/>
      <c r="P141" s="77"/>
      <c r="Q141" s="77"/>
      <c r="R141" s="89"/>
      <c r="S141" s="49">
        <v>0</v>
      </c>
      <c r="T141" s="49">
        <v>1</v>
      </c>
      <c r="U141" s="50">
        <v>0</v>
      </c>
      <c r="V141" s="50">
        <v>0.003021</v>
      </c>
      <c r="W141" s="50">
        <v>0.007133</v>
      </c>
      <c r="X141" s="50">
        <v>0.515381</v>
      </c>
      <c r="Y141" s="50">
        <v>0</v>
      </c>
      <c r="Z141" s="50">
        <v>0</v>
      </c>
      <c r="AA141" s="72">
        <v>141</v>
      </c>
      <c r="AB141" s="72"/>
      <c r="AC141" s="73"/>
      <c r="AD141" s="80" t="s">
        <v>804</v>
      </c>
      <c r="AE141" s="80"/>
      <c r="AF141" s="80"/>
      <c r="AG141" s="80"/>
      <c r="AH141" s="80"/>
      <c r="AI141" s="80"/>
      <c r="AJ141" s="87">
        <v>43232.91489583333</v>
      </c>
      <c r="AK141" s="85" t="str">
        <f>HYPERLINK("https://yt3.ggpht.com/ytc/AAUvwniSgvDt2q4Nc4ttEowYNBSr6ZQppx8FirtKYA=s88-c-k-c0x00ffffff-no-rj")</f>
        <v>https://yt3.ggpht.com/ytc/AAUvwniSgvDt2q4Nc4ttEowYNBSr6ZQppx8FirtKYA=s88-c-k-c0x00ffffff-no-rj</v>
      </c>
      <c r="AL141" s="80">
        <v>6</v>
      </c>
      <c r="AM141" s="80">
        <v>0</v>
      </c>
      <c r="AN141" s="80">
        <v>0</v>
      </c>
      <c r="AO141" s="80" t="b">
        <v>0</v>
      </c>
      <c r="AP141" s="80">
        <v>1</v>
      </c>
      <c r="AQ141" s="80"/>
      <c r="AR141" s="80"/>
      <c r="AS141" s="80" t="s">
        <v>871</v>
      </c>
      <c r="AT141" s="85" t="str">
        <f>HYPERLINK("https://www.youtube.com/channel/UC03SwJHbmy-KXKjVWb9mjeg")</f>
        <v>https://www.youtube.com/channel/UC03SwJHbmy-KXKjVWb9mjeg</v>
      </c>
      <c r="AU141" s="80" t="str">
        <f>REPLACE(INDEX(GroupVertices[Group],MATCH(Vertices[[#This Row],[Vertex]],GroupVertices[Vertex],0)),1,1,"")</f>
        <v>1</v>
      </c>
      <c r="AV141" s="49">
        <v>1</v>
      </c>
      <c r="AW141" s="50">
        <v>2.0833333333333335</v>
      </c>
      <c r="AX141" s="49">
        <v>4</v>
      </c>
      <c r="AY141" s="50">
        <v>8.333333333333334</v>
      </c>
      <c r="AZ141" s="49">
        <v>0</v>
      </c>
      <c r="BA141" s="50">
        <v>0</v>
      </c>
      <c r="BB141" s="49">
        <v>44</v>
      </c>
      <c r="BC141" s="50">
        <v>91.66666666666667</v>
      </c>
      <c r="BD141" s="49">
        <v>48</v>
      </c>
      <c r="BE141" s="49"/>
      <c r="BF141" s="49"/>
      <c r="BG141" s="49"/>
      <c r="BH141" s="49"/>
      <c r="BI141" s="49"/>
      <c r="BJ141" s="49"/>
      <c r="BK141" s="111" t="s">
        <v>1538</v>
      </c>
      <c r="BL141" s="111" t="s">
        <v>1538</v>
      </c>
      <c r="BM141" s="111" t="s">
        <v>1603</v>
      </c>
      <c r="BN141" s="111" t="s">
        <v>1603</v>
      </c>
      <c r="BO141" s="2"/>
      <c r="BP141" s="3"/>
      <c r="BQ141" s="3"/>
      <c r="BR141" s="3"/>
      <c r="BS141" s="3"/>
    </row>
    <row r="142" spans="1:71" ht="15">
      <c r="A142" s="65" t="s">
        <v>465</v>
      </c>
      <c r="B142" s="66"/>
      <c r="C142" s="66"/>
      <c r="D142" s="67">
        <v>150</v>
      </c>
      <c r="E142" s="69"/>
      <c r="F142" s="103" t="str">
        <f>HYPERLINK("https://yt3.ggpht.com/ytc/AAUvwnjh6cIF76FhU7-FuKTWSUH56Y-VoTUQAKNlXA=s88-c-k-c0x00ffffff-no-rj")</f>
        <v>https://yt3.ggpht.com/ytc/AAUvwnjh6cIF76FhU7-FuKTWSUH56Y-VoTUQAKNlXA=s88-c-k-c0x00ffffff-no-rj</v>
      </c>
      <c r="G142" s="66"/>
      <c r="H142" s="70" t="s">
        <v>805</v>
      </c>
      <c r="I142" s="71"/>
      <c r="J142" s="71" t="s">
        <v>159</v>
      </c>
      <c r="K142" s="70" t="s">
        <v>805</v>
      </c>
      <c r="L142" s="74">
        <v>1</v>
      </c>
      <c r="M142" s="75">
        <v>913.899169921875</v>
      </c>
      <c r="N142" s="75">
        <v>4751.0830078125</v>
      </c>
      <c r="O142" s="76"/>
      <c r="P142" s="77"/>
      <c r="Q142" s="77"/>
      <c r="R142" s="89"/>
      <c r="S142" s="49">
        <v>0</v>
      </c>
      <c r="T142" s="49">
        <v>1</v>
      </c>
      <c r="U142" s="50">
        <v>0</v>
      </c>
      <c r="V142" s="50">
        <v>0.003021</v>
      </c>
      <c r="W142" s="50">
        <v>0.007133</v>
      </c>
      <c r="X142" s="50">
        <v>0.515381</v>
      </c>
      <c r="Y142" s="50">
        <v>0</v>
      </c>
      <c r="Z142" s="50">
        <v>0</v>
      </c>
      <c r="AA142" s="72">
        <v>142</v>
      </c>
      <c r="AB142" s="72"/>
      <c r="AC142" s="73"/>
      <c r="AD142" s="80" t="s">
        <v>805</v>
      </c>
      <c r="AE142" s="80"/>
      <c r="AF142" s="80"/>
      <c r="AG142" s="80"/>
      <c r="AH142" s="80"/>
      <c r="AI142" s="80"/>
      <c r="AJ142" s="87">
        <v>41540.71158564815</v>
      </c>
      <c r="AK142" s="85" t="str">
        <f>HYPERLINK("https://yt3.ggpht.com/ytc/AAUvwnjh6cIF76FhU7-FuKTWSUH56Y-VoTUQAKNlXA=s88-c-k-c0x00ffffff-no-rj")</f>
        <v>https://yt3.ggpht.com/ytc/AAUvwnjh6cIF76FhU7-FuKTWSUH56Y-VoTUQAKNlXA=s88-c-k-c0x00ffffff-no-rj</v>
      </c>
      <c r="AL142" s="80">
        <v>0</v>
      </c>
      <c r="AM142" s="80">
        <v>0</v>
      </c>
      <c r="AN142" s="80">
        <v>1</v>
      </c>
      <c r="AO142" s="80" t="b">
        <v>0</v>
      </c>
      <c r="AP142" s="80">
        <v>0</v>
      </c>
      <c r="AQ142" s="80"/>
      <c r="AR142" s="80"/>
      <c r="AS142" s="80" t="s">
        <v>871</v>
      </c>
      <c r="AT142" s="85" t="str">
        <f>HYPERLINK("https://www.youtube.com/channel/UC2_xSCu7RIdq6FunUtp68zw")</f>
        <v>https://www.youtube.com/channel/UC2_xSCu7RIdq6FunUtp68zw</v>
      </c>
      <c r="AU142" s="80" t="str">
        <f>REPLACE(INDEX(GroupVertices[Group],MATCH(Vertices[[#This Row],[Vertex]],GroupVertices[Vertex],0)),1,1,"")</f>
        <v>1</v>
      </c>
      <c r="AV142" s="49">
        <v>1</v>
      </c>
      <c r="AW142" s="50">
        <v>9.090909090909092</v>
      </c>
      <c r="AX142" s="49">
        <v>0</v>
      </c>
      <c r="AY142" s="50">
        <v>0</v>
      </c>
      <c r="AZ142" s="49">
        <v>0</v>
      </c>
      <c r="BA142" s="50">
        <v>0</v>
      </c>
      <c r="BB142" s="49">
        <v>10</v>
      </c>
      <c r="BC142" s="50">
        <v>90.9090909090909</v>
      </c>
      <c r="BD142" s="49">
        <v>11</v>
      </c>
      <c r="BE142" s="49"/>
      <c r="BF142" s="49"/>
      <c r="BG142" s="49"/>
      <c r="BH142" s="49"/>
      <c r="BI142" s="49"/>
      <c r="BJ142" s="49"/>
      <c r="BK142" s="111" t="s">
        <v>1368</v>
      </c>
      <c r="BL142" s="111" t="s">
        <v>1368</v>
      </c>
      <c r="BM142" s="111" t="s">
        <v>1440</v>
      </c>
      <c r="BN142" s="111" t="s">
        <v>1440</v>
      </c>
      <c r="BO142" s="2"/>
      <c r="BP142" s="3"/>
      <c r="BQ142" s="3"/>
      <c r="BR142" s="3"/>
      <c r="BS142" s="3"/>
    </row>
    <row r="143" spans="1:71" ht="15">
      <c r="A143" s="65" t="s">
        <v>466</v>
      </c>
      <c r="B143" s="66"/>
      <c r="C143" s="66"/>
      <c r="D143" s="67">
        <v>150</v>
      </c>
      <c r="E143" s="69"/>
      <c r="F143" s="103" t="str">
        <f>HYPERLINK("https://yt3.ggpht.com/ytc/AAUvwnjkv0uILgULYuLCB6N02BPmfR8LU8qEpAlu6g=s88-c-k-c0x00ffffff-no-rj")</f>
        <v>https://yt3.ggpht.com/ytc/AAUvwnjkv0uILgULYuLCB6N02BPmfR8LU8qEpAlu6g=s88-c-k-c0x00ffffff-no-rj</v>
      </c>
      <c r="G143" s="66"/>
      <c r="H143" s="70" t="s">
        <v>806</v>
      </c>
      <c r="I143" s="71"/>
      <c r="J143" s="71" t="s">
        <v>159</v>
      </c>
      <c r="K143" s="70" t="s">
        <v>806</v>
      </c>
      <c r="L143" s="74">
        <v>1</v>
      </c>
      <c r="M143" s="75">
        <v>3443.907958984375</v>
      </c>
      <c r="N143" s="75">
        <v>204.4596710205078</v>
      </c>
      <c r="O143" s="76"/>
      <c r="P143" s="77"/>
      <c r="Q143" s="77"/>
      <c r="R143" s="89"/>
      <c r="S143" s="49">
        <v>0</v>
      </c>
      <c r="T143" s="49">
        <v>1</v>
      </c>
      <c r="U143" s="50">
        <v>0</v>
      </c>
      <c r="V143" s="50">
        <v>0.003021</v>
      </c>
      <c r="W143" s="50">
        <v>0.007133</v>
      </c>
      <c r="X143" s="50">
        <v>0.515381</v>
      </c>
      <c r="Y143" s="50">
        <v>0</v>
      </c>
      <c r="Z143" s="50">
        <v>0</v>
      </c>
      <c r="AA143" s="72">
        <v>143</v>
      </c>
      <c r="AB143" s="72"/>
      <c r="AC143" s="73"/>
      <c r="AD143" s="80" t="s">
        <v>806</v>
      </c>
      <c r="AE143" s="80"/>
      <c r="AF143" s="80"/>
      <c r="AG143" s="80"/>
      <c r="AH143" s="80"/>
      <c r="AI143" s="80"/>
      <c r="AJ143" s="87">
        <v>44262.95064814815</v>
      </c>
      <c r="AK143" s="85" t="str">
        <f>HYPERLINK("https://yt3.ggpht.com/ytc/AAUvwnjkv0uILgULYuLCB6N02BPmfR8LU8qEpAlu6g=s88-c-k-c0x00ffffff-no-rj")</f>
        <v>https://yt3.ggpht.com/ytc/AAUvwnjkv0uILgULYuLCB6N02BPmfR8LU8qEpAlu6g=s88-c-k-c0x00ffffff-no-rj</v>
      </c>
      <c r="AL143" s="80">
        <v>0</v>
      </c>
      <c r="AM143" s="80">
        <v>0</v>
      </c>
      <c r="AN143" s="80">
        <v>0</v>
      </c>
      <c r="AO143" s="80" t="b">
        <v>0</v>
      </c>
      <c r="AP143" s="80">
        <v>0</v>
      </c>
      <c r="AQ143" s="80"/>
      <c r="AR143" s="80"/>
      <c r="AS143" s="80" t="s">
        <v>871</v>
      </c>
      <c r="AT143" s="85" t="str">
        <f>HYPERLINK("https://www.youtube.com/channel/UCN0ynz0wVhfT11DFWCegk1g")</f>
        <v>https://www.youtube.com/channel/UCN0ynz0wVhfT11DFWCegk1g</v>
      </c>
      <c r="AU143" s="80" t="str">
        <f>REPLACE(INDEX(GroupVertices[Group],MATCH(Vertices[[#This Row],[Vertex]],GroupVertices[Vertex],0)),1,1,"")</f>
        <v>1</v>
      </c>
      <c r="AV143" s="49">
        <v>1</v>
      </c>
      <c r="AW143" s="50">
        <v>5.2631578947368425</v>
      </c>
      <c r="AX143" s="49">
        <v>2</v>
      </c>
      <c r="AY143" s="50">
        <v>10.526315789473685</v>
      </c>
      <c r="AZ143" s="49">
        <v>0</v>
      </c>
      <c r="BA143" s="50">
        <v>0</v>
      </c>
      <c r="BB143" s="49">
        <v>17</v>
      </c>
      <c r="BC143" s="50">
        <v>89.47368421052632</v>
      </c>
      <c r="BD143" s="49">
        <v>19</v>
      </c>
      <c r="BE143" s="49"/>
      <c r="BF143" s="49"/>
      <c r="BG143" s="49"/>
      <c r="BH143" s="49"/>
      <c r="BI143" s="49"/>
      <c r="BJ143" s="49"/>
      <c r="BK143" s="111" t="s">
        <v>1539</v>
      </c>
      <c r="BL143" s="111" t="s">
        <v>1539</v>
      </c>
      <c r="BM143" s="111" t="s">
        <v>1604</v>
      </c>
      <c r="BN143" s="111" t="s">
        <v>1604</v>
      </c>
      <c r="BO143" s="2"/>
      <c r="BP143" s="3"/>
      <c r="BQ143" s="3"/>
      <c r="BR143" s="3"/>
      <c r="BS143" s="3"/>
    </row>
    <row r="144" spans="1:71" ht="15">
      <c r="A144" s="65" t="s">
        <v>467</v>
      </c>
      <c r="B144" s="66"/>
      <c r="C144" s="66"/>
      <c r="D144" s="67">
        <v>150</v>
      </c>
      <c r="E144" s="69"/>
      <c r="F144" s="103" t="str">
        <f>HYPERLINK("https://yt3.ggpht.com/ytc/AAUvwnimjw4SQpe4V5wCKkWimP3JNLsm9p-qTs87xA=s88-c-k-c0x00ffffff-no-rj")</f>
        <v>https://yt3.ggpht.com/ytc/AAUvwnimjw4SQpe4V5wCKkWimP3JNLsm9p-qTs87xA=s88-c-k-c0x00ffffff-no-rj</v>
      </c>
      <c r="G144" s="66"/>
      <c r="H144" s="70" t="s">
        <v>807</v>
      </c>
      <c r="I144" s="71"/>
      <c r="J144" s="71" t="s">
        <v>159</v>
      </c>
      <c r="K144" s="70" t="s">
        <v>807</v>
      </c>
      <c r="L144" s="74">
        <v>1</v>
      </c>
      <c r="M144" s="75">
        <v>6460.75537109375</v>
      </c>
      <c r="N144" s="75">
        <v>3578.653564453125</v>
      </c>
      <c r="O144" s="76"/>
      <c r="P144" s="77"/>
      <c r="Q144" s="77"/>
      <c r="R144" s="89"/>
      <c r="S144" s="49">
        <v>0</v>
      </c>
      <c r="T144" s="49">
        <v>1</v>
      </c>
      <c r="U144" s="50">
        <v>0</v>
      </c>
      <c r="V144" s="50">
        <v>0.003021</v>
      </c>
      <c r="W144" s="50">
        <v>0.007133</v>
      </c>
      <c r="X144" s="50">
        <v>0.515381</v>
      </c>
      <c r="Y144" s="50">
        <v>0</v>
      </c>
      <c r="Z144" s="50">
        <v>0</v>
      </c>
      <c r="AA144" s="72">
        <v>144</v>
      </c>
      <c r="AB144" s="72"/>
      <c r="AC144" s="73"/>
      <c r="AD144" s="80" t="s">
        <v>807</v>
      </c>
      <c r="AE144" s="80"/>
      <c r="AF144" s="80"/>
      <c r="AG144" s="80"/>
      <c r="AH144" s="80"/>
      <c r="AI144" s="80"/>
      <c r="AJ144" s="87">
        <v>42712.94578703704</v>
      </c>
      <c r="AK144" s="85" t="str">
        <f>HYPERLINK("https://yt3.ggpht.com/ytc/AAUvwnimjw4SQpe4V5wCKkWimP3JNLsm9p-qTs87xA=s88-c-k-c0x00ffffff-no-rj")</f>
        <v>https://yt3.ggpht.com/ytc/AAUvwnimjw4SQpe4V5wCKkWimP3JNLsm9p-qTs87xA=s88-c-k-c0x00ffffff-no-rj</v>
      </c>
      <c r="AL144" s="80">
        <v>0</v>
      </c>
      <c r="AM144" s="80">
        <v>0</v>
      </c>
      <c r="AN144" s="80">
        <v>2</v>
      </c>
      <c r="AO144" s="80" t="b">
        <v>0</v>
      </c>
      <c r="AP144" s="80">
        <v>0</v>
      </c>
      <c r="AQ144" s="80"/>
      <c r="AR144" s="80"/>
      <c r="AS144" s="80" t="s">
        <v>871</v>
      </c>
      <c r="AT144" s="85" t="str">
        <f>HYPERLINK("https://www.youtube.com/channel/UCfftvwIAhZMDl0PmaDqo_1g")</f>
        <v>https://www.youtube.com/channel/UCfftvwIAhZMDl0PmaDqo_1g</v>
      </c>
      <c r="AU144" s="80" t="str">
        <f>REPLACE(INDEX(GroupVertices[Group],MATCH(Vertices[[#This Row],[Vertex]],GroupVertices[Vertex],0)),1,1,"")</f>
        <v>1</v>
      </c>
      <c r="AV144" s="49">
        <v>2</v>
      </c>
      <c r="AW144" s="50">
        <v>6.25</v>
      </c>
      <c r="AX144" s="49">
        <v>3</v>
      </c>
      <c r="AY144" s="50">
        <v>9.375</v>
      </c>
      <c r="AZ144" s="49">
        <v>0</v>
      </c>
      <c r="BA144" s="50">
        <v>0</v>
      </c>
      <c r="BB144" s="49">
        <v>28</v>
      </c>
      <c r="BC144" s="50">
        <v>87.5</v>
      </c>
      <c r="BD144" s="49">
        <v>32</v>
      </c>
      <c r="BE144" s="49"/>
      <c r="BF144" s="49"/>
      <c r="BG144" s="49"/>
      <c r="BH144" s="49"/>
      <c r="BI144" s="49"/>
      <c r="BJ144" s="49"/>
      <c r="BK144" s="111" t="s">
        <v>1540</v>
      </c>
      <c r="BL144" s="111" t="s">
        <v>1540</v>
      </c>
      <c r="BM144" s="111" t="s">
        <v>1605</v>
      </c>
      <c r="BN144" s="111" t="s">
        <v>1605</v>
      </c>
      <c r="BO144" s="2"/>
      <c r="BP144" s="3"/>
      <c r="BQ144" s="3"/>
      <c r="BR144" s="3"/>
      <c r="BS144" s="3"/>
    </row>
    <row r="145" spans="1:71" ht="15">
      <c r="A145" s="65" t="s">
        <v>468</v>
      </c>
      <c r="B145" s="66"/>
      <c r="C145" s="66"/>
      <c r="D145" s="67">
        <v>150</v>
      </c>
      <c r="E145" s="69"/>
      <c r="F145" s="103" t="str">
        <f>HYPERLINK("https://yt3.ggpht.com/ytc/AAUvwniaSvm6hDuofG5k3Gn75vDTPP_jQSnWezfhUg=s88-c-k-c0x00ffffff-no-rj")</f>
        <v>https://yt3.ggpht.com/ytc/AAUvwniaSvm6hDuofG5k3Gn75vDTPP_jQSnWezfhUg=s88-c-k-c0x00ffffff-no-rj</v>
      </c>
      <c r="G145" s="66"/>
      <c r="H145" s="70" t="s">
        <v>808</v>
      </c>
      <c r="I145" s="71"/>
      <c r="J145" s="71" t="s">
        <v>159</v>
      </c>
      <c r="K145" s="70" t="s">
        <v>808</v>
      </c>
      <c r="L145" s="74">
        <v>1</v>
      </c>
      <c r="M145" s="75">
        <v>6329.6923828125</v>
      </c>
      <c r="N145" s="75">
        <v>2976.180908203125</v>
      </c>
      <c r="O145" s="76"/>
      <c r="P145" s="77"/>
      <c r="Q145" s="77"/>
      <c r="R145" s="89"/>
      <c r="S145" s="49">
        <v>0</v>
      </c>
      <c r="T145" s="49">
        <v>1</v>
      </c>
      <c r="U145" s="50">
        <v>0</v>
      </c>
      <c r="V145" s="50">
        <v>0.003021</v>
      </c>
      <c r="W145" s="50">
        <v>0.007133</v>
      </c>
      <c r="X145" s="50">
        <v>0.515381</v>
      </c>
      <c r="Y145" s="50">
        <v>0</v>
      </c>
      <c r="Z145" s="50">
        <v>0</v>
      </c>
      <c r="AA145" s="72">
        <v>145</v>
      </c>
      <c r="AB145" s="72"/>
      <c r="AC145" s="73"/>
      <c r="AD145" s="80" t="s">
        <v>808</v>
      </c>
      <c r="AE145" s="80"/>
      <c r="AF145" s="80"/>
      <c r="AG145" s="80"/>
      <c r="AH145" s="80"/>
      <c r="AI145" s="80"/>
      <c r="AJ145" s="87">
        <v>43983.95631944444</v>
      </c>
      <c r="AK145" s="85" t="str">
        <f>HYPERLINK("https://yt3.ggpht.com/ytc/AAUvwniaSvm6hDuofG5k3Gn75vDTPP_jQSnWezfhUg=s88-c-k-c0x00ffffff-no-rj")</f>
        <v>https://yt3.ggpht.com/ytc/AAUvwniaSvm6hDuofG5k3Gn75vDTPP_jQSnWezfhUg=s88-c-k-c0x00ffffff-no-rj</v>
      </c>
      <c r="AL145" s="80">
        <v>0</v>
      </c>
      <c r="AM145" s="80">
        <v>0</v>
      </c>
      <c r="AN145" s="80">
        <v>0</v>
      </c>
      <c r="AO145" s="80" t="b">
        <v>0</v>
      </c>
      <c r="AP145" s="80">
        <v>0</v>
      </c>
      <c r="AQ145" s="80"/>
      <c r="AR145" s="80"/>
      <c r="AS145" s="80" t="s">
        <v>871</v>
      </c>
      <c r="AT145" s="85" t="str">
        <f>HYPERLINK("https://www.youtube.com/channel/UCbWY2V53qsUHtrLpFy-jaMw")</f>
        <v>https://www.youtube.com/channel/UCbWY2V53qsUHtrLpFy-jaMw</v>
      </c>
      <c r="AU145" s="80" t="str">
        <f>REPLACE(INDEX(GroupVertices[Group],MATCH(Vertices[[#This Row],[Vertex]],GroupVertices[Vertex],0)),1,1,"")</f>
        <v>1</v>
      </c>
      <c r="AV145" s="49">
        <v>1</v>
      </c>
      <c r="AW145" s="50">
        <v>25</v>
      </c>
      <c r="AX145" s="49">
        <v>1</v>
      </c>
      <c r="AY145" s="50">
        <v>25</v>
      </c>
      <c r="AZ145" s="49">
        <v>0</v>
      </c>
      <c r="BA145" s="50">
        <v>0</v>
      </c>
      <c r="BB145" s="49">
        <v>2</v>
      </c>
      <c r="BC145" s="50">
        <v>50</v>
      </c>
      <c r="BD145" s="49">
        <v>4</v>
      </c>
      <c r="BE145" s="49"/>
      <c r="BF145" s="49"/>
      <c r="BG145" s="49"/>
      <c r="BH145" s="49"/>
      <c r="BI145" s="49"/>
      <c r="BJ145" s="49"/>
      <c r="BK145" s="111" t="s">
        <v>1369</v>
      </c>
      <c r="BL145" s="111" t="s">
        <v>1369</v>
      </c>
      <c r="BM145" s="111" t="s">
        <v>1441</v>
      </c>
      <c r="BN145" s="111" t="s">
        <v>1441</v>
      </c>
      <c r="BO145" s="2"/>
      <c r="BP145" s="3"/>
      <c r="BQ145" s="3"/>
      <c r="BR145" s="3"/>
      <c r="BS145" s="3"/>
    </row>
    <row r="146" spans="1:71" ht="15">
      <c r="A146" s="65" t="s">
        <v>469</v>
      </c>
      <c r="B146" s="66"/>
      <c r="C146" s="66"/>
      <c r="D146" s="67">
        <v>150</v>
      </c>
      <c r="E146" s="69"/>
      <c r="F146" s="103" t="str">
        <f>HYPERLINK("https://yt3.ggpht.com/ytc/AAUvwnjsNiAeC7PVZ1nw_MSBqJhiB_6I5D2rplGqiSUN=s88-c-k-c0x00ffffff-no-rj")</f>
        <v>https://yt3.ggpht.com/ytc/AAUvwnjsNiAeC7PVZ1nw_MSBqJhiB_6I5D2rplGqiSUN=s88-c-k-c0x00ffffff-no-rj</v>
      </c>
      <c r="G146" s="66"/>
      <c r="H146" s="70" t="s">
        <v>809</v>
      </c>
      <c r="I146" s="71"/>
      <c r="J146" s="71" t="s">
        <v>159</v>
      </c>
      <c r="K146" s="70" t="s">
        <v>809</v>
      </c>
      <c r="L146" s="74">
        <v>1</v>
      </c>
      <c r="M146" s="75">
        <v>1763.37646484375</v>
      </c>
      <c r="N146" s="75">
        <v>1268.1810302734375</v>
      </c>
      <c r="O146" s="76"/>
      <c r="P146" s="77"/>
      <c r="Q146" s="77"/>
      <c r="R146" s="89"/>
      <c r="S146" s="49">
        <v>0</v>
      </c>
      <c r="T146" s="49">
        <v>1</v>
      </c>
      <c r="U146" s="50">
        <v>0</v>
      </c>
      <c r="V146" s="50">
        <v>0.003021</v>
      </c>
      <c r="W146" s="50">
        <v>0.007133</v>
      </c>
      <c r="X146" s="50">
        <v>0.515381</v>
      </c>
      <c r="Y146" s="50">
        <v>0</v>
      </c>
      <c r="Z146" s="50">
        <v>0</v>
      </c>
      <c r="AA146" s="72">
        <v>146</v>
      </c>
      <c r="AB146" s="72"/>
      <c r="AC146" s="73"/>
      <c r="AD146" s="80" t="s">
        <v>809</v>
      </c>
      <c r="AE146" s="80"/>
      <c r="AF146" s="80"/>
      <c r="AG146" s="80"/>
      <c r="AH146" s="80"/>
      <c r="AI146" s="80"/>
      <c r="AJ146" s="87">
        <v>42743.928194444445</v>
      </c>
      <c r="AK146" s="85" t="str">
        <f>HYPERLINK("https://yt3.ggpht.com/ytc/AAUvwnjsNiAeC7PVZ1nw_MSBqJhiB_6I5D2rplGqiSUN=s88-c-k-c0x00ffffff-no-rj")</f>
        <v>https://yt3.ggpht.com/ytc/AAUvwnjsNiAeC7PVZ1nw_MSBqJhiB_6I5D2rplGqiSUN=s88-c-k-c0x00ffffff-no-rj</v>
      </c>
      <c r="AL146" s="80">
        <v>0</v>
      </c>
      <c r="AM146" s="80">
        <v>0</v>
      </c>
      <c r="AN146" s="80">
        <v>0</v>
      </c>
      <c r="AO146" s="80" t="b">
        <v>0</v>
      </c>
      <c r="AP146" s="80">
        <v>0</v>
      </c>
      <c r="AQ146" s="80"/>
      <c r="AR146" s="80"/>
      <c r="AS146" s="80" t="s">
        <v>871</v>
      </c>
      <c r="AT146" s="85" t="str">
        <f>HYPERLINK("https://www.youtube.com/channel/UCbJ9OfieJxOdqubkRtjyuKw")</f>
        <v>https://www.youtube.com/channel/UCbJ9OfieJxOdqubkRtjyuKw</v>
      </c>
      <c r="AU146" s="80" t="str">
        <f>REPLACE(INDEX(GroupVertices[Group],MATCH(Vertices[[#This Row],[Vertex]],GroupVertices[Vertex],0)),1,1,"")</f>
        <v>1</v>
      </c>
      <c r="AV146" s="49">
        <v>1</v>
      </c>
      <c r="AW146" s="50">
        <v>4.761904761904762</v>
      </c>
      <c r="AX146" s="49">
        <v>1</v>
      </c>
      <c r="AY146" s="50">
        <v>4.761904761904762</v>
      </c>
      <c r="AZ146" s="49">
        <v>0</v>
      </c>
      <c r="BA146" s="50">
        <v>0</v>
      </c>
      <c r="BB146" s="49">
        <v>19</v>
      </c>
      <c r="BC146" s="50">
        <v>90.47619047619048</v>
      </c>
      <c r="BD146" s="49">
        <v>21</v>
      </c>
      <c r="BE146" s="49"/>
      <c r="BF146" s="49"/>
      <c r="BG146" s="49"/>
      <c r="BH146" s="49"/>
      <c r="BI146" s="49"/>
      <c r="BJ146" s="49"/>
      <c r="BK146" s="111" t="s">
        <v>1541</v>
      </c>
      <c r="BL146" s="111" t="s">
        <v>1541</v>
      </c>
      <c r="BM146" s="111" t="s">
        <v>1606</v>
      </c>
      <c r="BN146" s="111" t="s">
        <v>1606</v>
      </c>
      <c r="BO146" s="2"/>
      <c r="BP146" s="3"/>
      <c r="BQ146" s="3"/>
      <c r="BR146" s="3"/>
      <c r="BS146" s="3"/>
    </row>
    <row r="147" spans="1:71" ht="15">
      <c r="A147" s="65" t="s">
        <v>470</v>
      </c>
      <c r="B147" s="66"/>
      <c r="C147" s="66"/>
      <c r="D147" s="67">
        <v>150</v>
      </c>
      <c r="E147" s="69"/>
      <c r="F147" s="103" t="str">
        <f>HYPERLINK("https://yt3.ggpht.com/ytc/AAUvwnhqE8h5Pq_R7kNFlcHHwsrDGdxYCbt363hZ6E5QKg=s88-c-k-c0x00ffffff-no-rj")</f>
        <v>https://yt3.ggpht.com/ytc/AAUvwnhqE8h5Pq_R7kNFlcHHwsrDGdxYCbt363hZ6E5QKg=s88-c-k-c0x00ffffff-no-rj</v>
      </c>
      <c r="G147" s="66"/>
      <c r="H147" s="70" t="s">
        <v>810</v>
      </c>
      <c r="I147" s="71"/>
      <c r="J147" s="71" t="s">
        <v>159</v>
      </c>
      <c r="K147" s="70" t="s">
        <v>810</v>
      </c>
      <c r="L147" s="74">
        <v>1</v>
      </c>
      <c r="M147" s="75">
        <v>2551.97314453125</v>
      </c>
      <c r="N147" s="75">
        <v>3913.078125</v>
      </c>
      <c r="O147" s="76"/>
      <c r="P147" s="77"/>
      <c r="Q147" s="77"/>
      <c r="R147" s="89"/>
      <c r="S147" s="49">
        <v>0</v>
      </c>
      <c r="T147" s="49">
        <v>1</v>
      </c>
      <c r="U147" s="50">
        <v>0</v>
      </c>
      <c r="V147" s="50">
        <v>0.003021</v>
      </c>
      <c r="W147" s="50">
        <v>0.007133</v>
      </c>
      <c r="X147" s="50">
        <v>0.515381</v>
      </c>
      <c r="Y147" s="50">
        <v>0</v>
      </c>
      <c r="Z147" s="50">
        <v>0</v>
      </c>
      <c r="AA147" s="72">
        <v>147</v>
      </c>
      <c r="AB147" s="72"/>
      <c r="AC147" s="73"/>
      <c r="AD147" s="80" t="s">
        <v>810</v>
      </c>
      <c r="AE147" s="80" t="s">
        <v>870</v>
      </c>
      <c r="AF147" s="80"/>
      <c r="AG147" s="80"/>
      <c r="AH147" s="80"/>
      <c r="AI147" s="80"/>
      <c r="AJ147" s="87">
        <v>41905.45991898148</v>
      </c>
      <c r="AK147" s="85" t="str">
        <f>HYPERLINK("https://yt3.ggpht.com/ytc/AAUvwnhqE8h5Pq_R7kNFlcHHwsrDGdxYCbt363hZ6E5QKg=s88-c-k-c0x00ffffff-no-rj")</f>
        <v>https://yt3.ggpht.com/ytc/AAUvwnhqE8h5Pq_R7kNFlcHHwsrDGdxYCbt363hZ6E5QKg=s88-c-k-c0x00ffffff-no-rj</v>
      </c>
      <c r="AL147" s="80">
        <v>5735</v>
      </c>
      <c r="AM147" s="80">
        <v>0</v>
      </c>
      <c r="AN147" s="80">
        <v>83</v>
      </c>
      <c r="AO147" s="80" t="b">
        <v>0</v>
      </c>
      <c r="AP147" s="80">
        <v>128</v>
      </c>
      <c r="AQ147" s="80"/>
      <c r="AR147" s="80"/>
      <c r="AS147" s="80" t="s">
        <v>871</v>
      </c>
      <c r="AT147" s="85" t="str">
        <f>HYPERLINK("https://www.youtube.com/channel/UCU3B6uthFejEFlLALdqaVYw")</f>
        <v>https://www.youtube.com/channel/UCU3B6uthFejEFlLALdqaVYw</v>
      </c>
      <c r="AU147" s="80" t="str">
        <f>REPLACE(INDEX(GroupVertices[Group],MATCH(Vertices[[#This Row],[Vertex]],GroupVertices[Vertex],0)),1,1,"")</f>
        <v>1</v>
      </c>
      <c r="AV147" s="49">
        <v>2</v>
      </c>
      <c r="AW147" s="50">
        <v>15.384615384615385</v>
      </c>
      <c r="AX147" s="49">
        <v>1</v>
      </c>
      <c r="AY147" s="50">
        <v>7.6923076923076925</v>
      </c>
      <c r="AZ147" s="49">
        <v>0</v>
      </c>
      <c r="BA147" s="50">
        <v>0</v>
      </c>
      <c r="BB147" s="49">
        <v>11</v>
      </c>
      <c r="BC147" s="50">
        <v>84.61538461538461</v>
      </c>
      <c r="BD147" s="49">
        <v>13</v>
      </c>
      <c r="BE147" s="49"/>
      <c r="BF147" s="49"/>
      <c r="BG147" s="49"/>
      <c r="BH147" s="49"/>
      <c r="BI147" s="49"/>
      <c r="BJ147" s="49"/>
      <c r="BK147" s="111" t="s">
        <v>1542</v>
      </c>
      <c r="BL147" s="111" t="s">
        <v>1542</v>
      </c>
      <c r="BM147" s="111" t="s">
        <v>1607</v>
      </c>
      <c r="BN147" s="111" t="s">
        <v>1607</v>
      </c>
      <c r="BO147" s="2"/>
      <c r="BP147" s="3"/>
      <c r="BQ147" s="3"/>
      <c r="BR147" s="3"/>
      <c r="BS147" s="3"/>
    </row>
    <row r="148" spans="1:71" ht="15">
      <c r="A148" s="65" t="s">
        <v>471</v>
      </c>
      <c r="B148" s="66"/>
      <c r="C148" s="66"/>
      <c r="D148" s="67">
        <v>150</v>
      </c>
      <c r="E148" s="69"/>
      <c r="F148" s="103" t="str">
        <f>HYPERLINK("https://yt3.ggpht.com/ytc/AAUvwng46rh-SqP9XBpGVrmOXsyFNJ6zVRiopyGVBQ=s88-c-k-c0x00ffffff-no-rj")</f>
        <v>https://yt3.ggpht.com/ytc/AAUvwng46rh-SqP9XBpGVrmOXsyFNJ6zVRiopyGVBQ=s88-c-k-c0x00ffffff-no-rj</v>
      </c>
      <c r="G148" s="66"/>
      <c r="H148" s="70" t="s">
        <v>811</v>
      </c>
      <c r="I148" s="71"/>
      <c r="J148" s="71" t="s">
        <v>159</v>
      </c>
      <c r="K148" s="70" t="s">
        <v>811</v>
      </c>
      <c r="L148" s="74">
        <v>1</v>
      </c>
      <c r="M148" s="75">
        <v>4134.8447265625</v>
      </c>
      <c r="N148" s="75">
        <v>5520.40185546875</v>
      </c>
      <c r="O148" s="76"/>
      <c r="P148" s="77"/>
      <c r="Q148" s="77"/>
      <c r="R148" s="89"/>
      <c r="S148" s="49">
        <v>0</v>
      </c>
      <c r="T148" s="49">
        <v>1</v>
      </c>
      <c r="U148" s="50">
        <v>0</v>
      </c>
      <c r="V148" s="50">
        <v>0.003021</v>
      </c>
      <c r="W148" s="50">
        <v>0.007133</v>
      </c>
      <c r="X148" s="50">
        <v>0.515381</v>
      </c>
      <c r="Y148" s="50">
        <v>0</v>
      </c>
      <c r="Z148" s="50">
        <v>0</v>
      </c>
      <c r="AA148" s="72">
        <v>148</v>
      </c>
      <c r="AB148" s="72"/>
      <c r="AC148" s="73"/>
      <c r="AD148" s="80" t="s">
        <v>811</v>
      </c>
      <c r="AE148" s="80"/>
      <c r="AF148" s="80"/>
      <c r="AG148" s="80"/>
      <c r="AH148" s="80"/>
      <c r="AI148" s="80"/>
      <c r="AJ148" s="87">
        <v>44207.00475694444</v>
      </c>
      <c r="AK148" s="85" t="str">
        <f>HYPERLINK("https://yt3.ggpht.com/ytc/AAUvwng46rh-SqP9XBpGVrmOXsyFNJ6zVRiopyGVBQ=s88-c-k-c0x00ffffff-no-rj")</f>
        <v>https://yt3.ggpht.com/ytc/AAUvwng46rh-SqP9XBpGVrmOXsyFNJ6zVRiopyGVBQ=s88-c-k-c0x00ffffff-no-rj</v>
      </c>
      <c r="AL148" s="80">
        <v>0</v>
      </c>
      <c r="AM148" s="80">
        <v>0</v>
      </c>
      <c r="AN148" s="80">
        <v>0</v>
      </c>
      <c r="AO148" s="80" t="b">
        <v>0</v>
      </c>
      <c r="AP148" s="80">
        <v>0</v>
      </c>
      <c r="AQ148" s="80"/>
      <c r="AR148" s="80"/>
      <c r="AS148" s="80" t="s">
        <v>871</v>
      </c>
      <c r="AT148" s="85" t="str">
        <f>HYPERLINK("https://www.youtube.com/channel/UCIwkpHqUeqI0QDxQsKXcvTw")</f>
        <v>https://www.youtube.com/channel/UCIwkpHqUeqI0QDxQsKXcvTw</v>
      </c>
      <c r="AU148" s="80" t="str">
        <f>REPLACE(INDEX(GroupVertices[Group],MATCH(Vertices[[#This Row],[Vertex]],GroupVertices[Vertex],0)),1,1,"")</f>
        <v>1</v>
      </c>
      <c r="AV148" s="49">
        <v>3</v>
      </c>
      <c r="AW148" s="50">
        <v>5.2631578947368425</v>
      </c>
      <c r="AX148" s="49">
        <v>6</v>
      </c>
      <c r="AY148" s="50">
        <v>10.526315789473685</v>
      </c>
      <c r="AZ148" s="49">
        <v>0</v>
      </c>
      <c r="BA148" s="50">
        <v>0</v>
      </c>
      <c r="BB148" s="49">
        <v>50</v>
      </c>
      <c r="BC148" s="50">
        <v>87.71929824561404</v>
      </c>
      <c r="BD148" s="49">
        <v>57</v>
      </c>
      <c r="BE148" s="49"/>
      <c r="BF148" s="49"/>
      <c r="BG148" s="49"/>
      <c r="BH148" s="49"/>
      <c r="BI148" s="49"/>
      <c r="BJ148" s="49"/>
      <c r="BK148" s="111" t="s">
        <v>1543</v>
      </c>
      <c r="BL148" s="111" t="s">
        <v>1543</v>
      </c>
      <c r="BM148" s="111" t="s">
        <v>1608</v>
      </c>
      <c r="BN148" s="111" t="s">
        <v>1608</v>
      </c>
      <c r="BO148" s="2"/>
      <c r="BP148" s="3"/>
      <c r="BQ148" s="3"/>
      <c r="BR148" s="3"/>
      <c r="BS148" s="3"/>
    </row>
    <row r="149" spans="1:71" ht="15">
      <c r="A149" s="65" t="s">
        <v>472</v>
      </c>
      <c r="B149" s="66"/>
      <c r="C149" s="66"/>
      <c r="D149" s="67">
        <v>150</v>
      </c>
      <c r="E149" s="69"/>
      <c r="F149" s="103" t="str">
        <f>HYPERLINK("https://yt3.ggpht.com/ytc/AAUvwni3mIW4MlLZFQA_qzM_okCfetonAVR_7QOR8ksj=s88-c-k-c0x00ffffff-no-rj")</f>
        <v>https://yt3.ggpht.com/ytc/AAUvwni3mIW4MlLZFQA_qzM_okCfetonAVR_7QOR8ksj=s88-c-k-c0x00ffffff-no-rj</v>
      </c>
      <c r="G149" s="66"/>
      <c r="H149" s="70" t="s">
        <v>812</v>
      </c>
      <c r="I149" s="71"/>
      <c r="J149" s="71" t="s">
        <v>159</v>
      </c>
      <c r="K149" s="70" t="s">
        <v>812</v>
      </c>
      <c r="L149" s="74">
        <v>1</v>
      </c>
      <c r="M149" s="75">
        <v>5740.115234375</v>
      </c>
      <c r="N149" s="75">
        <v>8205.125</v>
      </c>
      <c r="O149" s="76"/>
      <c r="P149" s="77"/>
      <c r="Q149" s="77"/>
      <c r="R149" s="89"/>
      <c r="S149" s="49">
        <v>0</v>
      </c>
      <c r="T149" s="49">
        <v>1</v>
      </c>
      <c r="U149" s="50">
        <v>0</v>
      </c>
      <c r="V149" s="50">
        <v>0.003021</v>
      </c>
      <c r="W149" s="50">
        <v>0.007133</v>
      </c>
      <c r="X149" s="50">
        <v>0.515381</v>
      </c>
      <c r="Y149" s="50">
        <v>0</v>
      </c>
      <c r="Z149" s="50">
        <v>0</v>
      </c>
      <c r="AA149" s="72">
        <v>149</v>
      </c>
      <c r="AB149" s="72"/>
      <c r="AC149" s="73"/>
      <c r="AD149" s="80" t="s">
        <v>812</v>
      </c>
      <c r="AE149" s="80"/>
      <c r="AF149" s="80"/>
      <c r="AG149" s="80"/>
      <c r="AH149" s="80"/>
      <c r="AI149" s="80"/>
      <c r="AJ149" s="87">
        <v>42159.03697916667</v>
      </c>
      <c r="AK149" s="85" t="str">
        <f>HYPERLINK("https://yt3.ggpht.com/ytc/AAUvwni3mIW4MlLZFQA_qzM_okCfetonAVR_7QOR8ksj=s88-c-k-c0x00ffffff-no-rj")</f>
        <v>https://yt3.ggpht.com/ytc/AAUvwni3mIW4MlLZFQA_qzM_okCfetonAVR_7QOR8ksj=s88-c-k-c0x00ffffff-no-rj</v>
      </c>
      <c r="AL149" s="80">
        <v>0</v>
      </c>
      <c r="AM149" s="80">
        <v>0</v>
      </c>
      <c r="AN149" s="80">
        <v>1</v>
      </c>
      <c r="AO149" s="80" t="b">
        <v>0</v>
      </c>
      <c r="AP149" s="80">
        <v>0</v>
      </c>
      <c r="AQ149" s="80"/>
      <c r="AR149" s="80"/>
      <c r="AS149" s="80" t="s">
        <v>871</v>
      </c>
      <c r="AT149" s="85" t="str">
        <f>HYPERLINK("https://www.youtube.com/channel/UCmUeMZkp5dvd_9XoLdWWdyw")</f>
        <v>https://www.youtube.com/channel/UCmUeMZkp5dvd_9XoLdWWdyw</v>
      </c>
      <c r="AU149" s="80" t="str">
        <f>REPLACE(INDEX(GroupVertices[Group],MATCH(Vertices[[#This Row],[Vertex]],GroupVertices[Vertex],0)),1,1,"")</f>
        <v>1</v>
      </c>
      <c r="AV149" s="49">
        <v>4</v>
      </c>
      <c r="AW149" s="50">
        <v>12.121212121212121</v>
      </c>
      <c r="AX149" s="49">
        <v>1</v>
      </c>
      <c r="AY149" s="50">
        <v>3.0303030303030303</v>
      </c>
      <c r="AZ149" s="49">
        <v>0</v>
      </c>
      <c r="BA149" s="50">
        <v>0</v>
      </c>
      <c r="BB149" s="49">
        <v>29</v>
      </c>
      <c r="BC149" s="50">
        <v>87.87878787878788</v>
      </c>
      <c r="BD149" s="49">
        <v>33</v>
      </c>
      <c r="BE149" s="49"/>
      <c r="BF149" s="49"/>
      <c r="BG149" s="49"/>
      <c r="BH149" s="49"/>
      <c r="BI149" s="49"/>
      <c r="BJ149" s="49"/>
      <c r="BK149" s="111" t="s">
        <v>1379</v>
      </c>
      <c r="BL149" s="111" t="s">
        <v>1379</v>
      </c>
      <c r="BM149" s="111" t="s">
        <v>1609</v>
      </c>
      <c r="BN149" s="111" t="s">
        <v>1609</v>
      </c>
      <c r="BO149" s="2"/>
      <c r="BP149" s="3"/>
      <c r="BQ149" s="3"/>
      <c r="BR149" s="3"/>
      <c r="BS149" s="3"/>
    </row>
    <row r="150" spans="1:71" ht="15">
      <c r="A150" s="65" t="s">
        <v>473</v>
      </c>
      <c r="B150" s="66"/>
      <c r="C150" s="66"/>
      <c r="D150" s="67">
        <v>150</v>
      </c>
      <c r="E150" s="69"/>
      <c r="F150" s="103" t="str">
        <f>HYPERLINK("https://yt3.ggpht.com/ytc/AAUvwngaLD2Zmd0P2HSf-YdKBQQqEA6ibPmTXExNIg=s88-c-k-c0x00ffffff-no-rj")</f>
        <v>https://yt3.ggpht.com/ytc/AAUvwngaLD2Zmd0P2HSf-YdKBQQqEA6ibPmTXExNIg=s88-c-k-c0x00ffffff-no-rj</v>
      </c>
      <c r="G150" s="66"/>
      <c r="H150" s="70" t="s">
        <v>813</v>
      </c>
      <c r="I150" s="71"/>
      <c r="J150" s="71" t="s">
        <v>159</v>
      </c>
      <c r="K150" s="70" t="s">
        <v>813</v>
      </c>
      <c r="L150" s="74">
        <v>1</v>
      </c>
      <c r="M150" s="75">
        <v>370.63323974609375</v>
      </c>
      <c r="N150" s="75">
        <v>6917.841796875</v>
      </c>
      <c r="O150" s="76"/>
      <c r="P150" s="77"/>
      <c r="Q150" s="77"/>
      <c r="R150" s="89"/>
      <c r="S150" s="49">
        <v>0</v>
      </c>
      <c r="T150" s="49">
        <v>1</v>
      </c>
      <c r="U150" s="50">
        <v>0</v>
      </c>
      <c r="V150" s="50">
        <v>0.003021</v>
      </c>
      <c r="W150" s="50">
        <v>0.007133</v>
      </c>
      <c r="X150" s="50">
        <v>0.515381</v>
      </c>
      <c r="Y150" s="50">
        <v>0</v>
      </c>
      <c r="Z150" s="50">
        <v>0</v>
      </c>
      <c r="AA150" s="72">
        <v>150</v>
      </c>
      <c r="AB150" s="72"/>
      <c r="AC150" s="73"/>
      <c r="AD150" s="80" t="s">
        <v>813</v>
      </c>
      <c r="AE150" s="80"/>
      <c r="AF150" s="80"/>
      <c r="AG150" s="80"/>
      <c r="AH150" s="80"/>
      <c r="AI150" s="80"/>
      <c r="AJ150" s="87">
        <v>44013.44432870371</v>
      </c>
      <c r="AK150" s="85" t="str">
        <f>HYPERLINK("https://yt3.ggpht.com/ytc/AAUvwngaLD2Zmd0P2HSf-YdKBQQqEA6ibPmTXExNIg=s88-c-k-c0x00ffffff-no-rj")</f>
        <v>https://yt3.ggpht.com/ytc/AAUvwngaLD2Zmd0P2HSf-YdKBQQqEA6ibPmTXExNIg=s88-c-k-c0x00ffffff-no-rj</v>
      </c>
      <c r="AL150" s="80">
        <v>0</v>
      </c>
      <c r="AM150" s="80">
        <v>0</v>
      </c>
      <c r="AN150" s="80">
        <v>0</v>
      </c>
      <c r="AO150" s="80" t="b">
        <v>0</v>
      </c>
      <c r="AP150" s="80">
        <v>1</v>
      </c>
      <c r="AQ150" s="80"/>
      <c r="AR150" s="80"/>
      <c r="AS150" s="80" t="s">
        <v>871</v>
      </c>
      <c r="AT150" s="85" t="str">
        <f>HYPERLINK("https://www.youtube.com/channel/UC-N5zjle-3v2D2XK501MXfw")</f>
        <v>https://www.youtube.com/channel/UC-N5zjle-3v2D2XK501MXfw</v>
      </c>
      <c r="AU150" s="80" t="str">
        <f>REPLACE(INDEX(GroupVertices[Group],MATCH(Vertices[[#This Row],[Vertex]],GroupVertices[Vertex],0)),1,1,"")</f>
        <v>1</v>
      </c>
      <c r="AV150" s="49">
        <v>2</v>
      </c>
      <c r="AW150" s="50">
        <v>14.285714285714286</v>
      </c>
      <c r="AX150" s="49">
        <v>1</v>
      </c>
      <c r="AY150" s="50">
        <v>7.142857142857143</v>
      </c>
      <c r="AZ150" s="49">
        <v>0</v>
      </c>
      <c r="BA150" s="50">
        <v>0</v>
      </c>
      <c r="BB150" s="49">
        <v>12</v>
      </c>
      <c r="BC150" s="50">
        <v>85.71428571428571</v>
      </c>
      <c r="BD150" s="49">
        <v>14</v>
      </c>
      <c r="BE150" s="49"/>
      <c r="BF150" s="49"/>
      <c r="BG150" s="49"/>
      <c r="BH150" s="49"/>
      <c r="BI150" s="49"/>
      <c r="BJ150" s="49"/>
      <c r="BK150" s="111" t="s">
        <v>1370</v>
      </c>
      <c r="BL150" s="111" t="s">
        <v>1370</v>
      </c>
      <c r="BM150" s="111" t="s">
        <v>1442</v>
      </c>
      <c r="BN150" s="111" t="s">
        <v>1442</v>
      </c>
      <c r="BO150" s="2"/>
      <c r="BP150" s="3"/>
      <c r="BQ150" s="3"/>
      <c r="BR150" s="3"/>
      <c r="BS150" s="3"/>
    </row>
    <row r="151" spans="1:71" ht="15">
      <c r="A151" s="65" t="s">
        <v>474</v>
      </c>
      <c r="B151" s="66"/>
      <c r="C151" s="66"/>
      <c r="D151" s="67">
        <v>150</v>
      </c>
      <c r="E151" s="69"/>
      <c r="F151" s="103" t="str">
        <f>HYPERLINK("https://yt3.ggpht.com/ytc/AAUvwni8Xh_neRPPFHX1kxorXx-w1iKy9PaWzn-qUaqlJg=s88-c-k-c0x00ffffff-no-rj")</f>
        <v>https://yt3.ggpht.com/ytc/AAUvwni8Xh_neRPPFHX1kxorXx-w1iKy9PaWzn-qUaqlJg=s88-c-k-c0x00ffffff-no-rj</v>
      </c>
      <c r="G151" s="66"/>
      <c r="H151" s="70" t="s">
        <v>814</v>
      </c>
      <c r="I151" s="71"/>
      <c r="J151" s="71" t="s">
        <v>159</v>
      </c>
      <c r="K151" s="70" t="s">
        <v>814</v>
      </c>
      <c r="L151" s="74">
        <v>1</v>
      </c>
      <c r="M151" s="75">
        <v>1078.869873046875</v>
      </c>
      <c r="N151" s="75">
        <v>3039.970458984375</v>
      </c>
      <c r="O151" s="76"/>
      <c r="P151" s="77"/>
      <c r="Q151" s="77"/>
      <c r="R151" s="89"/>
      <c r="S151" s="49">
        <v>0</v>
      </c>
      <c r="T151" s="49">
        <v>1</v>
      </c>
      <c r="U151" s="50">
        <v>0</v>
      </c>
      <c r="V151" s="50">
        <v>0.003021</v>
      </c>
      <c r="W151" s="50">
        <v>0.007133</v>
      </c>
      <c r="X151" s="50">
        <v>0.515381</v>
      </c>
      <c r="Y151" s="50">
        <v>0</v>
      </c>
      <c r="Z151" s="50">
        <v>0</v>
      </c>
      <c r="AA151" s="72">
        <v>151</v>
      </c>
      <c r="AB151" s="72"/>
      <c r="AC151" s="73"/>
      <c r="AD151" s="80" t="s">
        <v>814</v>
      </c>
      <c r="AE151" s="80"/>
      <c r="AF151" s="80"/>
      <c r="AG151" s="80"/>
      <c r="AH151" s="80"/>
      <c r="AI151" s="80"/>
      <c r="AJ151" s="87">
        <v>42668.491944444446</v>
      </c>
      <c r="AK151" s="85" t="str">
        <f>HYPERLINK("https://yt3.ggpht.com/ytc/AAUvwni8Xh_neRPPFHX1kxorXx-w1iKy9PaWzn-qUaqlJg=s88-c-k-c0x00ffffff-no-rj")</f>
        <v>https://yt3.ggpht.com/ytc/AAUvwni8Xh_neRPPFHX1kxorXx-w1iKy9PaWzn-qUaqlJg=s88-c-k-c0x00ffffff-no-rj</v>
      </c>
      <c r="AL151" s="80">
        <v>0</v>
      </c>
      <c r="AM151" s="80">
        <v>0</v>
      </c>
      <c r="AN151" s="80">
        <v>1</v>
      </c>
      <c r="AO151" s="80" t="b">
        <v>0</v>
      </c>
      <c r="AP151" s="80">
        <v>0</v>
      </c>
      <c r="AQ151" s="80"/>
      <c r="AR151" s="80"/>
      <c r="AS151" s="80" t="s">
        <v>871</v>
      </c>
      <c r="AT151" s="85" t="str">
        <f>HYPERLINK("https://www.youtube.com/channel/UCeMolquxnK8TDDHkEj-A8Zw")</f>
        <v>https://www.youtube.com/channel/UCeMolquxnK8TDDHkEj-A8Zw</v>
      </c>
      <c r="AU151" s="80" t="str">
        <f>REPLACE(INDEX(GroupVertices[Group],MATCH(Vertices[[#This Row],[Vertex]],GroupVertices[Vertex],0)),1,1,"")</f>
        <v>1</v>
      </c>
      <c r="AV151" s="49">
        <v>1</v>
      </c>
      <c r="AW151" s="50">
        <v>33.333333333333336</v>
      </c>
      <c r="AX151" s="49">
        <v>0</v>
      </c>
      <c r="AY151" s="50">
        <v>0</v>
      </c>
      <c r="AZ151" s="49">
        <v>0</v>
      </c>
      <c r="BA151" s="50">
        <v>0</v>
      </c>
      <c r="BB151" s="49">
        <v>2</v>
      </c>
      <c r="BC151" s="50">
        <v>66.66666666666667</v>
      </c>
      <c r="BD151" s="49">
        <v>3</v>
      </c>
      <c r="BE151" s="49"/>
      <c r="BF151" s="49"/>
      <c r="BG151" s="49"/>
      <c r="BH151" s="49"/>
      <c r="BI151" s="49"/>
      <c r="BJ151" s="49"/>
      <c r="BK151" s="111" t="s">
        <v>1311</v>
      </c>
      <c r="BL151" s="111" t="s">
        <v>1311</v>
      </c>
      <c r="BM151" s="111" t="s">
        <v>1276</v>
      </c>
      <c r="BN151" s="111" t="s">
        <v>1276</v>
      </c>
      <c r="BO151" s="2"/>
      <c r="BP151" s="3"/>
      <c r="BQ151" s="3"/>
      <c r="BR151" s="3"/>
      <c r="BS151" s="3"/>
    </row>
    <row r="152" spans="1:71" ht="15">
      <c r="A152" s="65" t="s">
        <v>475</v>
      </c>
      <c r="B152" s="66"/>
      <c r="C152" s="66"/>
      <c r="D152" s="67">
        <v>150</v>
      </c>
      <c r="E152" s="69"/>
      <c r="F152" s="103" t="str">
        <f>HYPERLINK("https://yt3.ggpht.com/ytc/AAUvwnirTxUsgfD8mRq5vWebfjpnYvbWsly7pl3Bo3an1A=s88-c-k-c0x00ffffff-no-rj")</f>
        <v>https://yt3.ggpht.com/ytc/AAUvwnirTxUsgfD8mRq5vWebfjpnYvbWsly7pl3Bo3an1A=s88-c-k-c0x00ffffff-no-rj</v>
      </c>
      <c r="G152" s="66"/>
      <c r="H152" s="70" t="s">
        <v>815</v>
      </c>
      <c r="I152" s="71"/>
      <c r="J152" s="71" t="s">
        <v>159</v>
      </c>
      <c r="K152" s="70" t="s">
        <v>815</v>
      </c>
      <c r="L152" s="74">
        <v>1</v>
      </c>
      <c r="M152" s="75">
        <v>152.06044006347656</v>
      </c>
      <c r="N152" s="75">
        <v>5964.07568359375</v>
      </c>
      <c r="O152" s="76"/>
      <c r="P152" s="77"/>
      <c r="Q152" s="77"/>
      <c r="R152" s="89"/>
      <c r="S152" s="49">
        <v>0</v>
      </c>
      <c r="T152" s="49">
        <v>1</v>
      </c>
      <c r="U152" s="50">
        <v>0</v>
      </c>
      <c r="V152" s="50">
        <v>0.003021</v>
      </c>
      <c r="W152" s="50">
        <v>0.007133</v>
      </c>
      <c r="X152" s="50">
        <v>0.515381</v>
      </c>
      <c r="Y152" s="50">
        <v>0</v>
      </c>
      <c r="Z152" s="50">
        <v>0</v>
      </c>
      <c r="AA152" s="72">
        <v>152</v>
      </c>
      <c r="AB152" s="72"/>
      <c r="AC152" s="73"/>
      <c r="AD152" s="80" t="s">
        <v>815</v>
      </c>
      <c r="AE152" s="80"/>
      <c r="AF152" s="80"/>
      <c r="AG152" s="80"/>
      <c r="AH152" s="80"/>
      <c r="AI152" s="80"/>
      <c r="AJ152" s="87">
        <v>41329.13476851852</v>
      </c>
      <c r="AK152" s="85" t="str">
        <f>HYPERLINK("https://yt3.ggpht.com/ytc/AAUvwnirTxUsgfD8mRq5vWebfjpnYvbWsly7pl3Bo3an1A=s88-c-k-c0x00ffffff-no-rj")</f>
        <v>https://yt3.ggpht.com/ytc/AAUvwnirTxUsgfD8mRq5vWebfjpnYvbWsly7pl3Bo3an1A=s88-c-k-c0x00ffffff-no-rj</v>
      </c>
      <c r="AL152" s="80">
        <v>0</v>
      </c>
      <c r="AM152" s="80">
        <v>0</v>
      </c>
      <c r="AN152" s="80">
        <v>114</v>
      </c>
      <c r="AO152" s="80" t="b">
        <v>0</v>
      </c>
      <c r="AP152" s="80">
        <v>0</v>
      </c>
      <c r="AQ152" s="80"/>
      <c r="AR152" s="80"/>
      <c r="AS152" s="80" t="s">
        <v>871</v>
      </c>
      <c r="AT152" s="85" t="str">
        <f>HYPERLINK("https://www.youtube.com/channel/UC7Qdhojel0tnqLB9_hEEByQ")</f>
        <v>https://www.youtube.com/channel/UC7Qdhojel0tnqLB9_hEEByQ</v>
      </c>
      <c r="AU152" s="80" t="str">
        <f>REPLACE(INDEX(GroupVertices[Group],MATCH(Vertices[[#This Row],[Vertex]],GroupVertices[Vertex],0)),1,1,"")</f>
        <v>1</v>
      </c>
      <c r="AV152" s="49">
        <v>2</v>
      </c>
      <c r="AW152" s="50">
        <v>18.181818181818183</v>
      </c>
      <c r="AX152" s="49">
        <v>1</v>
      </c>
      <c r="AY152" s="50">
        <v>9.090909090909092</v>
      </c>
      <c r="AZ152" s="49">
        <v>0</v>
      </c>
      <c r="BA152" s="50">
        <v>0</v>
      </c>
      <c r="BB152" s="49">
        <v>9</v>
      </c>
      <c r="BC152" s="50">
        <v>81.81818181818181</v>
      </c>
      <c r="BD152" s="49">
        <v>11</v>
      </c>
      <c r="BE152" s="49"/>
      <c r="BF152" s="49"/>
      <c r="BG152" s="49"/>
      <c r="BH152" s="49"/>
      <c r="BI152" s="49"/>
      <c r="BJ152" s="49"/>
      <c r="BK152" s="111" t="s">
        <v>1544</v>
      </c>
      <c r="BL152" s="111" t="s">
        <v>1544</v>
      </c>
      <c r="BM152" s="111" t="s">
        <v>1610</v>
      </c>
      <c r="BN152" s="111" t="s">
        <v>1610</v>
      </c>
      <c r="BO152" s="2"/>
      <c r="BP152" s="3"/>
      <c r="BQ152" s="3"/>
      <c r="BR152" s="3"/>
      <c r="BS152" s="3"/>
    </row>
    <row r="153" spans="1:71" ht="15">
      <c r="A153" s="65" t="s">
        <v>476</v>
      </c>
      <c r="B153" s="66"/>
      <c r="C153" s="66"/>
      <c r="D153" s="67">
        <v>150</v>
      </c>
      <c r="E153" s="69"/>
      <c r="F153" s="103" t="str">
        <f>HYPERLINK("https://yt3.ggpht.com/ytc/AAUvwng5VTRMdgKwsiGc4q1ZA3QbLgVXPFyFIsgsGw=s88-c-k-c0x00ffffff-no-rj")</f>
        <v>https://yt3.ggpht.com/ytc/AAUvwng5VTRMdgKwsiGc4q1ZA3QbLgVXPFyFIsgsGw=s88-c-k-c0x00ffffff-no-rj</v>
      </c>
      <c r="G153" s="66"/>
      <c r="H153" s="70" t="s">
        <v>816</v>
      </c>
      <c r="I153" s="71"/>
      <c r="J153" s="71" t="s">
        <v>159</v>
      </c>
      <c r="K153" s="70" t="s">
        <v>816</v>
      </c>
      <c r="L153" s="74">
        <v>1</v>
      </c>
      <c r="M153" s="75">
        <v>4417.88525390625</v>
      </c>
      <c r="N153" s="75">
        <v>3335.068359375</v>
      </c>
      <c r="O153" s="76"/>
      <c r="P153" s="77"/>
      <c r="Q153" s="77"/>
      <c r="R153" s="89"/>
      <c r="S153" s="49">
        <v>0</v>
      </c>
      <c r="T153" s="49">
        <v>1</v>
      </c>
      <c r="U153" s="50">
        <v>0</v>
      </c>
      <c r="V153" s="50">
        <v>0.003021</v>
      </c>
      <c r="W153" s="50">
        <v>0.007133</v>
      </c>
      <c r="X153" s="50">
        <v>0.515381</v>
      </c>
      <c r="Y153" s="50">
        <v>0</v>
      </c>
      <c r="Z153" s="50">
        <v>0</v>
      </c>
      <c r="AA153" s="72">
        <v>153</v>
      </c>
      <c r="AB153" s="72"/>
      <c r="AC153" s="73"/>
      <c r="AD153" s="80" t="s">
        <v>816</v>
      </c>
      <c r="AE153" s="80"/>
      <c r="AF153" s="80"/>
      <c r="AG153" s="80"/>
      <c r="AH153" s="80"/>
      <c r="AI153" s="80"/>
      <c r="AJ153" s="87">
        <v>41529.8431712963</v>
      </c>
      <c r="AK153" s="85" t="str">
        <f>HYPERLINK("https://yt3.ggpht.com/ytc/AAUvwng5VTRMdgKwsiGc4q1ZA3QbLgVXPFyFIsgsGw=s88-c-k-c0x00ffffff-no-rj")</f>
        <v>https://yt3.ggpht.com/ytc/AAUvwng5VTRMdgKwsiGc4q1ZA3QbLgVXPFyFIsgsGw=s88-c-k-c0x00ffffff-no-rj</v>
      </c>
      <c r="AL153" s="80">
        <v>0</v>
      </c>
      <c r="AM153" s="80">
        <v>0</v>
      </c>
      <c r="AN153" s="80">
        <v>1</v>
      </c>
      <c r="AO153" s="80" t="b">
        <v>0</v>
      </c>
      <c r="AP153" s="80">
        <v>0</v>
      </c>
      <c r="AQ153" s="80"/>
      <c r="AR153" s="80"/>
      <c r="AS153" s="80" t="s">
        <v>871</v>
      </c>
      <c r="AT153" s="85" t="str">
        <f>HYPERLINK("https://www.youtube.com/channel/UCTc7z4Q7L2jjfRw0DW1JxlA")</f>
        <v>https://www.youtube.com/channel/UCTc7z4Q7L2jjfRw0DW1JxlA</v>
      </c>
      <c r="AU153" s="80" t="str">
        <f>REPLACE(INDEX(GroupVertices[Group],MATCH(Vertices[[#This Row],[Vertex]],GroupVertices[Vertex],0)),1,1,"")</f>
        <v>1</v>
      </c>
      <c r="AV153" s="49">
        <v>1</v>
      </c>
      <c r="AW153" s="50">
        <v>6.25</v>
      </c>
      <c r="AX153" s="49">
        <v>0</v>
      </c>
      <c r="AY153" s="50">
        <v>0</v>
      </c>
      <c r="AZ153" s="49">
        <v>0</v>
      </c>
      <c r="BA153" s="50">
        <v>0</v>
      </c>
      <c r="BB153" s="49">
        <v>15</v>
      </c>
      <c r="BC153" s="50">
        <v>93.75</v>
      </c>
      <c r="BD153" s="49">
        <v>16</v>
      </c>
      <c r="BE153" s="49"/>
      <c r="BF153" s="49"/>
      <c r="BG153" s="49"/>
      <c r="BH153" s="49"/>
      <c r="BI153" s="49"/>
      <c r="BJ153" s="49"/>
      <c r="BK153" s="111" t="s">
        <v>1371</v>
      </c>
      <c r="BL153" s="111" t="s">
        <v>1371</v>
      </c>
      <c r="BM153" s="111" t="s">
        <v>1443</v>
      </c>
      <c r="BN153" s="111" t="s">
        <v>1443</v>
      </c>
      <c r="BO153" s="2"/>
      <c r="BP153" s="3"/>
      <c r="BQ153" s="3"/>
      <c r="BR153" s="3"/>
      <c r="BS153" s="3"/>
    </row>
    <row r="154" spans="1:71" ht="15">
      <c r="A154" s="65" t="s">
        <v>477</v>
      </c>
      <c r="B154" s="66"/>
      <c r="C154" s="66"/>
      <c r="D154" s="67">
        <v>150</v>
      </c>
      <c r="E154" s="69"/>
      <c r="F154" s="103" t="str">
        <f>HYPERLINK("https://yt3.ggpht.com/ytc/AAUvwnglgpeolPEya71XjPZESZ_jZOscJv-0ybpvDw=s88-c-k-c0x00ffffff-no-rj")</f>
        <v>https://yt3.ggpht.com/ytc/AAUvwnglgpeolPEya71XjPZESZ_jZOscJv-0ybpvDw=s88-c-k-c0x00ffffff-no-rj</v>
      </c>
      <c r="G154" s="66"/>
      <c r="H154" s="70" t="s">
        <v>817</v>
      </c>
      <c r="I154" s="71"/>
      <c r="J154" s="71" t="s">
        <v>159</v>
      </c>
      <c r="K154" s="70" t="s">
        <v>817</v>
      </c>
      <c r="L154" s="74">
        <v>1</v>
      </c>
      <c r="M154" s="75">
        <v>8125.51416015625</v>
      </c>
      <c r="N154" s="75">
        <v>827.2294311523438</v>
      </c>
      <c r="O154" s="76"/>
      <c r="P154" s="77"/>
      <c r="Q154" s="77"/>
      <c r="R154" s="89"/>
      <c r="S154" s="49">
        <v>0</v>
      </c>
      <c r="T154" s="49">
        <v>1</v>
      </c>
      <c r="U154" s="50">
        <v>0</v>
      </c>
      <c r="V154" s="50">
        <v>0.002083</v>
      </c>
      <c r="W154" s="50">
        <v>0.000613</v>
      </c>
      <c r="X154" s="50">
        <v>0.577748</v>
      </c>
      <c r="Y154" s="50">
        <v>0</v>
      </c>
      <c r="Z154" s="50">
        <v>0</v>
      </c>
      <c r="AA154" s="72">
        <v>154</v>
      </c>
      <c r="AB154" s="72"/>
      <c r="AC154" s="73"/>
      <c r="AD154" s="80" t="s">
        <v>817</v>
      </c>
      <c r="AE154" s="80"/>
      <c r="AF154" s="80"/>
      <c r="AG154" s="80"/>
      <c r="AH154" s="80"/>
      <c r="AI154" s="80"/>
      <c r="AJ154" s="87">
        <v>44128.89728009259</v>
      </c>
      <c r="AK154" s="85" t="str">
        <f>HYPERLINK("https://yt3.ggpht.com/ytc/AAUvwnglgpeolPEya71XjPZESZ_jZOscJv-0ybpvDw=s88-c-k-c0x00ffffff-no-rj")</f>
        <v>https://yt3.ggpht.com/ytc/AAUvwnglgpeolPEya71XjPZESZ_jZOscJv-0ybpvDw=s88-c-k-c0x00ffffff-no-rj</v>
      </c>
      <c r="AL154" s="80">
        <v>0</v>
      </c>
      <c r="AM154" s="80">
        <v>0</v>
      </c>
      <c r="AN154" s="80">
        <v>0</v>
      </c>
      <c r="AO154" s="80" t="b">
        <v>0</v>
      </c>
      <c r="AP154" s="80">
        <v>0</v>
      </c>
      <c r="AQ154" s="80"/>
      <c r="AR154" s="80"/>
      <c r="AS154" s="80" t="s">
        <v>871</v>
      </c>
      <c r="AT154" s="85" t="str">
        <f>HYPERLINK("https://www.youtube.com/channel/UCCpfJjPNtxpHSI3ZBQi6P8w")</f>
        <v>https://www.youtube.com/channel/UCCpfJjPNtxpHSI3ZBQi6P8w</v>
      </c>
      <c r="AU154" s="80" t="str">
        <f>REPLACE(INDEX(GroupVertices[Group],MATCH(Vertices[[#This Row],[Vertex]],GroupVertices[Vertex],0)),1,1,"")</f>
        <v>10</v>
      </c>
      <c r="AV154" s="49">
        <v>0</v>
      </c>
      <c r="AW154" s="50">
        <v>0</v>
      </c>
      <c r="AX154" s="49">
        <v>0</v>
      </c>
      <c r="AY154" s="50">
        <v>0</v>
      </c>
      <c r="AZ154" s="49">
        <v>0</v>
      </c>
      <c r="BA154" s="50">
        <v>0</v>
      </c>
      <c r="BB154" s="49">
        <v>6</v>
      </c>
      <c r="BC154" s="50">
        <v>100</v>
      </c>
      <c r="BD154" s="49">
        <v>6</v>
      </c>
      <c r="BE154" s="49"/>
      <c r="BF154" s="49"/>
      <c r="BG154" s="49"/>
      <c r="BH154" s="49"/>
      <c r="BI154" s="49"/>
      <c r="BJ154" s="49"/>
      <c r="BK154" s="111" t="s">
        <v>843</v>
      </c>
      <c r="BL154" s="111" t="s">
        <v>843</v>
      </c>
      <c r="BM154" s="111" t="s">
        <v>843</v>
      </c>
      <c r="BN154" s="111" t="s">
        <v>843</v>
      </c>
      <c r="BO154" s="2"/>
      <c r="BP154" s="3"/>
      <c r="BQ154" s="3"/>
      <c r="BR154" s="3"/>
      <c r="BS154" s="3"/>
    </row>
    <row r="155" spans="1:71" ht="15">
      <c r="A155" s="90" t="s">
        <v>478</v>
      </c>
      <c r="B155" s="91"/>
      <c r="C155" s="91"/>
      <c r="D155" s="92">
        <v>362.5</v>
      </c>
      <c r="E155" s="93"/>
      <c r="F155" s="104" t="str">
        <f>HYPERLINK("https://yt3.ggpht.com/ytc/AAUvwnh9l7KrRcHL5Eh7sMnzotOgnnYe23A-e7mznA=s88-c-k-c0x00ffffff-no-rj")</f>
        <v>https://yt3.ggpht.com/ytc/AAUvwnh9l7KrRcHL5Eh7sMnzotOgnnYe23A-e7mznA=s88-c-k-c0x00ffffff-no-rj</v>
      </c>
      <c r="G155" s="91"/>
      <c r="H155" s="94" t="s">
        <v>818</v>
      </c>
      <c r="I155" s="95"/>
      <c r="J155" s="95" t="s">
        <v>159</v>
      </c>
      <c r="K155" s="94" t="s">
        <v>818</v>
      </c>
      <c r="L155" s="96">
        <v>80.984</v>
      </c>
      <c r="M155" s="97">
        <v>8125.51416015625</v>
      </c>
      <c r="N155" s="97">
        <v>372.0726013183594</v>
      </c>
      <c r="O155" s="98"/>
      <c r="P155" s="99"/>
      <c r="Q155" s="99"/>
      <c r="R155" s="100"/>
      <c r="S155" s="49">
        <v>1</v>
      </c>
      <c r="T155" s="49">
        <v>1</v>
      </c>
      <c r="U155" s="50">
        <v>302</v>
      </c>
      <c r="V155" s="50">
        <v>0.00304</v>
      </c>
      <c r="W155" s="50">
        <v>0.007186</v>
      </c>
      <c r="X155" s="50">
        <v>1.006466</v>
      </c>
      <c r="Y155" s="50">
        <v>0</v>
      </c>
      <c r="Z155" s="50">
        <v>0</v>
      </c>
      <c r="AA155" s="101">
        <v>155</v>
      </c>
      <c r="AB155" s="101"/>
      <c r="AC155" s="102"/>
      <c r="AD155" s="80" t="s">
        <v>818</v>
      </c>
      <c r="AE155" s="80"/>
      <c r="AF155" s="80"/>
      <c r="AG155" s="80"/>
      <c r="AH155" s="80"/>
      <c r="AI155" s="80"/>
      <c r="AJ155" s="87">
        <v>43522.46565972222</v>
      </c>
      <c r="AK155" s="85" t="str">
        <f>HYPERLINK("https://yt3.ggpht.com/ytc/AAUvwnh9l7KrRcHL5Eh7sMnzotOgnnYe23A-e7mznA=s88-c-k-c0x00ffffff-no-rj")</f>
        <v>https://yt3.ggpht.com/ytc/AAUvwnh9l7KrRcHL5Eh7sMnzotOgnnYe23A-e7mznA=s88-c-k-c0x00ffffff-no-rj</v>
      </c>
      <c r="AL155" s="80">
        <v>0</v>
      </c>
      <c r="AM155" s="80">
        <v>0</v>
      </c>
      <c r="AN155" s="80">
        <v>3</v>
      </c>
      <c r="AO155" s="80" t="b">
        <v>0</v>
      </c>
      <c r="AP155" s="80">
        <v>0</v>
      </c>
      <c r="AQ155" s="80"/>
      <c r="AR155" s="80"/>
      <c r="AS155" s="80" t="s">
        <v>871</v>
      </c>
      <c r="AT155" s="85" t="str">
        <f>HYPERLINK("https://www.youtube.com/channel/UCFaJOQg4hhsFxk1Y4ZAmrIg")</f>
        <v>https://www.youtube.com/channel/UCFaJOQg4hhsFxk1Y4ZAmrIg</v>
      </c>
      <c r="AU155" s="80" t="str">
        <f>REPLACE(INDEX(GroupVertices[Group],MATCH(Vertices[[#This Row],[Vertex]],GroupVertices[Vertex],0)),1,1,"")</f>
        <v>10</v>
      </c>
      <c r="AV155" s="49">
        <v>3</v>
      </c>
      <c r="AW155" s="50">
        <v>3.5714285714285716</v>
      </c>
      <c r="AX155" s="49">
        <v>4</v>
      </c>
      <c r="AY155" s="50">
        <v>4.761904761904762</v>
      </c>
      <c r="AZ155" s="49">
        <v>0</v>
      </c>
      <c r="BA155" s="50">
        <v>0</v>
      </c>
      <c r="BB155" s="49">
        <v>79</v>
      </c>
      <c r="BC155" s="50">
        <v>94.04761904761905</v>
      </c>
      <c r="BD155" s="49">
        <v>84</v>
      </c>
      <c r="BE155" s="49"/>
      <c r="BF155" s="49"/>
      <c r="BG155" s="49"/>
      <c r="BH155" s="49"/>
      <c r="BI155" s="49"/>
      <c r="BJ155" s="49"/>
      <c r="BK155" s="111" t="s">
        <v>1545</v>
      </c>
      <c r="BL155" s="111" t="s">
        <v>1545</v>
      </c>
      <c r="BM155" s="111" t="s">
        <v>1611</v>
      </c>
      <c r="BN155" s="111" t="s">
        <v>1611</v>
      </c>
      <c r="BO155" s="2"/>
      <c r="BP155" s="3"/>
      <c r="BQ155" s="3"/>
      <c r="BR155" s="3"/>
      <c r="BS1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5"/>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5"/>
    <dataValidation allowBlank="1" showInputMessage="1" promptTitle="Vertex Tooltip" prompt="Enter optional text that will pop up when the mouse is hovered over the vertex." errorTitle="Invalid Vertex Image Key" sqref="K3:K1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5"/>
    <dataValidation allowBlank="1" showInputMessage="1" promptTitle="Vertex Label Fill Color" prompt="To select an optional fill color for the Label shape, right-click and select Select Color on the right-click menu." sqref="I3:I155"/>
    <dataValidation allowBlank="1" showInputMessage="1" promptTitle="Vertex Image File" prompt="Enter the path to an image file.  Hover over the column header for examples." errorTitle="Invalid Vertex Image Key" sqref="F3:F155"/>
    <dataValidation allowBlank="1" showInputMessage="1" promptTitle="Vertex Color" prompt="To select an optional vertex color, right-click and select Select Color on the right-click menu." sqref="B3:B155"/>
    <dataValidation allowBlank="1" showInputMessage="1" promptTitle="Vertex Opacity" prompt="Enter an optional vertex opacity between 0 (transparent) and 100 (opaque)." errorTitle="Invalid Vertex Opacity" error="The optional vertex opacity must be a whole number between 0 and 10." sqref="E3:E155"/>
    <dataValidation type="list" allowBlank="1" showInputMessage="1" showErrorMessage="1" promptTitle="Vertex Shape" prompt="Select an optional vertex shape." errorTitle="Invalid Vertex Shape" error="You have entered an invalid vertex shape.  Try selecting from the drop-down list instead." sqref="C3:C1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5">
      <formula1>ValidVertexLabelPositions</formula1>
    </dataValidation>
    <dataValidation allowBlank="1" showInputMessage="1" showErrorMessage="1" promptTitle="Vertex Name" prompt="Enter the name of the vertex." sqref="A3:A1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3.28125" style="0" bestFit="1" customWidth="1"/>
    <col min="35" max="35" width="14.7109375" style="0" bestFit="1" customWidth="1"/>
    <col min="36" max="36" width="14.8515625" style="0" bestFit="1" customWidth="1"/>
    <col min="37" max="37" width="14.140625" style="0" bestFit="1" customWidth="1"/>
    <col min="38" max="38" width="16.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1167</v>
      </c>
      <c r="Z2" s="54" t="s">
        <v>1168</v>
      </c>
      <c r="AA2" s="54" t="s">
        <v>1169</v>
      </c>
      <c r="AB2" s="54" t="s">
        <v>1170</v>
      </c>
      <c r="AC2" s="54" t="s">
        <v>1171</v>
      </c>
      <c r="AD2" s="54" t="s">
        <v>1172</v>
      </c>
      <c r="AE2" s="54" t="s">
        <v>1173</v>
      </c>
      <c r="AF2" s="54" t="s">
        <v>1174</v>
      </c>
      <c r="AG2" s="54" t="s">
        <v>1177</v>
      </c>
      <c r="AH2" s="13" t="s">
        <v>1236</v>
      </c>
      <c r="AI2" s="13" t="s">
        <v>1248</v>
      </c>
      <c r="AJ2" s="13" t="s">
        <v>1260</v>
      </c>
      <c r="AK2" s="13" t="s">
        <v>1272</v>
      </c>
      <c r="AL2" s="13" t="s">
        <v>1301</v>
      </c>
    </row>
    <row r="3" spans="1:38" ht="15">
      <c r="A3" s="65" t="s">
        <v>873</v>
      </c>
      <c r="B3" s="66" t="s">
        <v>890</v>
      </c>
      <c r="C3" s="66" t="s">
        <v>56</v>
      </c>
      <c r="D3" s="106"/>
      <c r="E3" s="14"/>
      <c r="F3" s="15" t="s">
        <v>1616</v>
      </c>
      <c r="G3" s="64"/>
      <c r="H3" s="64"/>
      <c r="I3" s="107">
        <v>3</v>
      </c>
      <c r="J3" s="51"/>
      <c r="K3" s="49">
        <v>102</v>
      </c>
      <c r="L3" s="49">
        <v>94</v>
      </c>
      <c r="M3" s="49">
        <v>17</v>
      </c>
      <c r="N3" s="49">
        <v>111</v>
      </c>
      <c r="O3" s="49">
        <v>1</v>
      </c>
      <c r="P3" s="50">
        <v>0</v>
      </c>
      <c r="Q3" s="50">
        <v>0</v>
      </c>
      <c r="R3" s="49">
        <v>1</v>
      </c>
      <c r="S3" s="49">
        <v>0</v>
      </c>
      <c r="T3" s="49">
        <v>102</v>
      </c>
      <c r="U3" s="49">
        <v>111</v>
      </c>
      <c r="V3" s="49">
        <v>2</v>
      </c>
      <c r="W3" s="50">
        <v>1.960977</v>
      </c>
      <c r="X3" s="50">
        <v>0.00980392156862745</v>
      </c>
      <c r="Y3" s="49">
        <v>144</v>
      </c>
      <c r="Z3" s="50">
        <v>6.363234644277508</v>
      </c>
      <c r="AA3" s="49">
        <v>164</v>
      </c>
      <c r="AB3" s="50">
        <v>7.247017233760495</v>
      </c>
      <c r="AC3" s="49">
        <v>0</v>
      </c>
      <c r="AD3" s="50">
        <v>0</v>
      </c>
      <c r="AE3" s="49">
        <v>2028</v>
      </c>
      <c r="AF3" s="50">
        <v>89.6155545735749</v>
      </c>
      <c r="AG3" s="49">
        <v>2263</v>
      </c>
      <c r="AH3" s="80" t="s">
        <v>1214</v>
      </c>
      <c r="AI3" s="80" t="s">
        <v>842</v>
      </c>
      <c r="AJ3" s="80"/>
      <c r="AK3" s="83" t="s">
        <v>1472</v>
      </c>
      <c r="AL3" s="83" t="s">
        <v>1482</v>
      </c>
    </row>
    <row r="4" spans="1:38" ht="15">
      <c r="A4" s="65" t="s">
        <v>874</v>
      </c>
      <c r="B4" s="66" t="s">
        <v>891</v>
      </c>
      <c r="C4" s="66" t="s">
        <v>56</v>
      </c>
      <c r="D4" s="106"/>
      <c r="E4" s="14"/>
      <c r="F4" s="15" t="s">
        <v>1617</v>
      </c>
      <c r="G4" s="64"/>
      <c r="H4" s="64"/>
      <c r="I4" s="107">
        <v>4</v>
      </c>
      <c r="J4" s="78"/>
      <c r="K4" s="49">
        <v>7</v>
      </c>
      <c r="L4" s="49">
        <v>7</v>
      </c>
      <c r="M4" s="49">
        <v>0</v>
      </c>
      <c r="N4" s="49">
        <v>7</v>
      </c>
      <c r="O4" s="49">
        <v>0</v>
      </c>
      <c r="P4" s="50">
        <v>0</v>
      </c>
      <c r="Q4" s="50">
        <v>0</v>
      </c>
      <c r="R4" s="49">
        <v>1</v>
      </c>
      <c r="S4" s="49">
        <v>0</v>
      </c>
      <c r="T4" s="49">
        <v>7</v>
      </c>
      <c r="U4" s="49">
        <v>7</v>
      </c>
      <c r="V4" s="49">
        <v>3</v>
      </c>
      <c r="W4" s="50">
        <v>1.591837</v>
      </c>
      <c r="X4" s="50">
        <v>0.16666666666666666</v>
      </c>
      <c r="Y4" s="49">
        <v>1</v>
      </c>
      <c r="Z4" s="50">
        <v>0.5181347150259067</v>
      </c>
      <c r="AA4" s="49">
        <v>4</v>
      </c>
      <c r="AB4" s="50">
        <v>2.0725388601036268</v>
      </c>
      <c r="AC4" s="49">
        <v>0</v>
      </c>
      <c r="AD4" s="50">
        <v>0</v>
      </c>
      <c r="AE4" s="49">
        <v>189</v>
      </c>
      <c r="AF4" s="50">
        <v>97.92746113989638</v>
      </c>
      <c r="AG4" s="49">
        <v>193</v>
      </c>
      <c r="AH4" s="80"/>
      <c r="AI4" s="80"/>
      <c r="AJ4" s="80"/>
      <c r="AK4" s="83" t="s">
        <v>1473</v>
      </c>
      <c r="AL4" s="83" t="s">
        <v>1481</v>
      </c>
    </row>
    <row r="5" spans="1:38" ht="15">
      <c r="A5" s="65" t="s">
        <v>875</v>
      </c>
      <c r="B5" s="66" t="s">
        <v>892</v>
      </c>
      <c r="C5" s="66" t="s">
        <v>56</v>
      </c>
      <c r="D5" s="106"/>
      <c r="E5" s="14"/>
      <c r="F5" s="15" t="s">
        <v>1618</v>
      </c>
      <c r="G5" s="64"/>
      <c r="H5" s="64"/>
      <c r="I5" s="107">
        <v>5</v>
      </c>
      <c r="J5" s="78"/>
      <c r="K5" s="49">
        <v>6</v>
      </c>
      <c r="L5" s="49">
        <v>5</v>
      </c>
      <c r="M5" s="49">
        <v>0</v>
      </c>
      <c r="N5" s="49">
        <v>5</v>
      </c>
      <c r="O5" s="49">
        <v>0</v>
      </c>
      <c r="P5" s="50">
        <v>0</v>
      </c>
      <c r="Q5" s="50">
        <v>0</v>
      </c>
      <c r="R5" s="49">
        <v>1</v>
      </c>
      <c r="S5" s="49">
        <v>0</v>
      </c>
      <c r="T5" s="49">
        <v>6</v>
      </c>
      <c r="U5" s="49">
        <v>5</v>
      </c>
      <c r="V5" s="49">
        <v>4</v>
      </c>
      <c r="W5" s="50">
        <v>1.777778</v>
      </c>
      <c r="X5" s="50">
        <v>0.16666666666666666</v>
      </c>
      <c r="Y5" s="49">
        <v>18</v>
      </c>
      <c r="Z5" s="50">
        <v>6.338028169014085</v>
      </c>
      <c r="AA5" s="49">
        <v>21</v>
      </c>
      <c r="AB5" s="50">
        <v>7.394366197183099</v>
      </c>
      <c r="AC5" s="49">
        <v>0</v>
      </c>
      <c r="AD5" s="50">
        <v>0</v>
      </c>
      <c r="AE5" s="49">
        <v>256</v>
      </c>
      <c r="AF5" s="50">
        <v>90.14084507042253</v>
      </c>
      <c r="AG5" s="49">
        <v>284</v>
      </c>
      <c r="AH5" s="80"/>
      <c r="AI5" s="80"/>
      <c r="AJ5" s="80"/>
      <c r="AK5" s="83" t="s">
        <v>1474</v>
      </c>
      <c r="AL5" s="83" t="s">
        <v>1286</v>
      </c>
    </row>
    <row r="6" spans="1:38" ht="15">
      <c r="A6" s="65" t="s">
        <v>876</v>
      </c>
      <c r="B6" s="66" t="s">
        <v>893</v>
      </c>
      <c r="C6" s="66" t="s">
        <v>56</v>
      </c>
      <c r="D6" s="106"/>
      <c r="E6" s="14"/>
      <c r="F6" s="15" t="s">
        <v>1619</v>
      </c>
      <c r="G6" s="64"/>
      <c r="H6" s="64"/>
      <c r="I6" s="107">
        <v>6</v>
      </c>
      <c r="J6" s="78"/>
      <c r="K6" s="49">
        <v>5</v>
      </c>
      <c r="L6" s="49">
        <v>3</v>
      </c>
      <c r="M6" s="49">
        <v>6</v>
      </c>
      <c r="N6" s="49">
        <v>9</v>
      </c>
      <c r="O6" s="49">
        <v>4</v>
      </c>
      <c r="P6" s="50">
        <v>0</v>
      </c>
      <c r="Q6" s="50">
        <v>0</v>
      </c>
      <c r="R6" s="49">
        <v>1</v>
      </c>
      <c r="S6" s="49">
        <v>0</v>
      </c>
      <c r="T6" s="49">
        <v>5</v>
      </c>
      <c r="U6" s="49">
        <v>9</v>
      </c>
      <c r="V6" s="49">
        <v>4</v>
      </c>
      <c r="W6" s="50">
        <v>1.6</v>
      </c>
      <c r="X6" s="50">
        <v>0.2</v>
      </c>
      <c r="Y6" s="49">
        <v>23</v>
      </c>
      <c r="Z6" s="50">
        <v>5.145413870246085</v>
      </c>
      <c r="AA6" s="49">
        <v>30</v>
      </c>
      <c r="AB6" s="50">
        <v>6.7114093959731544</v>
      </c>
      <c r="AC6" s="49">
        <v>0</v>
      </c>
      <c r="AD6" s="50">
        <v>0</v>
      </c>
      <c r="AE6" s="49">
        <v>410</v>
      </c>
      <c r="AF6" s="50">
        <v>91.72259507829978</v>
      </c>
      <c r="AG6" s="49">
        <v>447</v>
      </c>
      <c r="AH6" s="80"/>
      <c r="AI6" s="80"/>
      <c r="AJ6" s="80"/>
      <c r="AK6" s="83" t="s">
        <v>1475</v>
      </c>
      <c r="AL6" s="83" t="s">
        <v>1302</v>
      </c>
    </row>
    <row r="7" spans="1:38" ht="15">
      <c r="A7" s="65" t="s">
        <v>877</v>
      </c>
      <c r="B7" s="66" t="s">
        <v>894</v>
      </c>
      <c r="C7" s="66" t="s">
        <v>56</v>
      </c>
      <c r="D7" s="106"/>
      <c r="E7" s="14"/>
      <c r="F7" s="15" t="s">
        <v>877</v>
      </c>
      <c r="G7" s="64"/>
      <c r="H7" s="64"/>
      <c r="I7" s="107">
        <v>7</v>
      </c>
      <c r="J7" s="78"/>
      <c r="K7" s="49">
        <v>5</v>
      </c>
      <c r="L7" s="49">
        <v>4</v>
      </c>
      <c r="M7" s="49">
        <v>0</v>
      </c>
      <c r="N7" s="49">
        <v>4</v>
      </c>
      <c r="O7" s="49">
        <v>0</v>
      </c>
      <c r="P7" s="50">
        <v>0</v>
      </c>
      <c r="Q7" s="50">
        <v>0</v>
      </c>
      <c r="R7" s="49">
        <v>1</v>
      </c>
      <c r="S7" s="49">
        <v>0</v>
      </c>
      <c r="T7" s="49">
        <v>5</v>
      </c>
      <c r="U7" s="49">
        <v>4</v>
      </c>
      <c r="V7" s="49">
        <v>2</v>
      </c>
      <c r="W7" s="50">
        <v>1.28</v>
      </c>
      <c r="X7" s="50">
        <v>0.2</v>
      </c>
      <c r="Y7" s="49">
        <v>3</v>
      </c>
      <c r="Z7" s="50">
        <v>10</v>
      </c>
      <c r="AA7" s="49">
        <v>3</v>
      </c>
      <c r="AB7" s="50">
        <v>10</v>
      </c>
      <c r="AC7" s="49">
        <v>0</v>
      </c>
      <c r="AD7" s="50">
        <v>0</v>
      </c>
      <c r="AE7" s="49">
        <v>26</v>
      </c>
      <c r="AF7" s="50">
        <v>86.66666666666667</v>
      </c>
      <c r="AG7" s="49">
        <v>30</v>
      </c>
      <c r="AH7" s="80"/>
      <c r="AI7" s="80"/>
      <c r="AJ7" s="80"/>
      <c r="AK7" s="83" t="s">
        <v>843</v>
      </c>
      <c r="AL7" s="83" t="s">
        <v>843</v>
      </c>
    </row>
    <row r="8" spans="1:38" ht="15">
      <c r="A8" s="65" t="s">
        <v>878</v>
      </c>
      <c r="B8" s="66" t="s">
        <v>895</v>
      </c>
      <c r="C8" s="66" t="s">
        <v>56</v>
      </c>
      <c r="D8" s="106"/>
      <c r="E8" s="14"/>
      <c r="F8" s="15" t="s">
        <v>1620</v>
      </c>
      <c r="G8" s="64"/>
      <c r="H8" s="64"/>
      <c r="I8" s="107">
        <v>8</v>
      </c>
      <c r="J8" s="78"/>
      <c r="K8" s="49">
        <v>3</v>
      </c>
      <c r="L8" s="49">
        <v>2</v>
      </c>
      <c r="M8" s="49">
        <v>0</v>
      </c>
      <c r="N8" s="49">
        <v>2</v>
      </c>
      <c r="O8" s="49">
        <v>0</v>
      </c>
      <c r="P8" s="50">
        <v>0</v>
      </c>
      <c r="Q8" s="50">
        <v>0</v>
      </c>
      <c r="R8" s="49">
        <v>1</v>
      </c>
      <c r="S8" s="49">
        <v>0</v>
      </c>
      <c r="T8" s="49">
        <v>3</v>
      </c>
      <c r="U8" s="49">
        <v>2</v>
      </c>
      <c r="V8" s="49">
        <v>2</v>
      </c>
      <c r="W8" s="50">
        <v>0.888889</v>
      </c>
      <c r="X8" s="50">
        <v>0.3333333333333333</v>
      </c>
      <c r="Y8" s="49">
        <v>1</v>
      </c>
      <c r="Z8" s="50">
        <v>1.9607843137254901</v>
      </c>
      <c r="AA8" s="49">
        <v>0</v>
      </c>
      <c r="AB8" s="50">
        <v>0</v>
      </c>
      <c r="AC8" s="49">
        <v>0</v>
      </c>
      <c r="AD8" s="50">
        <v>0</v>
      </c>
      <c r="AE8" s="49">
        <v>50</v>
      </c>
      <c r="AF8" s="50">
        <v>98.03921568627452</v>
      </c>
      <c r="AG8" s="49">
        <v>51</v>
      </c>
      <c r="AH8" s="80"/>
      <c r="AI8" s="80"/>
      <c r="AJ8" s="80"/>
      <c r="AK8" s="83" t="s">
        <v>1311</v>
      </c>
      <c r="AL8" s="83" t="s">
        <v>1276</v>
      </c>
    </row>
    <row r="9" spans="1:38" ht="15">
      <c r="A9" s="65" t="s">
        <v>879</v>
      </c>
      <c r="B9" s="66" t="s">
        <v>896</v>
      </c>
      <c r="C9" s="66" t="s">
        <v>56</v>
      </c>
      <c r="D9" s="106"/>
      <c r="E9" s="14"/>
      <c r="F9" s="15" t="s">
        <v>1621</v>
      </c>
      <c r="G9" s="64"/>
      <c r="H9" s="64"/>
      <c r="I9" s="107">
        <v>9</v>
      </c>
      <c r="J9" s="78"/>
      <c r="K9" s="49">
        <v>3</v>
      </c>
      <c r="L9" s="49">
        <v>1</v>
      </c>
      <c r="M9" s="49">
        <v>6</v>
      </c>
      <c r="N9" s="49">
        <v>7</v>
      </c>
      <c r="O9" s="49">
        <v>1</v>
      </c>
      <c r="P9" s="50">
        <v>0</v>
      </c>
      <c r="Q9" s="50">
        <v>0</v>
      </c>
      <c r="R9" s="49">
        <v>1</v>
      </c>
      <c r="S9" s="49">
        <v>0</v>
      </c>
      <c r="T9" s="49">
        <v>3</v>
      </c>
      <c r="U9" s="49">
        <v>7</v>
      </c>
      <c r="V9" s="49">
        <v>2</v>
      </c>
      <c r="W9" s="50">
        <v>0.888889</v>
      </c>
      <c r="X9" s="50">
        <v>0.3333333333333333</v>
      </c>
      <c r="Y9" s="49">
        <v>2</v>
      </c>
      <c r="Z9" s="50">
        <v>2.5</v>
      </c>
      <c r="AA9" s="49">
        <v>3</v>
      </c>
      <c r="AB9" s="50">
        <v>3.75</v>
      </c>
      <c r="AC9" s="49">
        <v>0</v>
      </c>
      <c r="AD9" s="50">
        <v>0</v>
      </c>
      <c r="AE9" s="49">
        <v>75</v>
      </c>
      <c r="AF9" s="50">
        <v>93.75</v>
      </c>
      <c r="AG9" s="49">
        <v>80</v>
      </c>
      <c r="AH9" s="80"/>
      <c r="AI9" s="80"/>
      <c r="AJ9" s="80"/>
      <c r="AK9" s="83" t="s">
        <v>1476</v>
      </c>
      <c r="AL9" s="83" t="s">
        <v>1303</v>
      </c>
    </row>
    <row r="10" spans="1:38" ht="14.25" customHeight="1">
      <c r="A10" s="65" t="s">
        <v>880</v>
      </c>
      <c r="B10" s="66" t="s">
        <v>897</v>
      </c>
      <c r="C10" s="66" t="s">
        <v>56</v>
      </c>
      <c r="D10" s="106"/>
      <c r="E10" s="14"/>
      <c r="F10" s="15" t="s">
        <v>1622</v>
      </c>
      <c r="G10" s="64"/>
      <c r="H10" s="64"/>
      <c r="I10" s="107">
        <v>10</v>
      </c>
      <c r="J10" s="78"/>
      <c r="K10" s="49">
        <v>3</v>
      </c>
      <c r="L10" s="49">
        <v>2</v>
      </c>
      <c r="M10" s="49">
        <v>0</v>
      </c>
      <c r="N10" s="49">
        <v>2</v>
      </c>
      <c r="O10" s="49">
        <v>0</v>
      </c>
      <c r="P10" s="50">
        <v>0</v>
      </c>
      <c r="Q10" s="50">
        <v>0</v>
      </c>
      <c r="R10" s="49">
        <v>1</v>
      </c>
      <c r="S10" s="49">
        <v>0</v>
      </c>
      <c r="T10" s="49">
        <v>3</v>
      </c>
      <c r="U10" s="49">
        <v>2</v>
      </c>
      <c r="V10" s="49">
        <v>2</v>
      </c>
      <c r="W10" s="50">
        <v>0.888889</v>
      </c>
      <c r="X10" s="50">
        <v>0.3333333333333333</v>
      </c>
      <c r="Y10" s="49">
        <v>2</v>
      </c>
      <c r="Z10" s="50">
        <v>4.3478260869565215</v>
      </c>
      <c r="AA10" s="49">
        <v>6</v>
      </c>
      <c r="AB10" s="50">
        <v>13.043478260869565</v>
      </c>
      <c r="AC10" s="49">
        <v>0</v>
      </c>
      <c r="AD10" s="50">
        <v>0</v>
      </c>
      <c r="AE10" s="49">
        <v>40</v>
      </c>
      <c r="AF10" s="50">
        <v>86.95652173913044</v>
      </c>
      <c r="AG10" s="49">
        <v>46</v>
      </c>
      <c r="AH10" s="80"/>
      <c r="AI10" s="80"/>
      <c r="AJ10" s="80"/>
      <c r="AK10" s="83" t="s">
        <v>1145</v>
      </c>
      <c r="AL10" s="83" t="s">
        <v>843</v>
      </c>
    </row>
    <row r="11" spans="1:38" ht="15">
      <c r="A11" s="65" t="s">
        <v>881</v>
      </c>
      <c r="B11" s="66" t="s">
        <v>898</v>
      </c>
      <c r="C11" s="66" t="s">
        <v>56</v>
      </c>
      <c r="D11" s="106"/>
      <c r="E11" s="14"/>
      <c r="F11" s="15" t="s">
        <v>881</v>
      </c>
      <c r="G11" s="64"/>
      <c r="H11" s="64"/>
      <c r="I11" s="107">
        <v>11</v>
      </c>
      <c r="J11" s="78"/>
      <c r="K11" s="49">
        <v>3</v>
      </c>
      <c r="L11" s="49">
        <v>2</v>
      </c>
      <c r="M11" s="49">
        <v>0</v>
      </c>
      <c r="N11" s="49">
        <v>2</v>
      </c>
      <c r="O11" s="49">
        <v>0</v>
      </c>
      <c r="P11" s="50">
        <v>0</v>
      </c>
      <c r="Q11" s="50">
        <v>0</v>
      </c>
      <c r="R11" s="49">
        <v>1</v>
      </c>
      <c r="S11" s="49">
        <v>0</v>
      </c>
      <c r="T11" s="49">
        <v>3</v>
      </c>
      <c r="U11" s="49">
        <v>2</v>
      </c>
      <c r="V11" s="49">
        <v>2</v>
      </c>
      <c r="W11" s="50">
        <v>0.888889</v>
      </c>
      <c r="X11" s="50">
        <v>0.3333333333333333</v>
      </c>
      <c r="Y11" s="49">
        <v>1</v>
      </c>
      <c r="Z11" s="50">
        <v>6.25</v>
      </c>
      <c r="AA11" s="49">
        <v>2</v>
      </c>
      <c r="AB11" s="50">
        <v>12.5</v>
      </c>
      <c r="AC11" s="49">
        <v>0</v>
      </c>
      <c r="AD11" s="50">
        <v>0</v>
      </c>
      <c r="AE11" s="49">
        <v>14</v>
      </c>
      <c r="AF11" s="50">
        <v>87.5</v>
      </c>
      <c r="AG11" s="49">
        <v>16</v>
      </c>
      <c r="AH11" s="80"/>
      <c r="AI11" s="80"/>
      <c r="AJ11" s="80"/>
      <c r="AK11" s="83" t="s">
        <v>843</v>
      </c>
      <c r="AL11" s="83" t="s">
        <v>843</v>
      </c>
    </row>
    <row r="12" spans="1:38" ht="15">
      <c r="A12" s="65" t="s">
        <v>882</v>
      </c>
      <c r="B12" s="66" t="s">
        <v>899</v>
      </c>
      <c r="C12" s="66" t="s">
        <v>56</v>
      </c>
      <c r="D12" s="106"/>
      <c r="E12" s="14"/>
      <c r="F12" s="15" t="s">
        <v>1623</v>
      </c>
      <c r="G12" s="64"/>
      <c r="H12" s="64"/>
      <c r="I12" s="107">
        <v>12</v>
      </c>
      <c r="J12" s="78"/>
      <c r="K12" s="49">
        <v>2</v>
      </c>
      <c r="L12" s="49">
        <v>1</v>
      </c>
      <c r="M12" s="49">
        <v>0</v>
      </c>
      <c r="N12" s="49">
        <v>1</v>
      </c>
      <c r="O12" s="49">
        <v>0</v>
      </c>
      <c r="P12" s="50">
        <v>0</v>
      </c>
      <c r="Q12" s="50">
        <v>0</v>
      </c>
      <c r="R12" s="49">
        <v>1</v>
      </c>
      <c r="S12" s="49">
        <v>0</v>
      </c>
      <c r="T12" s="49">
        <v>2</v>
      </c>
      <c r="U12" s="49">
        <v>1</v>
      </c>
      <c r="V12" s="49">
        <v>1</v>
      </c>
      <c r="W12" s="50">
        <v>0.5</v>
      </c>
      <c r="X12" s="50">
        <v>0.5</v>
      </c>
      <c r="Y12" s="49">
        <v>3</v>
      </c>
      <c r="Z12" s="50">
        <v>3.3333333333333335</v>
      </c>
      <c r="AA12" s="49">
        <v>4</v>
      </c>
      <c r="AB12" s="50">
        <v>4.444444444444445</v>
      </c>
      <c r="AC12" s="49">
        <v>0</v>
      </c>
      <c r="AD12" s="50">
        <v>0</v>
      </c>
      <c r="AE12" s="49">
        <v>85</v>
      </c>
      <c r="AF12" s="50">
        <v>94.44444444444444</v>
      </c>
      <c r="AG12" s="49">
        <v>90</v>
      </c>
      <c r="AH12" s="80"/>
      <c r="AI12" s="80"/>
      <c r="AJ12" s="80"/>
      <c r="AK12" s="83" t="s">
        <v>914</v>
      </c>
      <c r="AL12" s="83" t="s">
        <v>843</v>
      </c>
    </row>
    <row r="13" spans="1:38" ht="15">
      <c r="A13" s="65" t="s">
        <v>883</v>
      </c>
      <c r="B13" s="66" t="s">
        <v>900</v>
      </c>
      <c r="C13" s="66" t="s">
        <v>56</v>
      </c>
      <c r="D13" s="106"/>
      <c r="E13" s="14"/>
      <c r="F13" s="15" t="s">
        <v>1457</v>
      </c>
      <c r="G13" s="64"/>
      <c r="H13" s="64"/>
      <c r="I13" s="107">
        <v>13</v>
      </c>
      <c r="J13" s="78"/>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1</v>
      </c>
      <c r="AB13" s="50">
        <v>1.4492753623188406</v>
      </c>
      <c r="AC13" s="49">
        <v>0</v>
      </c>
      <c r="AD13" s="50">
        <v>0</v>
      </c>
      <c r="AE13" s="49">
        <v>68</v>
      </c>
      <c r="AF13" s="50">
        <v>98.55072463768116</v>
      </c>
      <c r="AG13" s="49">
        <v>69</v>
      </c>
      <c r="AH13" s="80"/>
      <c r="AI13" s="80"/>
      <c r="AJ13" s="80"/>
      <c r="AK13" s="83" t="s">
        <v>1273</v>
      </c>
      <c r="AL13" s="83" t="s">
        <v>843</v>
      </c>
    </row>
    <row r="14" spans="1:38" ht="15">
      <c r="A14" s="65" t="s">
        <v>884</v>
      </c>
      <c r="B14" s="66" t="s">
        <v>901</v>
      </c>
      <c r="C14" s="66" t="s">
        <v>56</v>
      </c>
      <c r="D14" s="106"/>
      <c r="E14" s="14"/>
      <c r="F14" s="15" t="s">
        <v>1458</v>
      </c>
      <c r="G14" s="64"/>
      <c r="H14" s="64"/>
      <c r="I14" s="107">
        <v>14</v>
      </c>
      <c r="J14" s="78"/>
      <c r="K14" s="49">
        <v>2</v>
      </c>
      <c r="L14" s="49">
        <v>1</v>
      </c>
      <c r="M14" s="49">
        <v>0</v>
      </c>
      <c r="N14" s="49">
        <v>1</v>
      </c>
      <c r="O14" s="49">
        <v>0</v>
      </c>
      <c r="P14" s="50">
        <v>0</v>
      </c>
      <c r="Q14" s="50">
        <v>0</v>
      </c>
      <c r="R14" s="49">
        <v>1</v>
      </c>
      <c r="S14" s="49">
        <v>0</v>
      </c>
      <c r="T14" s="49">
        <v>2</v>
      </c>
      <c r="U14" s="49">
        <v>1</v>
      </c>
      <c r="V14" s="49">
        <v>1</v>
      </c>
      <c r="W14" s="50">
        <v>0.5</v>
      </c>
      <c r="X14" s="50">
        <v>0.5</v>
      </c>
      <c r="Y14" s="49">
        <v>1</v>
      </c>
      <c r="Z14" s="50">
        <v>4.166666666666667</v>
      </c>
      <c r="AA14" s="49">
        <v>0</v>
      </c>
      <c r="AB14" s="50">
        <v>0</v>
      </c>
      <c r="AC14" s="49">
        <v>0</v>
      </c>
      <c r="AD14" s="50">
        <v>0</v>
      </c>
      <c r="AE14" s="49">
        <v>23</v>
      </c>
      <c r="AF14" s="50">
        <v>95.83333333333333</v>
      </c>
      <c r="AG14" s="49">
        <v>24</v>
      </c>
      <c r="AH14" s="80"/>
      <c r="AI14" s="80"/>
      <c r="AJ14" s="80"/>
      <c r="AK14" s="83" t="s">
        <v>914</v>
      </c>
      <c r="AL14" s="83" t="s">
        <v>843</v>
      </c>
    </row>
    <row r="15" spans="1:38" ht="15">
      <c r="A15" s="65" t="s">
        <v>885</v>
      </c>
      <c r="B15" s="66" t="s">
        <v>890</v>
      </c>
      <c r="C15" s="66" t="s">
        <v>59</v>
      </c>
      <c r="D15" s="106"/>
      <c r="E15" s="14"/>
      <c r="F15" s="15" t="s">
        <v>1624</v>
      </c>
      <c r="G15" s="64"/>
      <c r="H15" s="64"/>
      <c r="I15" s="107">
        <v>15</v>
      </c>
      <c r="J15" s="78"/>
      <c r="K15" s="49">
        <v>2</v>
      </c>
      <c r="L15" s="49">
        <v>2</v>
      </c>
      <c r="M15" s="49">
        <v>0</v>
      </c>
      <c r="N15" s="49">
        <v>2</v>
      </c>
      <c r="O15" s="49">
        <v>1</v>
      </c>
      <c r="P15" s="50">
        <v>0</v>
      </c>
      <c r="Q15" s="50">
        <v>0</v>
      </c>
      <c r="R15" s="49">
        <v>1</v>
      </c>
      <c r="S15" s="49">
        <v>0</v>
      </c>
      <c r="T15" s="49">
        <v>2</v>
      </c>
      <c r="U15" s="49">
        <v>2</v>
      </c>
      <c r="V15" s="49">
        <v>1</v>
      </c>
      <c r="W15" s="50">
        <v>0.5</v>
      </c>
      <c r="X15" s="50">
        <v>0.5</v>
      </c>
      <c r="Y15" s="49">
        <v>1</v>
      </c>
      <c r="Z15" s="50">
        <v>4.166666666666667</v>
      </c>
      <c r="AA15" s="49">
        <v>0</v>
      </c>
      <c r="AB15" s="50">
        <v>0</v>
      </c>
      <c r="AC15" s="49">
        <v>0</v>
      </c>
      <c r="AD15" s="50">
        <v>0</v>
      </c>
      <c r="AE15" s="49">
        <v>23</v>
      </c>
      <c r="AF15" s="50">
        <v>95.83333333333333</v>
      </c>
      <c r="AG15" s="49">
        <v>24</v>
      </c>
      <c r="AH15" s="80"/>
      <c r="AI15" s="80"/>
      <c r="AJ15" s="80"/>
      <c r="AK15" s="83" t="s">
        <v>1060</v>
      </c>
      <c r="AL15" s="83" t="s">
        <v>843</v>
      </c>
    </row>
    <row r="16" spans="1:38" ht="15">
      <c r="A16" s="65" t="s">
        <v>886</v>
      </c>
      <c r="B16" s="66" t="s">
        <v>891</v>
      </c>
      <c r="C16" s="66" t="s">
        <v>59</v>
      </c>
      <c r="D16" s="106"/>
      <c r="E16" s="14"/>
      <c r="F16" s="15" t="s">
        <v>1459</v>
      </c>
      <c r="G16" s="64"/>
      <c r="H16" s="64"/>
      <c r="I16" s="107">
        <v>16</v>
      </c>
      <c r="J16" s="78"/>
      <c r="K16" s="49">
        <v>2</v>
      </c>
      <c r="L16" s="49">
        <v>1</v>
      </c>
      <c r="M16" s="49">
        <v>0</v>
      </c>
      <c r="N16" s="49">
        <v>1</v>
      </c>
      <c r="O16" s="49">
        <v>0</v>
      </c>
      <c r="P16" s="50">
        <v>0</v>
      </c>
      <c r="Q16" s="50">
        <v>0</v>
      </c>
      <c r="R16" s="49">
        <v>1</v>
      </c>
      <c r="S16" s="49">
        <v>0</v>
      </c>
      <c r="T16" s="49">
        <v>2</v>
      </c>
      <c r="U16" s="49">
        <v>1</v>
      </c>
      <c r="V16" s="49">
        <v>1</v>
      </c>
      <c r="W16" s="50">
        <v>0.5</v>
      </c>
      <c r="X16" s="50">
        <v>0.5</v>
      </c>
      <c r="Y16" s="49">
        <v>1</v>
      </c>
      <c r="Z16" s="50">
        <v>2.5</v>
      </c>
      <c r="AA16" s="49">
        <v>2</v>
      </c>
      <c r="AB16" s="50">
        <v>5</v>
      </c>
      <c r="AC16" s="49">
        <v>0</v>
      </c>
      <c r="AD16" s="50">
        <v>0</v>
      </c>
      <c r="AE16" s="49">
        <v>37</v>
      </c>
      <c r="AF16" s="50">
        <v>92.5</v>
      </c>
      <c r="AG16" s="49">
        <v>40</v>
      </c>
      <c r="AH16" s="80"/>
      <c r="AI16" s="80"/>
      <c r="AJ16" s="80"/>
      <c r="AK16" s="83" t="s">
        <v>951</v>
      </c>
      <c r="AL16" s="83" t="s">
        <v>843</v>
      </c>
    </row>
    <row r="17" spans="1:38" ht="15">
      <c r="A17" s="65" t="s">
        <v>887</v>
      </c>
      <c r="B17" s="66" t="s">
        <v>892</v>
      </c>
      <c r="C17" s="66" t="s">
        <v>59</v>
      </c>
      <c r="D17" s="106"/>
      <c r="E17" s="14"/>
      <c r="F17" s="15" t="s">
        <v>1625</v>
      </c>
      <c r="G17" s="64"/>
      <c r="H17" s="64"/>
      <c r="I17" s="107">
        <v>17</v>
      </c>
      <c r="J17" s="78"/>
      <c r="K17" s="49">
        <v>2</v>
      </c>
      <c r="L17" s="49">
        <v>1</v>
      </c>
      <c r="M17" s="49">
        <v>0</v>
      </c>
      <c r="N17" s="49">
        <v>1</v>
      </c>
      <c r="O17" s="49">
        <v>0</v>
      </c>
      <c r="P17" s="50">
        <v>0</v>
      </c>
      <c r="Q17" s="50">
        <v>0</v>
      </c>
      <c r="R17" s="49">
        <v>1</v>
      </c>
      <c r="S17" s="49">
        <v>0</v>
      </c>
      <c r="T17" s="49">
        <v>2</v>
      </c>
      <c r="U17" s="49">
        <v>1</v>
      </c>
      <c r="V17" s="49">
        <v>1</v>
      </c>
      <c r="W17" s="50">
        <v>0.5</v>
      </c>
      <c r="X17" s="50">
        <v>0.5</v>
      </c>
      <c r="Y17" s="49">
        <v>3</v>
      </c>
      <c r="Z17" s="50">
        <v>6.818181818181818</v>
      </c>
      <c r="AA17" s="49">
        <v>4</v>
      </c>
      <c r="AB17" s="50">
        <v>9.090909090909092</v>
      </c>
      <c r="AC17" s="49">
        <v>0</v>
      </c>
      <c r="AD17" s="50">
        <v>0</v>
      </c>
      <c r="AE17" s="49">
        <v>40</v>
      </c>
      <c r="AF17" s="50">
        <v>90.9090909090909</v>
      </c>
      <c r="AG17" s="49">
        <v>44</v>
      </c>
      <c r="AH17" s="80"/>
      <c r="AI17" s="80"/>
      <c r="AJ17" s="80"/>
      <c r="AK17" s="83" t="s">
        <v>1125</v>
      </c>
      <c r="AL17" s="83" t="s">
        <v>843</v>
      </c>
    </row>
    <row r="18" spans="1:38" ht="15">
      <c r="A18" s="65" t="s">
        <v>888</v>
      </c>
      <c r="B18" s="66" t="s">
        <v>893</v>
      </c>
      <c r="C18" s="66" t="s">
        <v>59</v>
      </c>
      <c r="D18" s="106"/>
      <c r="E18" s="14"/>
      <c r="F18" s="15" t="s">
        <v>1626</v>
      </c>
      <c r="G18" s="64"/>
      <c r="H18" s="64"/>
      <c r="I18" s="107">
        <v>18</v>
      </c>
      <c r="J18" s="78"/>
      <c r="K18" s="49">
        <v>2</v>
      </c>
      <c r="L18" s="49">
        <v>0</v>
      </c>
      <c r="M18" s="49">
        <v>2</v>
      </c>
      <c r="N18" s="49">
        <v>2</v>
      </c>
      <c r="O18" s="49">
        <v>0</v>
      </c>
      <c r="P18" s="50">
        <v>0</v>
      </c>
      <c r="Q18" s="50">
        <v>0</v>
      </c>
      <c r="R18" s="49">
        <v>1</v>
      </c>
      <c r="S18" s="49">
        <v>0</v>
      </c>
      <c r="T18" s="49">
        <v>2</v>
      </c>
      <c r="U18" s="49">
        <v>2</v>
      </c>
      <c r="V18" s="49">
        <v>1</v>
      </c>
      <c r="W18" s="50">
        <v>0.5</v>
      </c>
      <c r="X18" s="50">
        <v>0.5</v>
      </c>
      <c r="Y18" s="49">
        <v>8</v>
      </c>
      <c r="Z18" s="50">
        <v>11.267605633802816</v>
      </c>
      <c r="AA18" s="49">
        <v>6</v>
      </c>
      <c r="AB18" s="50">
        <v>8.450704225352112</v>
      </c>
      <c r="AC18" s="49">
        <v>0</v>
      </c>
      <c r="AD18" s="50">
        <v>0</v>
      </c>
      <c r="AE18" s="49">
        <v>62</v>
      </c>
      <c r="AF18" s="50">
        <v>87.32394366197182</v>
      </c>
      <c r="AG18" s="49">
        <v>71</v>
      </c>
      <c r="AH18" s="80"/>
      <c r="AI18" s="80"/>
      <c r="AJ18" s="80"/>
      <c r="AK18" s="83" t="s">
        <v>1477</v>
      </c>
      <c r="AL18" s="83" t="s">
        <v>1483</v>
      </c>
    </row>
    <row r="19" spans="1:38" ht="15">
      <c r="A19" s="65" t="s">
        <v>889</v>
      </c>
      <c r="B19" s="66" t="s">
        <v>894</v>
      </c>
      <c r="C19" s="66" t="s">
        <v>59</v>
      </c>
      <c r="D19" s="106"/>
      <c r="E19" s="14"/>
      <c r="F19" s="15" t="s">
        <v>1460</v>
      </c>
      <c r="G19" s="64"/>
      <c r="H19" s="64"/>
      <c r="I19" s="107">
        <v>19</v>
      </c>
      <c r="J19" s="78"/>
      <c r="K19" s="49">
        <v>2</v>
      </c>
      <c r="L19" s="49">
        <v>2</v>
      </c>
      <c r="M19" s="49">
        <v>0</v>
      </c>
      <c r="N19" s="49">
        <v>2</v>
      </c>
      <c r="O19" s="49">
        <v>1</v>
      </c>
      <c r="P19" s="50">
        <v>0</v>
      </c>
      <c r="Q19" s="50">
        <v>0</v>
      </c>
      <c r="R19" s="49">
        <v>1</v>
      </c>
      <c r="S19" s="49">
        <v>0</v>
      </c>
      <c r="T19" s="49">
        <v>2</v>
      </c>
      <c r="U19" s="49">
        <v>2</v>
      </c>
      <c r="V19" s="49">
        <v>1</v>
      </c>
      <c r="W19" s="50">
        <v>0.5</v>
      </c>
      <c r="X19" s="50">
        <v>0.5</v>
      </c>
      <c r="Y19" s="49">
        <v>4</v>
      </c>
      <c r="Z19" s="50">
        <v>8.88888888888889</v>
      </c>
      <c r="AA19" s="49">
        <v>2</v>
      </c>
      <c r="AB19" s="50">
        <v>4.444444444444445</v>
      </c>
      <c r="AC19" s="49">
        <v>0</v>
      </c>
      <c r="AD19" s="50">
        <v>0</v>
      </c>
      <c r="AE19" s="49">
        <v>40</v>
      </c>
      <c r="AF19" s="50">
        <v>88.88888888888889</v>
      </c>
      <c r="AG19" s="49">
        <v>45</v>
      </c>
      <c r="AH19" s="80"/>
      <c r="AI19" s="80"/>
      <c r="AJ19" s="80"/>
      <c r="AK19" s="83" t="s">
        <v>1274</v>
      </c>
      <c r="AL19" s="83" t="s">
        <v>1278</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873</v>
      </c>
      <c r="B2" s="83" t="s">
        <v>479</v>
      </c>
      <c r="C2" s="80">
        <f>VLOOKUP(GroupVertices[[#This Row],[Vertex]],Vertices[],MATCH("ID",Vertices[[#Headers],[Vertex]:[Top Word Pairs in Comment by Salience]],0),FALSE)</f>
        <v>4</v>
      </c>
    </row>
    <row r="3" spans="1:3" ht="15">
      <c r="A3" s="81" t="s">
        <v>873</v>
      </c>
      <c r="B3" s="83" t="s">
        <v>476</v>
      </c>
      <c r="C3" s="80">
        <f>VLOOKUP(GroupVertices[[#This Row],[Vertex]],Vertices[],MATCH("ID",Vertices[[#Headers],[Vertex]:[Top Word Pairs in Comment by Salience]],0),FALSE)</f>
        <v>153</v>
      </c>
    </row>
    <row r="4" spans="1:3" ht="15">
      <c r="A4" s="81" t="s">
        <v>873</v>
      </c>
      <c r="B4" s="83" t="s">
        <v>475</v>
      </c>
      <c r="C4" s="80">
        <f>VLOOKUP(GroupVertices[[#This Row],[Vertex]],Vertices[],MATCH("ID",Vertices[[#Headers],[Vertex]:[Top Word Pairs in Comment by Salience]],0),FALSE)</f>
        <v>152</v>
      </c>
    </row>
    <row r="5" spans="1:3" ht="15">
      <c r="A5" s="81" t="s">
        <v>873</v>
      </c>
      <c r="B5" s="83" t="s">
        <v>474</v>
      </c>
      <c r="C5" s="80">
        <f>VLOOKUP(GroupVertices[[#This Row],[Vertex]],Vertices[],MATCH("ID",Vertices[[#Headers],[Vertex]:[Top Word Pairs in Comment by Salience]],0),FALSE)</f>
        <v>151</v>
      </c>
    </row>
    <row r="6" spans="1:3" ht="15">
      <c r="A6" s="81" t="s">
        <v>873</v>
      </c>
      <c r="B6" s="83" t="s">
        <v>473</v>
      </c>
      <c r="C6" s="80">
        <f>VLOOKUP(GroupVertices[[#This Row],[Vertex]],Vertices[],MATCH("ID",Vertices[[#Headers],[Vertex]:[Top Word Pairs in Comment by Salience]],0),FALSE)</f>
        <v>150</v>
      </c>
    </row>
    <row r="7" spans="1:3" ht="15">
      <c r="A7" s="81" t="s">
        <v>873</v>
      </c>
      <c r="B7" s="83" t="s">
        <v>472</v>
      </c>
      <c r="C7" s="80">
        <f>VLOOKUP(GroupVertices[[#This Row],[Vertex]],Vertices[],MATCH("ID",Vertices[[#Headers],[Vertex]:[Top Word Pairs in Comment by Salience]],0),FALSE)</f>
        <v>149</v>
      </c>
    </row>
    <row r="8" spans="1:3" ht="15">
      <c r="A8" s="81" t="s">
        <v>873</v>
      </c>
      <c r="B8" s="83" t="s">
        <v>471</v>
      </c>
      <c r="C8" s="80">
        <f>VLOOKUP(GroupVertices[[#This Row],[Vertex]],Vertices[],MATCH("ID",Vertices[[#Headers],[Vertex]:[Top Word Pairs in Comment by Salience]],0),FALSE)</f>
        <v>148</v>
      </c>
    </row>
    <row r="9" spans="1:3" ht="15">
      <c r="A9" s="81" t="s">
        <v>873</v>
      </c>
      <c r="B9" s="83" t="s">
        <v>470</v>
      </c>
      <c r="C9" s="80">
        <f>VLOOKUP(GroupVertices[[#This Row],[Vertex]],Vertices[],MATCH("ID",Vertices[[#Headers],[Vertex]:[Top Word Pairs in Comment by Salience]],0),FALSE)</f>
        <v>147</v>
      </c>
    </row>
    <row r="10" spans="1:3" ht="15">
      <c r="A10" s="81" t="s">
        <v>873</v>
      </c>
      <c r="B10" s="83" t="s">
        <v>469</v>
      </c>
      <c r="C10" s="80">
        <f>VLOOKUP(GroupVertices[[#This Row],[Vertex]],Vertices[],MATCH("ID",Vertices[[#Headers],[Vertex]:[Top Word Pairs in Comment by Salience]],0),FALSE)</f>
        <v>146</v>
      </c>
    </row>
    <row r="11" spans="1:3" ht="15">
      <c r="A11" s="81" t="s">
        <v>873</v>
      </c>
      <c r="B11" s="83" t="s">
        <v>468</v>
      </c>
      <c r="C11" s="80">
        <f>VLOOKUP(GroupVertices[[#This Row],[Vertex]],Vertices[],MATCH("ID",Vertices[[#Headers],[Vertex]:[Top Word Pairs in Comment by Salience]],0),FALSE)</f>
        <v>145</v>
      </c>
    </row>
    <row r="12" spans="1:3" ht="15">
      <c r="A12" s="81" t="s">
        <v>873</v>
      </c>
      <c r="B12" s="83" t="s">
        <v>467</v>
      </c>
      <c r="C12" s="80">
        <f>VLOOKUP(GroupVertices[[#This Row],[Vertex]],Vertices[],MATCH("ID",Vertices[[#Headers],[Vertex]:[Top Word Pairs in Comment by Salience]],0),FALSE)</f>
        <v>144</v>
      </c>
    </row>
    <row r="13" spans="1:3" ht="15">
      <c r="A13" s="81" t="s">
        <v>873</v>
      </c>
      <c r="B13" s="83" t="s">
        <v>466</v>
      </c>
      <c r="C13" s="80">
        <f>VLOOKUP(GroupVertices[[#This Row],[Vertex]],Vertices[],MATCH("ID",Vertices[[#Headers],[Vertex]:[Top Word Pairs in Comment by Salience]],0),FALSE)</f>
        <v>143</v>
      </c>
    </row>
    <row r="14" spans="1:3" ht="15">
      <c r="A14" s="81" t="s">
        <v>873</v>
      </c>
      <c r="B14" s="83" t="s">
        <v>465</v>
      </c>
      <c r="C14" s="80">
        <f>VLOOKUP(GroupVertices[[#This Row],[Vertex]],Vertices[],MATCH("ID",Vertices[[#Headers],[Vertex]:[Top Word Pairs in Comment by Salience]],0),FALSE)</f>
        <v>142</v>
      </c>
    </row>
    <row r="15" spans="1:3" ht="15">
      <c r="A15" s="81" t="s">
        <v>873</v>
      </c>
      <c r="B15" s="83" t="s">
        <v>464</v>
      </c>
      <c r="C15" s="80">
        <f>VLOOKUP(GroupVertices[[#This Row],[Vertex]],Vertices[],MATCH("ID",Vertices[[#Headers],[Vertex]:[Top Word Pairs in Comment by Salience]],0),FALSE)</f>
        <v>141</v>
      </c>
    </row>
    <row r="16" spans="1:3" ht="15">
      <c r="A16" s="81" t="s">
        <v>873</v>
      </c>
      <c r="B16" s="83" t="s">
        <v>463</v>
      </c>
      <c r="C16" s="80">
        <f>VLOOKUP(GroupVertices[[#This Row],[Vertex]],Vertices[],MATCH("ID",Vertices[[#Headers],[Vertex]:[Top Word Pairs in Comment by Salience]],0),FALSE)</f>
        <v>140</v>
      </c>
    </row>
    <row r="17" spans="1:3" ht="15">
      <c r="A17" s="81" t="s">
        <v>873</v>
      </c>
      <c r="B17" s="83" t="s">
        <v>462</v>
      </c>
      <c r="C17" s="80">
        <f>VLOOKUP(GroupVertices[[#This Row],[Vertex]],Vertices[],MATCH("ID",Vertices[[#Headers],[Vertex]:[Top Word Pairs in Comment by Salience]],0),FALSE)</f>
        <v>139</v>
      </c>
    </row>
    <row r="18" spans="1:3" ht="15">
      <c r="A18" s="81" t="s">
        <v>873</v>
      </c>
      <c r="B18" s="83" t="s">
        <v>461</v>
      </c>
      <c r="C18" s="80">
        <f>VLOOKUP(GroupVertices[[#This Row],[Vertex]],Vertices[],MATCH("ID",Vertices[[#Headers],[Vertex]:[Top Word Pairs in Comment by Salience]],0),FALSE)</f>
        <v>138</v>
      </c>
    </row>
    <row r="19" spans="1:3" ht="15">
      <c r="A19" s="81" t="s">
        <v>873</v>
      </c>
      <c r="B19" s="83" t="s">
        <v>460</v>
      </c>
      <c r="C19" s="80">
        <f>VLOOKUP(GroupVertices[[#This Row],[Vertex]],Vertices[],MATCH("ID",Vertices[[#Headers],[Vertex]:[Top Word Pairs in Comment by Salience]],0),FALSE)</f>
        <v>137</v>
      </c>
    </row>
    <row r="20" spans="1:3" ht="15">
      <c r="A20" s="81" t="s">
        <v>873</v>
      </c>
      <c r="B20" s="83" t="s">
        <v>459</v>
      </c>
      <c r="C20" s="80">
        <f>VLOOKUP(GroupVertices[[#This Row],[Vertex]],Vertices[],MATCH("ID",Vertices[[#Headers],[Vertex]:[Top Word Pairs in Comment by Salience]],0),FALSE)</f>
        <v>136</v>
      </c>
    </row>
    <row r="21" spans="1:3" ht="15">
      <c r="A21" s="81" t="s">
        <v>873</v>
      </c>
      <c r="B21" s="83" t="s">
        <v>458</v>
      </c>
      <c r="C21" s="80">
        <f>VLOOKUP(GroupVertices[[#This Row],[Vertex]],Vertices[],MATCH("ID",Vertices[[#Headers],[Vertex]:[Top Word Pairs in Comment by Salience]],0),FALSE)</f>
        <v>135</v>
      </c>
    </row>
    <row r="22" spans="1:3" ht="15">
      <c r="A22" s="81" t="s">
        <v>873</v>
      </c>
      <c r="B22" s="83" t="s">
        <v>457</v>
      </c>
      <c r="C22" s="80">
        <f>VLOOKUP(GroupVertices[[#This Row],[Vertex]],Vertices[],MATCH("ID",Vertices[[#Headers],[Vertex]:[Top Word Pairs in Comment by Salience]],0),FALSE)</f>
        <v>134</v>
      </c>
    </row>
    <row r="23" spans="1:3" ht="15">
      <c r="A23" s="81" t="s">
        <v>873</v>
      </c>
      <c r="B23" s="83" t="s">
        <v>456</v>
      </c>
      <c r="C23" s="80">
        <f>VLOOKUP(GroupVertices[[#This Row],[Vertex]],Vertices[],MATCH("ID",Vertices[[#Headers],[Vertex]:[Top Word Pairs in Comment by Salience]],0),FALSE)</f>
        <v>133</v>
      </c>
    </row>
    <row r="24" spans="1:3" ht="15">
      <c r="A24" s="81" t="s">
        <v>873</v>
      </c>
      <c r="B24" s="83" t="s">
        <v>455</v>
      </c>
      <c r="C24" s="80">
        <f>VLOOKUP(GroupVertices[[#This Row],[Vertex]],Vertices[],MATCH("ID",Vertices[[#Headers],[Vertex]:[Top Word Pairs in Comment by Salience]],0),FALSE)</f>
        <v>132</v>
      </c>
    </row>
    <row r="25" spans="1:3" ht="15">
      <c r="A25" s="81" t="s">
        <v>873</v>
      </c>
      <c r="B25" s="83" t="s">
        <v>454</v>
      </c>
      <c r="C25" s="80">
        <f>VLOOKUP(GroupVertices[[#This Row],[Vertex]],Vertices[],MATCH("ID",Vertices[[#Headers],[Vertex]:[Top Word Pairs in Comment by Salience]],0),FALSE)</f>
        <v>131</v>
      </c>
    </row>
    <row r="26" spans="1:3" ht="15">
      <c r="A26" s="81" t="s">
        <v>873</v>
      </c>
      <c r="B26" s="83" t="s">
        <v>453</v>
      </c>
      <c r="C26" s="80">
        <f>VLOOKUP(GroupVertices[[#This Row],[Vertex]],Vertices[],MATCH("ID",Vertices[[#Headers],[Vertex]:[Top Word Pairs in Comment by Salience]],0),FALSE)</f>
        <v>130</v>
      </c>
    </row>
    <row r="27" spans="1:3" ht="15">
      <c r="A27" s="81" t="s">
        <v>873</v>
      </c>
      <c r="B27" s="83" t="s">
        <v>452</v>
      </c>
      <c r="C27" s="80">
        <f>VLOOKUP(GroupVertices[[#This Row],[Vertex]],Vertices[],MATCH("ID",Vertices[[#Headers],[Vertex]:[Top Word Pairs in Comment by Salience]],0),FALSE)</f>
        <v>129</v>
      </c>
    </row>
    <row r="28" spans="1:3" ht="15">
      <c r="A28" s="81" t="s">
        <v>873</v>
      </c>
      <c r="B28" s="83" t="s">
        <v>451</v>
      </c>
      <c r="C28" s="80">
        <f>VLOOKUP(GroupVertices[[#This Row],[Vertex]],Vertices[],MATCH("ID",Vertices[[#Headers],[Vertex]:[Top Word Pairs in Comment by Salience]],0),FALSE)</f>
        <v>128</v>
      </c>
    </row>
    <row r="29" spans="1:3" ht="15">
      <c r="A29" s="81" t="s">
        <v>873</v>
      </c>
      <c r="B29" s="83" t="s">
        <v>448</v>
      </c>
      <c r="C29" s="80">
        <f>VLOOKUP(GroupVertices[[#This Row],[Vertex]],Vertices[],MATCH("ID",Vertices[[#Headers],[Vertex]:[Top Word Pairs in Comment by Salience]],0),FALSE)</f>
        <v>125</v>
      </c>
    </row>
    <row r="30" spans="1:3" ht="15">
      <c r="A30" s="81" t="s">
        <v>873</v>
      </c>
      <c r="B30" s="83" t="s">
        <v>447</v>
      </c>
      <c r="C30" s="80">
        <f>VLOOKUP(GroupVertices[[#This Row],[Vertex]],Vertices[],MATCH("ID",Vertices[[#Headers],[Vertex]:[Top Word Pairs in Comment by Salience]],0),FALSE)</f>
        <v>124</v>
      </c>
    </row>
    <row r="31" spans="1:3" ht="15">
      <c r="A31" s="81" t="s">
        <v>873</v>
      </c>
      <c r="B31" s="83" t="s">
        <v>442</v>
      </c>
      <c r="C31" s="80">
        <f>VLOOKUP(GroupVertices[[#This Row],[Vertex]],Vertices[],MATCH("ID",Vertices[[#Headers],[Vertex]:[Top Word Pairs in Comment by Salience]],0),FALSE)</f>
        <v>119</v>
      </c>
    </row>
    <row r="32" spans="1:3" ht="15">
      <c r="A32" s="81" t="s">
        <v>873</v>
      </c>
      <c r="B32" s="83" t="s">
        <v>441</v>
      </c>
      <c r="C32" s="80">
        <f>VLOOKUP(GroupVertices[[#This Row],[Vertex]],Vertices[],MATCH("ID",Vertices[[#Headers],[Vertex]:[Top Word Pairs in Comment by Salience]],0),FALSE)</f>
        <v>118</v>
      </c>
    </row>
    <row r="33" spans="1:3" ht="15">
      <c r="A33" s="81" t="s">
        <v>873</v>
      </c>
      <c r="B33" s="83" t="s">
        <v>440</v>
      </c>
      <c r="C33" s="80">
        <f>VLOOKUP(GroupVertices[[#This Row],[Vertex]],Vertices[],MATCH("ID",Vertices[[#Headers],[Vertex]:[Top Word Pairs in Comment by Salience]],0),FALSE)</f>
        <v>117</v>
      </c>
    </row>
    <row r="34" spans="1:3" ht="15">
      <c r="A34" s="81" t="s">
        <v>873</v>
      </c>
      <c r="B34" s="83" t="s">
        <v>439</v>
      </c>
      <c r="C34" s="80">
        <f>VLOOKUP(GroupVertices[[#This Row],[Vertex]],Vertices[],MATCH("ID",Vertices[[#Headers],[Vertex]:[Top Word Pairs in Comment by Salience]],0),FALSE)</f>
        <v>116</v>
      </c>
    </row>
    <row r="35" spans="1:3" ht="15">
      <c r="A35" s="81" t="s">
        <v>873</v>
      </c>
      <c r="B35" s="83" t="s">
        <v>438</v>
      </c>
      <c r="C35" s="80">
        <f>VLOOKUP(GroupVertices[[#This Row],[Vertex]],Vertices[],MATCH("ID",Vertices[[#Headers],[Vertex]:[Top Word Pairs in Comment by Salience]],0),FALSE)</f>
        <v>115</v>
      </c>
    </row>
    <row r="36" spans="1:3" ht="15">
      <c r="A36" s="81" t="s">
        <v>873</v>
      </c>
      <c r="B36" s="83" t="s">
        <v>432</v>
      </c>
      <c r="C36" s="80">
        <f>VLOOKUP(GroupVertices[[#This Row],[Vertex]],Vertices[],MATCH("ID",Vertices[[#Headers],[Vertex]:[Top Word Pairs in Comment by Salience]],0),FALSE)</f>
        <v>109</v>
      </c>
    </row>
    <row r="37" spans="1:3" ht="15">
      <c r="A37" s="81" t="s">
        <v>873</v>
      </c>
      <c r="B37" s="83" t="s">
        <v>431</v>
      </c>
      <c r="C37" s="80">
        <f>VLOOKUP(GroupVertices[[#This Row],[Vertex]],Vertices[],MATCH("ID",Vertices[[#Headers],[Vertex]:[Top Word Pairs in Comment by Salience]],0),FALSE)</f>
        <v>108</v>
      </c>
    </row>
    <row r="38" spans="1:3" ht="15">
      <c r="A38" s="81" t="s">
        <v>873</v>
      </c>
      <c r="B38" s="83" t="s">
        <v>430</v>
      </c>
      <c r="C38" s="80">
        <f>VLOOKUP(GroupVertices[[#This Row],[Vertex]],Vertices[],MATCH("ID",Vertices[[#Headers],[Vertex]:[Top Word Pairs in Comment by Salience]],0),FALSE)</f>
        <v>107</v>
      </c>
    </row>
    <row r="39" spans="1:3" ht="15">
      <c r="A39" s="81" t="s">
        <v>873</v>
      </c>
      <c r="B39" s="83" t="s">
        <v>429</v>
      </c>
      <c r="C39" s="80">
        <f>VLOOKUP(GroupVertices[[#This Row],[Vertex]],Vertices[],MATCH("ID",Vertices[[#Headers],[Vertex]:[Top Word Pairs in Comment by Salience]],0),FALSE)</f>
        <v>106</v>
      </c>
    </row>
    <row r="40" spans="1:3" ht="15">
      <c r="A40" s="81" t="s">
        <v>873</v>
      </c>
      <c r="B40" s="83" t="s">
        <v>428</v>
      </c>
      <c r="C40" s="80">
        <f>VLOOKUP(GroupVertices[[#This Row],[Vertex]],Vertices[],MATCH("ID",Vertices[[#Headers],[Vertex]:[Top Word Pairs in Comment by Salience]],0),FALSE)</f>
        <v>105</v>
      </c>
    </row>
    <row r="41" spans="1:3" ht="15">
      <c r="A41" s="81" t="s">
        <v>873</v>
      </c>
      <c r="B41" s="83" t="s">
        <v>427</v>
      </c>
      <c r="C41" s="80">
        <f>VLOOKUP(GroupVertices[[#This Row],[Vertex]],Vertices[],MATCH("ID",Vertices[[#Headers],[Vertex]:[Top Word Pairs in Comment by Salience]],0),FALSE)</f>
        <v>104</v>
      </c>
    </row>
    <row r="42" spans="1:3" ht="15">
      <c r="A42" s="81" t="s">
        <v>873</v>
      </c>
      <c r="B42" s="83" t="s">
        <v>426</v>
      </c>
      <c r="C42" s="80">
        <f>VLOOKUP(GroupVertices[[#This Row],[Vertex]],Vertices[],MATCH("ID",Vertices[[#Headers],[Vertex]:[Top Word Pairs in Comment by Salience]],0),FALSE)</f>
        <v>103</v>
      </c>
    </row>
    <row r="43" spans="1:3" ht="15">
      <c r="A43" s="81" t="s">
        <v>873</v>
      </c>
      <c r="B43" s="83" t="s">
        <v>425</v>
      </c>
      <c r="C43" s="80">
        <f>VLOOKUP(GroupVertices[[#This Row],[Vertex]],Vertices[],MATCH("ID",Vertices[[#Headers],[Vertex]:[Top Word Pairs in Comment by Salience]],0),FALSE)</f>
        <v>102</v>
      </c>
    </row>
    <row r="44" spans="1:3" ht="15">
      <c r="A44" s="81" t="s">
        <v>873</v>
      </c>
      <c r="B44" s="83" t="s">
        <v>424</v>
      </c>
      <c r="C44" s="80">
        <f>VLOOKUP(GroupVertices[[#This Row],[Vertex]],Vertices[],MATCH("ID",Vertices[[#Headers],[Vertex]:[Top Word Pairs in Comment by Salience]],0),FALSE)</f>
        <v>101</v>
      </c>
    </row>
    <row r="45" spans="1:3" ht="15">
      <c r="A45" s="81" t="s">
        <v>873</v>
      </c>
      <c r="B45" s="83" t="s">
        <v>423</v>
      </c>
      <c r="C45" s="80">
        <f>VLOOKUP(GroupVertices[[#This Row],[Vertex]],Vertices[],MATCH("ID",Vertices[[#Headers],[Vertex]:[Top Word Pairs in Comment by Salience]],0),FALSE)</f>
        <v>100</v>
      </c>
    </row>
    <row r="46" spans="1:3" ht="15">
      <c r="A46" s="81" t="s">
        <v>873</v>
      </c>
      <c r="B46" s="83" t="s">
        <v>422</v>
      </c>
      <c r="C46" s="80">
        <f>VLOOKUP(GroupVertices[[#This Row],[Vertex]],Vertices[],MATCH("ID",Vertices[[#Headers],[Vertex]:[Top Word Pairs in Comment by Salience]],0),FALSE)</f>
        <v>99</v>
      </c>
    </row>
    <row r="47" spans="1:3" ht="15">
      <c r="A47" s="81" t="s">
        <v>873</v>
      </c>
      <c r="B47" s="83" t="s">
        <v>421</v>
      </c>
      <c r="C47" s="80">
        <f>VLOOKUP(GroupVertices[[#This Row],[Vertex]],Vertices[],MATCH("ID",Vertices[[#Headers],[Vertex]:[Top Word Pairs in Comment by Salience]],0),FALSE)</f>
        <v>98</v>
      </c>
    </row>
    <row r="48" spans="1:3" ht="15">
      <c r="A48" s="81" t="s">
        <v>873</v>
      </c>
      <c r="B48" s="83" t="s">
        <v>420</v>
      </c>
      <c r="C48" s="80">
        <f>VLOOKUP(GroupVertices[[#This Row],[Vertex]],Vertices[],MATCH("ID",Vertices[[#Headers],[Vertex]:[Top Word Pairs in Comment by Salience]],0),FALSE)</f>
        <v>97</v>
      </c>
    </row>
    <row r="49" spans="1:3" ht="15">
      <c r="A49" s="81" t="s">
        <v>873</v>
      </c>
      <c r="B49" s="83" t="s">
        <v>419</v>
      </c>
      <c r="C49" s="80">
        <f>VLOOKUP(GroupVertices[[#This Row],[Vertex]],Vertices[],MATCH("ID",Vertices[[#Headers],[Vertex]:[Top Word Pairs in Comment by Salience]],0),FALSE)</f>
        <v>96</v>
      </c>
    </row>
    <row r="50" spans="1:3" ht="15">
      <c r="A50" s="81" t="s">
        <v>873</v>
      </c>
      <c r="B50" s="83" t="s">
        <v>418</v>
      </c>
      <c r="C50" s="80">
        <f>VLOOKUP(GroupVertices[[#This Row],[Vertex]],Vertices[],MATCH("ID",Vertices[[#Headers],[Vertex]:[Top Word Pairs in Comment by Salience]],0),FALSE)</f>
        <v>95</v>
      </c>
    </row>
    <row r="51" spans="1:3" ht="15">
      <c r="A51" s="81" t="s">
        <v>873</v>
      </c>
      <c r="B51" s="83" t="s">
        <v>415</v>
      </c>
      <c r="C51" s="80">
        <f>VLOOKUP(GroupVertices[[#This Row],[Vertex]],Vertices[],MATCH("ID",Vertices[[#Headers],[Vertex]:[Top Word Pairs in Comment by Salience]],0),FALSE)</f>
        <v>92</v>
      </c>
    </row>
    <row r="52" spans="1:3" ht="15">
      <c r="A52" s="81" t="s">
        <v>873</v>
      </c>
      <c r="B52" s="83" t="s">
        <v>414</v>
      </c>
      <c r="C52" s="80">
        <f>VLOOKUP(GroupVertices[[#This Row],[Vertex]],Vertices[],MATCH("ID",Vertices[[#Headers],[Vertex]:[Top Word Pairs in Comment by Salience]],0),FALSE)</f>
        <v>91</v>
      </c>
    </row>
    <row r="53" spans="1:3" ht="15">
      <c r="A53" s="81" t="s">
        <v>873</v>
      </c>
      <c r="B53" s="83" t="s">
        <v>413</v>
      </c>
      <c r="C53" s="80">
        <f>VLOOKUP(GroupVertices[[#This Row],[Vertex]],Vertices[],MATCH("ID",Vertices[[#Headers],[Vertex]:[Top Word Pairs in Comment by Salience]],0),FALSE)</f>
        <v>90</v>
      </c>
    </row>
    <row r="54" spans="1:3" ht="15">
      <c r="A54" s="81" t="s">
        <v>873</v>
      </c>
      <c r="B54" s="83" t="s">
        <v>412</v>
      </c>
      <c r="C54" s="80">
        <f>VLOOKUP(GroupVertices[[#This Row],[Vertex]],Vertices[],MATCH("ID",Vertices[[#Headers],[Vertex]:[Top Word Pairs in Comment by Salience]],0),FALSE)</f>
        <v>89</v>
      </c>
    </row>
    <row r="55" spans="1:3" ht="15">
      <c r="A55" s="81" t="s">
        <v>873</v>
      </c>
      <c r="B55" s="83" t="s">
        <v>411</v>
      </c>
      <c r="C55" s="80">
        <f>VLOOKUP(GroupVertices[[#This Row],[Vertex]],Vertices[],MATCH("ID",Vertices[[#Headers],[Vertex]:[Top Word Pairs in Comment by Salience]],0),FALSE)</f>
        <v>88</v>
      </c>
    </row>
    <row r="56" spans="1:3" ht="15">
      <c r="A56" s="81" t="s">
        <v>873</v>
      </c>
      <c r="B56" s="83" t="s">
        <v>410</v>
      </c>
      <c r="C56" s="80">
        <f>VLOOKUP(GroupVertices[[#This Row],[Vertex]],Vertices[],MATCH("ID",Vertices[[#Headers],[Vertex]:[Top Word Pairs in Comment by Salience]],0),FALSE)</f>
        <v>87</v>
      </c>
    </row>
    <row r="57" spans="1:3" ht="15">
      <c r="A57" s="81" t="s">
        <v>873</v>
      </c>
      <c r="B57" s="83" t="s">
        <v>409</v>
      </c>
      <c r="C57" s="80">
        <f>VLOOKUP(GroupVertices[[#This Row],[Vertex]],Vertices[],MATCH("ID",Vertices[[#Headers],[Vertex]:[Top Word Pairs in Comment by Salience]],0),FALSE)</f>
        <v>86</v>
      </c>
    </row>
    <row r="58" spans="1:3" ht="15">
      <c r="A58" s="81" t="s">
        <v>873</v>
      </c>
      <c r="B58" s="83" t="s">
        <v>408</v>
      </c>
      <c r="C58" s="80">
        <f>VLOOKUP(GroupVertices[[#This Row],[Vertex]],Vertices[],MATCH("ID",Vertices[[#Headers],[Vertex]:[Top Word Pairs in Comment by Salience]],0),FALSE)</f>
        <v>85</v>
      </c>
    </row>
    <row r="59" spans="1:3" ht="15">
      <c r="A59" s="81" t="s">
        <v>873</v>
      </c>
      <c r="B59" s="83" t="s">
        <v>402</v>
      </c>
      <c r="C59" s="80">
        <f>VLOOKUP(GroupVertices[[#This Row],[Vertex]],Vertices[],MATCH("ID",Vertices[[#Headers],[Vertex]:[Top Word Pairs in Comment by Salience]],0),FALSE)</f>
        <v>79</v>
      </c>
    </row>
    <row r="60" spans="1:3" ht="15">
      <c r="A60" s="81" t="s">
        <v>873</v>
      </c>
      <c r="B60" s="83" t="s">
        <v>401</v>
      </c>
      <c r="C60" s="80">
        <f>VLOOKUP(GroupVertices[[#This Row],[Vertex]],Vertices[],MATCH("ID",Vertices[[#Headers],[Vertex]:[Top Word Pairs in Comment by Salience]],0),FALSE)</f>
        <v>78</v>
      </c>
    </row>
    <row r="61" spans="1:3" ht="15">
      <c r="A61" s="81" t="s">
        <v>873</v>
      </c>
      <c r="B61" s="83" t="s">
        <v>400</v>
      </c>
      <c r="C61" s="80">
        <f>VLOOKUP(GroupVertices[[#This Row],[Vertex]],Vertices[],MATCH("ID",Vertices[[#Headers],[Vertex]:[Top Word Pairs in Comment by Salience]],0),FALSE)</f>
        <v>77</v>
      </c>
    </row>
    <row r="62" spans="1:3" ht="15">
      <c r="A62" s="81" t="s">
        <v>873</v>
      </c>
      <c r="B62" s="83" t="s">
        <v>399</v>
      </c>
      <c r="C62" s="80">
        <f>VLOOKUP(GroupVertices[[#This Row],[Vertex]],Vertices[],MATCH("ID",Vertices[[#Headers],[Vertex]:[Top Word Pairs in Comment by Salience]],0),FALSE)</f>
        <v>76</v>
      </c>
    </row>
    <row r="63" spans="1:3" ht="15">
      <c r="A63" s="81" t="s">
        <v>873</v>
      </c>
      <c r="B63" s="83" t="s">
        <v>398</v>
      </c>
      <c r="C63" s="80">
        <f>VLOOKUP(GroupVertices[[#This Row],[Vertex]],Vertices[],MATCH("ID",Vertices[[#Headers],[Vertex]:[Top Word Pairs in Comment by Salience]],0),FALSE)</f>
        <v>75</v>
      </c>
    </row>
    <row r="64" spans="1:3" ht="15">
      <c r="A64" s="81" t="s">
        <v>873</v>
      </c>
      <c r="B64" s="83" t="s">
        <v>397</v>
      </c>
      <c r="C64" s="80">
        <f>VLOOKUP(GroupVertices[[#This Row],[Vertex]],Vertices[],MATCH("ID",Vertices[[#Headers],[Vertex]:[Top Word Pairs in Comment by Salience]],0),FALSE)</f>
        <v>74</v>
      </c>
    </row>
    <row r="65" spans="1:3" ht="15">
      <c r="A65" s="81" t="s">
        <v>873</v>
      </c>
      <c r="B65" s="83" t="s">
        <v>393</v>
      </c>
      <c r="C65" s="80">
        <f>VLOOKUP(GroupVertices[[#This Row],[Vertex]],Vertices[],MATCH("ID",Vertices[[#Headers],[Vertex]:[Top Word Pairs in Comment by Salience]],0),FALSE)</f>
        <v>70</v>
      </c>
    </row>
    <row r="66" spans="1:3" ht="15">
      <c r="A66" s="81" t="s">
        <v>873</v>
      </c>
      <c r="B66" s="83" t="s">
        <v>392</v>
      </c>
      <c r="C66" s="80">
        <f>VLOOKUP(GroupVertices[[#This Row],[Vertex]],Vertices[],MATCH("ID",Vertices[[#Headers],[Vertex]:[Top Word Pairs in Comment by Salience]],0),FALSE)</f>
        <v>69</v>
      </c>
    </row>
    <row r="67" spans="1:3" ht="15">
      <c r="A67" s="81" t="s">
        <v>873</v>
      </c>
      <c r="B67" s="83" t="s">
        <v>391</v>
      </c>
      <c r="C67" s="80">
        <f>VLOOKUP(GroupVertices[[#This Row],[Vertex]],Vertices[],MATCH("ID",Vertices[[#Headers],[Vertex]:[Top Word Pairs in Comment by Salience]],0),FALSE)</f>
        <v>68</v>
      </c>
    </row>
    <row r="68" spans="1:3" ht="15">
      <c r="A68" s="81" t="s">
        <v>873</v>
      </c>
      <c r="B68" s="83" t="s">
        <v>390</v>
      </c>
      <c r="C68" s="80">
        <f>VLOOKUP(GroupVertices[[#This Row],[Vertex]],Vertices[],MATCH("ID",Vertices[[#Headers],[Vertex]:[Top Word Pairs in Comment by Salience]],0),FALSE)</f>
        <v>67</v>
      </c>
    </row>
    <row r="69" spans="1:3" ht="15">
      <c r="A69" s="81" t="s">
        <v>873</v>
      </c>
      <c r="B69" s="83" t="s">
        <v>386</v>
      </c>
      <c r="C69" s="80">
        <f>VLOOKUP(GroupVertices[[#This Row],[Vertex]],Vertices[],MATCH("ID",Vertices[[#Headers],[Vertex]:[Top Word Pairs in Comment by Salience]],0),FALSE)</f>
        <v>63</v>
      </c>
    </row>
    <row r="70" spans="1:3" ht="15">
      <c r="A70" s="81" t="s">
        <v>873</v>
      </c>
      <c r="B70" s="83" t="s">
        <v>385</v>
      </c>
      <c r="C70" s="80">
        <f>VLOOKUP(GroupVertices[[#This Row],[Vertex]],Vertices[],MATCH("ID",Vertices[[#Headers],[Vertex]:[Top Word Pairs in Comment by Salience]],0),FALSE)</f>
        <v>62</v>
      </c>
    </row>
    <row r="71" spans="1:3" ht="15">
      <c r="A71" s="81" t="s">
        <v>873</v>
      </c>
      <c r="B71" s="83" t="s">
        <v>384</v>
      </c>
      <c r="C71" s="80">
        <f>VLOOKUP(GroupVertices[[#This Row],[Vertex]],Vertices[],MATCH("ID",Vertices[[#Headers],[Vertex]:[Top Word Pairs in Comment by Salience]],0),FALSE)</f>
        <v>61</v>
      </c>
    </row>
    <row r="72" spans="1:3" ht="15">
      <c r="A72" s="81" t="s">
        <v>873</v>
      </c>
      <c r="B72" s="83" t="s">
        <v>383</v>
      </c>
      <c r="C72" s="80">
        <f>VLOOKUP(GroupVertices[[#This Row],[Vertex]],Vertices[],MATCH("ID",Vertices[[#Headers],[Vertex]:[Top Word Pairs in Comment by Salience]],0),FALSE)</f>
        <v>60</v>
      </c>
    </row>
    <row r="73" spans="1:3" ht="15">
      <c r="A73" s="81" t="s">
        <v>873</v>
      </c>
      <c r="B73" s="83" t="s">
        <v>382</v>
      </c>
      <c r="C73" s="80">
        <f>VLOOKUP(GroupVertices[[#This Row],[Vertex]],Vertices[],MATCH("ID",Vertices[[#Headers],[Vertex]:[Top Word Pairs in Comment by Salience]],0),FALSE)</f>
        <v>59</v>
      </c>
    </row>
    <row r="74" spans="1:3" ht="15">
      <c r="A74" s="81" t="s">
        <v>873</v>
      </c>
      <c r="B74" s="83" t="s">
        <v>381</v>
      </c>
      <c r="C74" s="80">
        <f>VLOOKUP(GroupVertices[[#This Row],[Vertex]],Vertices[],MATCH("ID",Vertices[[#Headers],[Vertex]:[Top Word Pairs in Comment by Salience]],0),FALSE)</f>
        <v>58</v>
      </c>
    </row>
    <row r="75" spans="1:3" ht="15">
      <c r="A75" s="81" t="s">
        <v>873</v>
      </c>
      <c r="B75" s="83" t="s">
        <v>380</v>
      </c>
      <c r="C75" s="80">
        <f>VLOOKUP(GroupVertices[[#This Row],[Vertex]],Vertices[],MATCH("ID",Vertices[[#Headers],[Vertex]:[Top Word Pairs in Comment by Salience]],0),FALSE)</f>
        <v>57</v>
      </c>
    </row>
    <row r="76" spans="1:3" ht="15">
      <c r="A76" s="81" t="s">
        <v>873</v>
      </c>
      <c r="B76" s="83" t="s">
        <v>379</v>
      </c>
      <c r="C76" s="80">
        <f>VLOOKUP(GroupVertices[[#This Row],[Vertex]],Vertices[],MATCH("ID",Vertices[[#Headers],[Vertex]:[Top Word Pairs in Comment by Salience]],0),FALSE)</f>
        <v>56</v>
      </c>
    </row>
    <row r="77" spans="1:3" ht="15">
      <c r="A77" s="81" t="s">
        <v>873</v>
      </c>
      <c r="B77" s="83" t="s">
        <v>378</v>
      </c>
      <c r="C77" s="80">
        <f>VLOOKUP(GroupVertices[[#This Row],[Vertex]],Vertices[],MATCH("ID",Vertices[[#Headers],[Vertex]:[Top Word Pairs in Comment by Salience]],0),FALSE)</f>
        <v>55</v>
      </c>
    </row>
    <row r="78" spans="1:3" ht="15">
      <c r="A78" s="81" t="s">
        <v>873</v>
      </c>
      <c r="B78" s="83" t="s">
        <v>377</v>
      </c>
      <c r="C78" s="80">
        <f>VLOOKUP(GroupVertices[[#This Row],[Vertex]],Vertices[],MATCH("ID",Vertices[[#Headers],[Vertex]:[Top Word Pairs in Comment by Salience]],0),FALSE)</f>
        <v>54</v>
      </c>
    </row>
    <row r="79" spans="1:3" ht="15">
      <c r="A79" s="81" t="s">
        <v>873</v>
      </c>
      <c r="B79" s="83" t="s">
        <v>376</v>
      </c>
      <c r="C79" s="80">
        <f>VLOOKUP(GroupVertices[[#This Row],[Vertex]],Vertices[],MATCH("ID",Vertices[[#Headers],[Vertex]:[Top Word Pairs in Comment by Salience]],0),FALSE)</f>
        <v>53</v>
      </c>
    </row>
    <row r="80" spans="1:3" ht="15">
      <c r="A80" s="81" t="s">
        <v>873</v>
      </c>
      <c r="B80" s="83" t="s">
        <v>375</v>
      </c>
      <c r="C80" s="80">
        <f>VLOOKUP(GroupVertices[[#This Row],[Vertex]],Vertices[],MATCH("ID",Vertices[[#Headers],[Vertex]:[Top Word Pairs in Comment by Salience]],0),FALSE)</f>
        <v>52</v>
      </c>
    </row>
    <row r="81" spans="1:3" ht="15">
      <c r="A81" s="81" t="s">
        <v>873</v>
      </c>
      <c r="B81" s="83" t="s">
        <v>374</v>
      </c>
      <c r="C81" s="80">
        <f>VLOOKUP(GroupVertices[[#This Row],[Vertex]],Vertices[],MATCH("ID",Vertices[[#Headers],[Vertex]:[Top Word Pairs in Comment by Salience]],0),FALSE)</f>
        <v>51</v>
      </c>
    </row>
    <row r="82" spans="1:3" ht="15">
      <c r="A82" s="81" t="s">
        <v>873</v>
      </c>
      <c r="B82" s="83" t="s">
        <v>373</v>
      </c>
      <c r="C82" s="80">
        <f>VLOOKUP(GroupVertices[[#This Row],[Vertex]],Vertices[],MATCH("ID",Vertices[[#Headers],[Vertex]:[Top Word Pairs in Comment by Salience]],0),FALSE)</f>
        <v>50</v>
      </c>
    </row>
    <row r="83" spans="1:3" ht="15">
      <c r="A83" s="81" t="s">
        <v>873</v>
      </c>
      <c r="B83" s="83" t="s">
        <v>367</v>
      </c>
      <c r="C83" s="80">
        <f>VLOOKUP(GroupVertices[[#This Row],[Vertex]],Vertices[],MATCH("ID",Vertices[[#Headers],[Vertex]:[Top Word Pairs in Comment by Salience]],0),FALSE)</f>
        <v>44</v>
      </c>
    </row>
    <row r="84" spans="1:3" ht="15">
      <c r="A84" s="81" t="s">
        <v>873</v>
      </c>
      <c r="B84" s="83" t="s">
        <v>366</v>
      </c>
      <c r="C84" s="80">
        <f>VLOOKUP(GroupVertices[[#This Row],[Vertex]],Vertices[],MATCH("ID",Vertices[[#Headers],[Vertex]:[Top Word Pairs in Comment by Salience]],0),FALSE)</f>
        <v>43</v>
      </c>
    </row>
    <row r="85" spans="1:3" ht="15">
      <c r="A85" s="81" t="s">
        <v>873</v>
      </c>
      <c r="B85" s="83" t="s">
        <v>365</v>
      </c>
      <c r="C85" s="80">
        <f>VLOOKUP(GroupVertices[[#This Row],[Vertex]],Vertices[],MATCH("ID",Vertices[[#Headers],[Vertex]:[Top Word Pairs in Comment by Salience]],0),FALSE)</f>
        <v>42</v>
      </c>
    </row>
    <row r="86" spans="1:3" ht="15">
      <c r="A86" s="81" t="s">
        <v>873</v>
      </c>
      <c r="B86" s="83" t="s">
        <v>364</v>
      </c>
      <c r="C86" s="80">
        <f>VLOOKUP(GroupVertices[[#This Row],[Vertex]],Vertices[],MATCH("ID",Vertices[[#Headers],[Vertex]:[Top Word Pairs in Comment by Salience]],0),FALSE)</f>
        <v>41</v>
      </c>
    </row>
    <row r="87" spans="1:3" ht="15">
      <c r="A87" s="81" t="s">
        <v>873</v>
      </c>
      <c r="B87" s="83" t="s">
        <v>361</v>
      </c>
      <c r="C87" s="80">
        <f>VLOOKUP(GroupVertices[[#This Row],[Vertex]],Vertices[],MATCH("ID",Vertices[[#Headers],[Vertex]:[Top Word Pairs in Comment by Salience]],0),FALSE)</f>
        <v>38</v>
      </c>
    </row>
    <row r="88" spans="1:3" ht="15">
      <c r="A88" s="81" t="s">
        <v>873</v>
      </c>
      <c r="B88" s="83" t="s">
        <v>360</v>
      </c>
      <c r="C88" s="80">
        <f>VLOOKUP(GroupVertices[[#This Row],[Vertex]],Vertices[],MATCH("ID",Vertices[[#Headers],[Vertex]:[Top Word Pairs in Comment by Salience]],0),FALSE)</f>
        <v>37</v>
      </c>
    </row>
    <row r="89" spans="1:3" ht="15">
      <c r="A89" s="81" t="s">
        <v>873</v>
      </c>
      <c r="B89" s="83" t="s">
        <v>359</v>
      </c>
      <c r="C89" s="80">
        <f>VLOOKUP(GroupVertices[[#This Row],[Vertex]],Vertices[],MATCH("ID",Vertices[[#Headers],[Vertex]:[Top Word Pairs in Comment by Salience]],0),FALSE)</f>
        <v>36</v>
      </c>
    </row>
    <row r="90" spans="1:3" ht="15">
      <c r="A90" s="81" t="s">
        <v>873</v>
      </c>
      <c r="B90" s="83" t="s">
        <v>358</v>
      </c>
      <c r="C90" s="80">
        <f>VLOOKUP(GroupVertices[[#This Row],[Vertex]],Vertices[],MATCH("ID",Vertices[[#Headers],[Vertex]:[Top Word Pairs in Comment by Salience]],0),FALSE)</f>
        <v>35</v>
      </c>
    </row>
    <row r="91" spans="1:3" ht="15">
      <c r="A91" s="81" t="s">
        <v>873</v>
      </c>
      <c r="B91" s="83" t="s">
        <v>354</v>
      </c>
      <c r="C91" s="80">
        <f>VLOOKUP(GroupVertices[[#This Row],[Vertex]],Vertices[],MATCH("ID",Vertices[[#Headers],[Vertex]:[Top Word Pairs in Comment by Salience]],0),FALSE)</f>
        <v>31</v>
      </c>
    </row>
    <row r="92" spans="1:3" ht="15">
      <c r="A92" s="81" t="s">
        <v>873</v>
      </c>
      <c r="B92" s="83" t="s">
        <v>353</v>
      </c>
      <c r="C92" s="80">
        <f>VLOOKUP(GroupVertices[[#This Row],[Vertex]],Vertices[],MATCH("ID",Vertices[[#Headers],[Vertex]:[Top Word Pairs in Comment by Salience]],0),FALSE)</f>
        <v>30</v>
      </c>
    </row>
    <row r="93" spans="1:3" ht="15">
      <c r="A93" s="81" t="s">
        <v>873</v>
      </c>
      <c r="B93" s="83" t="s">
        <v>352</v>
      </c>
      <c r="C93" s="80">
        <f>VLOOKUP(GroupVertices[[#This Row],[Vertex]],Vertices[],MATCH("ID",Vertices[[#Headers],[Vertex]:[Top Word Pairs in Comment by Salience]],0),FALSE)</f>
        <v>29</v>
      </c>
    </row>
    <row r="94" spans="1:3" ht="15">
      <c r="A94" s="81" t="s">
        <v>873</v>
      </c>
      <c r="B94" s="83" t="s">
        <v>349</v>
      </c>
      <c r="C94" s="80">
        <f>VLOOKUP(GroupVertices[[#This Row],[Vertex]],Vertices[],MATCH("ID",Vertices[[#Headers],[Vertex]:[Top Word Pairs in Comment by Salience]],0),FALSE)</f>
        <v>26</v>
      </c>
    </row>
    <row r="95" spans="1:3" ht="15">
      <c r="A95" s="81" t="s">
        <v>873</v>
      </c>
      <c r="B95" s="83" t="s">
        <v>345</v>
      </c>
      <c r="C95" s="80">
        <f>VLOOKUP(GroupVertices[[#This Row],[Vertex]],Vertices[],MATCH("ID",Vertices[[#Headers],[Vertex]:[Top Word Pairs in Comment by Salience]],0),FALSE)</f>
        <v>22</v>
      </c>
    </row>
    <row r="96" spans="1:3" ht="15">
      <c r="A96" s="81" t="s">
        <v>873</v>
      </c>
      <c r="B96" s="83" t="s">
        <v>344</v>
      </c>
      <c r="C96" s="80">
        <f>VLOOKUP(GroupVertices[[#This Row],[Vertex]],Vertices[],MATCH("ID",Vertices[[#Headers],[Vertex]:[Top Word Pairs in Comment by Salience]],0),FALSE)</f>
        <v>21</v>
      </c>
    </row>
    <row r="97" spans="1:3" ht="15">
      <c r="A97" s="81" t="s">
        <v>873</v>
      </c>
      <c r="B97" s="83" t="s">
        <v>333</v>
      </c>
      <c r="C97" s="80">
        <f>VLOOKUP(GroupVertices[[#This Row],[Vertex]],Vertices[],MATCH("ID",Vertices[[#Headers],[Vertex]:[Top Word Pairs in Comment by Salience]],0),FALSE)</f>
        <v>10</v>
      </c>
    </row>
    <row r="98" spans="1:3" ht="15">
      <c r="A98" s="81" t="s">
        <v>873</v>
      </c>
      <c r="B98" s="83" t="s">
        <v>332</v>
      </c>
      <c r="C98" s="80">
        <f>VLOOKUP(GroupVertices[[#This Row],[Vertex]],Vertices[],MATCH("ID",Vertices[[#Headers],[Vertex]:[Top Word Pairs in Comment by Salience]],0),FALSE)</f>
        <v>9</v>
      </c>
    </row>
    <row r="99" spans="1:3" ht="15">
      <c r="A99" s="81" t="s">
        <v>873</v>
      </c>
      <c r="B99" s="83" t="s">
        <v>331</v>
      </c>
      <c r="C99" s="80">
        <f>VLOOKUP(GroupVertices[[#This Row],[Vertex]],Vertices[],MATCH("ID",Vertices[[#Headers],[Vertex]:[Top Word Pairs in Comment by Salience]],0),FALSE)</f>
        <v>8</v>
      </c>
    </row>
    <row r="100" spans="1:3" ht="15">
      <c r="A100" s="81" t="s">
        <v>873</v>
      </c>
      <c r="B100" s="83" t="s">
        <v>330</v>
      </c>
      <c r="C100" s="80">
        <f>VLOOKUP(GroupVertices[[#This Row],[Vertex]],Vertices[],MATCH("ID",Vertices[[#Headers],[Vertex]:[Top Word Pairs in Comment by Salience]],0),FALSE)</f>
        <v>7</v>
      </c>
    </row>
    <row r="101" spans="1:3" ht="15">
      <c r="A101" s="81" t="s">
        <v>873</v>
      </c>
      <c r="B101" s="83" t="s">
        <v>329</v>
      </c>
      <c r="C101" s="80">
        <f>VLOOKUP(GroupVertices[[#This Row],[Vertex]],Vertices[],MATCH("ID",Vertices[[#Headers],[Vertex]:[Top Word Pairs in Comment by Salience]],0),FALSE)</f>
        <v>6</v>
      </c>
    </row>
    <row r="102" spans="1:3" ht="15">
      <c r="A102" s="81" t="s">
        <v>873</v>
      </c>
      <c r="B102" s="83" t="s">
        <v>328</v>
      </c>
      <c r="C102" s="80">
        <f>VLOOKUP(GroupVertices[[#This Row],[Vertex]],Vertices[],MATCH("ID",Vertices[[#Headers],[Vertex]:[Top Word Pairs in Comment by Salience]],0),FALSE)</f>
        <v>5</v>
      </c>
    </row>
    <row r="103" spans="1:3" ht="15">
      <c r="A103" s="81" t="s">
        <v>873</v>
      </c>
      <c r="B103" s="83" t="s">
        <v>480</v>
      </c>
      <c r="C103" s="80">
        <f>VLOOKUP(GroupVertices[[#This Row],[Vertex]],Vertices[],MATCH("ID",Vertices[[#Headers],[Vertex]:[Top Word Pairs in Comment by Salience]],0),FALSE)</f>
        <v>3</v>
      </c>
    </row>
    <row r="104" spans="1:3" ht="15">
      <c r="A104" s="81" t="s">
        <v>874</v>
      </c>
      <c r="B104" s="83" t="s">
        <v>372</v>
      </c>
      <c r="C104" s="80">
        <f>VLOOKUP(GroupVertices[[#This Row],[Vertex]],Vertices[],MATCH("ID",Vertices[[#Headers],[Vertex]:[Top Word Pairs in Comment by Salience]],0),FALSE)</f>
        <v>49</v>
      </c>
    </row>
    <row r="105" spans="1:3" ht="15">
      <c r="A105" s="81" t="s">
        <v>874</v>
      </c>
      <c r="B105" s="83" t="s">
        <v>341</v>
      </c>
      <c r="C105" s="80">
        <f>VLOOKUP(GroupVertices[[#This Row],[Vertex]],Vertices[],MATCH("ID",Vertices[[#Headers],[Vertex]:[Top Word Pairs in Comment by Salience]],0),FALSE)</f>
        <v>19</v>
      </c>
    </row>
    <row r="106" spans="1:3" ht="15">
      <c r="A106" s="81" t="s">
        <v>874</v>
      </c>
      <c r="B106" s="83" t="s">
        <v>371</v>
      </c>
      <c r="C106" s="80">
        <f>VLOOKUP(GroupVertices[[#This Row],[Vertex]],Vertices[],MATCH("ID",Vertices[[#Headers],[Vertex]:[Top Word Pairs in Comment by Salience]],0),FALSE)</f>
        <v>48</v>
      </c>
    </row>
    <row r="107" spans="1:3" ht="15">
      <c r="A107" s="81" t="s">
        <v>874</v>
      </c>
      <c r="B107" s="83" t="s">
        <v>342</v>
      </c>
      <c r="C107" s="80">
        <f>VLOOKUP(GroupVertices[[#This Row],[Vertex]],Vertices[],MATCH("ID",Vertices[[#Headers],[Vertex]:[Top Word Pairs in Comment by Salience]],0),FALSE)</f>
        <v>20</v>
      </c>
    </row>
    <row r="108" spans="1:3" ht="15">
      <c r="A108" s="81" t="s">
        <v>874</v>
      </c>
      <c r="B108" s="83" t="s">
        <v>343</v>
      </c>
      <c r="C108" s="80">
        <f>VLOOKUP(GroupVertices[[#This Row],[Vertex]],Vertices[],MATCH("ID",Vertices[[#Headers],[Vertex]:[Top Word Pairs in Comment by Salience]],0),FALSE)</f>
        <v>17</v>
      </c>
    </row>
    <row r="109" spans="1:3" ht="15">
      <c r="A109" s="81" t="s">
        <v>874</v>
      </c>
      <c r="B109" s="83" t="s">
        <v>340</v>
      </c>
      <c r="C109" s="80">
        <f>VLOOKUP(GroupVertices[[#This Row],[Vertex]],Vertices[],MATCH("ID",Vertices[[#Headers],[Vertex]:[Top Word Pairs in Comment by Salience]],0),FALSE)</f>
        <v>18</v>
      </c>
    </row>
    <row r="110" spans="1:3" ht="15">
      <c r="A110" s="81" t="s">
        <v>874</v>
      </c>
      <c r="B110" s="83" t="s">
        <v>339</v>
      </c>
      <c r="C110" s="80">
        <f>VLOOKUP(GroupVertices[[#This Row],[Vertex]],Vertices[],MATCH("ID",Vertices[[#Headers],[Vertex]:[Top Word Pairs in Comment by Salience]],0),FALSE)</f>
        <v>16</v>
      </c>
    </row>
    <row r="111" spans="1:3" ht="15">
      <c r="A111" s="81" t="s">
        <v>875</v>
      </c>
      <c r="B111" s="83" t="s">
        <v>406</v>
      </c>
      <c r="C111" s="80">
        <f>VLOOKUP(GroupVertices[[#This Row],[Vertex]],Vertices[],MATCH("ID",Vertices[[#Headers],[Vertex]:[Top Word Pairs in Comment by Salience]],0),FALSE)</f>
        <v>84</v>
      </c>
    </row>
    <row r="112" spans="1:3" ht="15">
      <c r="A112" s="81" t="s">
        <v>875</v>
      </c>
      <c r="B112" s="83" t="s">
        <v>407</v>
      </c>
      <c r="C112" s="80">
        <f>VLOOKUP(GroupVertices[[#This Row],[Vertex]],Vertices[],MATCH("ID",Vertices[[#Headers],[Vertex]:[Top Word Pairs in Comment by Salience]],0),FALSE)</f>
        <v>83</v>
      </c>
    </row>
    <row r="113" spans="1:3" ht="15">
      <c r="A113" s="81" t="s">
        <v>875</v>
      </c>
      <c r="B113" s="83" t="s">
        <v>388</v>
      </c>
      <c r="C113" s="80">
        <f>VLOOKUP(GroupVertices[[#This Row],[Vertex]],Vertices[],MATCH("ID",Vertices[[#Headers],[Vertex]:[Top Word Pairs in Comment by Salience]],0),FALSE)</f>
        <v>66</v>
      </c>
    </row>
    <row r="114" spans="1:3" ht="15">
      <c r="A114" s="81" t="s">
        <v>875</v>
      </c>
      <c r="B114" s="83" t="s">
        <v>405</v>
      </c>
      <c r="C114" s="80">
        <f>VLOOKUP(GroupVertices[[#This Row],[Vertex]],Vertices[],MATCH("ID",Vertices[[#Headers],[Vertex]:[Top Word Pairs in Comment by Salience]],0),FALSE)</f>
        <v>82</v>
      </c>
    </row>
    <row r="115" spans="1:3" ht="15">
      <c r="A115" s="81" t="s">
        <v>875</v>
      </c>
      <c r="B115" s="83" t="s">
        <v>389</v>
      </c>
      <c r="C115" s="80">
        <f>VLOOKUP(GroupVertices[[#This Row],[Vertex]],Vertices[],MATCH("ID",Vertices[[#Headers],[Vertex]:[Top Word Pairs in Comment by Salience]],0),FALSE)</f>
        <v>65</v>
      </c>
    </row>
    <row r="116" spans="1:3" ht="15">
      <c r="A116" s="81" t="s">
        <v>875</v>
      </c>
      <c r="B116" s="83" t="s">
        <v>387</v>
      </c>
      <c r="C116" s="80">
        <f>VLOOKUP(GroupVertices[[#This Row],[Vertex]],Vertices[],MATCH("ID",Vertices[[#Headers],[Vertex]:[Top Word Pairs in Comment by Salience]],0),FALSE)</f>
        <v>64</v>
      </c>
    </row>
    <row r="117" spans="1:3" ht="15">
      <c r="A117" s="81" t="s">
        <v>876</v>
      </c>
      <c r="B117" s="83" t="s">
        <v>416</v>
      </c>
      <c r="C117" s="80">
        <f>VLOOKUP(GroupVertices[[#This Row],[Vertex]],Vertices[],MATCH("ID",Vertices[[#Headers],[Vertex]:[Top Word Pairs in Comment by Salience]],0),FALSE)</f>
        <v>94</v>
      </c>
    </row>
    <row r="118" spans="1:3" ht="15">
      <c r="A118" s="81" t="s">
        <v>876</v>
      </c>
      <c r="B118" s="83" t="s">
        <v>417</v>
      </c>
      <c r="C118" s="80">
        <f>VLOOKUP(GroupVertices[[#This Row],[Vertex]],Vertices[],MATCH("ID",Vertices[[#Headers],[Vertex]:[Top Word Pairs in Comment by Salience]],0),FALSE)</f>
        <v>93</v>
      </c>
    </row>
    <row r="119" spans="1:3" ht="15">
      <c r="A119" s="81" t="s">
        <v>876</v>
      </c>
      <c r="B119" s="83" t="s">
        <v>369</v>
      </c>
      <c r="C119" s="80">
        <f>VLOOKUP(GroupVertices[[#This Row],[Vertex]],Vertices[],MATCH("ID",Vertices[[#Headers],[Vertex]:[Top Word Pairs in Comment by Salience]],0),FALSE)</f>
        <v>47</v>
      </c>
    </row>
    <row r="120" spans="1:3" ht="15">
      <c r="A120" s="81" t="s">
        <v>876</v>
      </c>
      <c r="B120" s="83" t="s">
        <v>370</v>
      </c>
      <c r="C120" s="80">
        <f>VLOOKUP(GroupVertices[[#This Row],[Vertex]],Vertices[],MATCH("ID",Vertices[[#Headers],[Vertex]:[Top Word Pairs in Comment by Salience]],0),FALSE)</f>
        <v>46</v>
      </c>
    </row>
    <row r="121" spans="1:3" ht="15">
      <c r="A121" s="81" t="s">
        <v>876</v>
      </c>
      <c r="B121" s="83" t="s">
        <v>368</v>
      </c>
      <c r="C121" s="80">
        <f>VLOOKUP(GroupVertices[[#This Row],[Vertex]],Vertices[],MATCH("ID",Vertices[[#Headers],[Vertex]:[Top Word Pairs in Comment by Salience]],0),FALSE)</f>
        <v>45</v>
      </c>
    </row>
    <row r="122" spans="1:3" ht="15">
      <c r="A122" s="81" t="s">
        <v>877</v>
      </c>
      <c r="B122" s="83" t="s">
        <v>337</v>
      </c>
      <c r="C122" s="80">
        <f>VLOOKUP(GroupVertices[[#This Row],[Vertex]],Vertices[],MATCH("ID",Vertices[[#Headers],[Vertex]:[Top Word Pairs in Comment by Salience]],0),FALSE)</f>
        <v>15</v>
      </c>
    </row>
    <row r="123" spans="1:3" ht="15">
      <c r="A123" s="81" t="s">
        <v>877</v>
      </c>
      <c r="B123" s="83" t="s">
        <v>338</v>
      </c>
      <c r="C123" s="80">
        <f>VLOOKUP(GroupVertices[[#This Row],[Vertex]],Vertices[],MATCH("ID",Vertices[[#Headers],[Vertex]:[Top Word Pairs in Comment by Salience]],0),FALSE)</f>
        <v>12</v>
      </c>
    </row>
    <row r="124" spans="1:3" ht="15">
      <c r="A124" s="81" t="s">
        <v>877</v>
      </c>
      <c r="B124" s="83" t="s">
        <v>336</v>
      </c>
      <c r="C124" s="80">
        <f>VLOOKUP(GroupVertices[[#This Row],[Vertex]],Vertices[],MATCH("ID",Vertices[[#Headers],[Vertex]:[Top Word Pairs in Comment by Salience]],0),FALSE)</f>
        <v>14</v>
      </c>
    </row>
    <row r="125" spans="1:3" ht="15">
      <c r="A125" s="81" t="s">
        <v>877</v>
      </c>
      <c r="B125" s="83" t="s">
        <v>335</v>
      </c>
      <c r="C125" s="80">
        <f>VLOOKUP(GroupVertices[[#This Row],[Vertex]],Vertices[],MATCH("ID",Vertices[[#Headers],[Vertex]:[Top Word Pairs in Comment by Salience]],0),FALSE)</f>
        <v>13</v>
      </c>
    </row>
    <row r="126" spans="1:3" ht="15">
      <c r="A126" s="81" t="s">
        <v>877</v>
      </c>
      <c r="B126" s="83" t="s">
        <v>334</v>
      </c>
      <c r="C126" s="80">
        <f>VLOOKUP(GroupVertices[[#This Row],[Vertex]],Vertices[],MATCH("ID",Vertices[[#Headers],[Vertex]:[Top Word Pairs in Comment by Salience]],0),FALSE)</f>
        <v>11</v>
      </c>
    </row>
    <row r="127" spans="1:3" ht="15">
      <c r="A127" s="81" t="s">
        <v>878</v>
      </c>
      <c r="B127" s="83" t="s">
        <v>434</v>
      </c>
      <c r="C127" s="80">
        <f>VLOOKUP(GroupVertices[[#This Row],[Vertex]],Vertices[],MATCH("ID",Vertices[[#Headers],[Vertex]:[Top Word Pairs in Comment by Salience]],0),FALSE)</f>
        <v>112</v>
      </c>
    </row>
    <row r="128" spans="1:3" ht="15">
      <c r="A128" s="81" t="s">
        <v>878</v>
      </c>
      <c r="B128" s="83" t="s">
        <v>435</v>
      </c>
      <c r="C128" s="80">
        <f>VLOOKUP(GroupVertices[[#This Row],[Vertex]],Vertices[],MATCH("ID",Vertices[[#Headers],[Vertex]:[Top Word Pairs in Comment by Salience]],0),FALSE)</f>
        <v>111</v>
      </c>
    </row>
    <row r="129" spans="1:3" ht="15">
      <c r="A129" s="81" t="s">
        <v>878</v>
      </c>
      <c r="B129" s="83" t="s">
        <v>433</v>
      </c>
      <c r="C129" s="80">
        <f>VLOOKUP(GroupVertices[[#This Row],[Vertex]],Vertices[],MATCH("ID",Vertices[[#Headers],[Vertex]:[Top Word Pairs in Comment by Salience]],0),FALSE)</f>
        <v>110</v>
      </c>
    </row>
    <row r="130" spans="1:3" ht="15">
      <c r="A130" s="81" t="s">
        <v>879</v>
      </c>
      <c r="B130" s="83" t="s">
        <v>395</v>
      </c>
      <c r="C130" s="80">
        <f>VLOOKUP(GroupVertices[[#This Row],[Vertex]],Vertices[],MATCH("ID",Vertices[[#Headers],[Vertex]:[Top Word Pairs in Comment by Salience]],0),FALSE)</f>
        <v>73</v>
      </c>
    </row>
    <row r="131" spans="1:3" ht="15">
      <c r="A131" s="81" t="s">
        <v>879</v>
      </c>
      <c r="B131" s="83" t="s">
        <v>396</v>
      </c>
      <c r="C131" s="80">
        <f>VLOOKUP(GroupVertices[[#This Row],[Vertex]],Vertices[],MATCH("ID",Vertices[[#Headers],[Vertex]:[Top Word Pairs in Comment by Salience]],0),FALSE)</f>
        <v>72</v>
      </c>
    </row>
    <row r="132" spans="1:3" ht="15">
      <c r="A132" s="81" t="s">
        <v>879</v>
      </c>
      <c r="B132" s="83" t="s">
        <v>394</v>
      </c>
      <c r="C132" s="80">
        <f>VLOOKUP(GroupVertices[[#This Row],[Vertex]],Vertices[],MATCH("ID",Vertices[[#Headers],[Vertex]:[Top Word Pairs in Comment by Salience]],0),FALSE)</f>
        <v>71</v>
      </c>
    </row>
    <row r="133" spans="1:3" ht="15">
      <c r="A133" s="81" t="s">
        <v>880</v>
      </c>
      <c r="B133" s="83" t="s">
        <v>356</v>
      </c>
      <c r="C133" s="80">
        <f>VLOOKUP(GroupVertices[[#This Row],[Vertex]],Vertices[],MATCH("ID",Vertices[[#Headers],[Vertex]:[Top Word Pairs in Comment by Salience]],0),FALSE)</f>
        <v>34</v>
      </c>
    </row>
    <row r="134" spans="1:3" ht="15">
      <c r="A134" s="81" t="s">
        <v>880</v>
      </c>
      <c r="B134" s="83" t="s">
        <v>357</v>
      </c>
      <c r="C134" s="80">
        <f>VLOOKUP(GroupVertices[[#This Row],[Vertex]],Vertices[],MATCH("ID",Vertices[[#Headers],[Vertex]:[Top Word Pairs in Comment by Salience]],0),FALSE)</f>
        <v>33</v>
      </c>
    </row>
    <row r="135" spans="1:3" ht="15">
      <c r="A135" s="81" t="s">
        <v>880</v>
      </c>
      <c r="B135" s="83" t="s">
        <v>355</v>
      </c>
      <c r="C135" s="80">
        <f>VLOOKUP(GroupVertices[[#This Row],[Vertex]],Vertices[],MATCH("ID",Vertices[[#Headers],[Vertex]:[Top Word Pairs in Comment by Salience]],0),FALSE)</f>
        <v>32</v>
      </c>
    </row>
    <row r="136" spans="1:3" ht="15">
      <c r="A136" s="81" t="s">
        <v>881</v>
      </c>
      <c r="B136" s="83" t="s">
        <v>347</v>
      </c>
      <c r="C136" s="80">
        <f>VLOOKUP(GroupVertices[[#This Row],[Vertex]],Vertices[],MATCH("ID",Vertices[[#Headers],[Vertex]:[Top Word Pairs in Comment by Salience]],0),FALSE)</f>
        <v>25</v>
      </c>
    </row>
    <row r="137" spans="1:3" ht="15">
      <c r="A137" s="81" t="s">
        <v>881</v>
      </c>
      <c r="B137" s="83" t="s">
        <v>348</v>
      </c>
      <c r="C137" s="80">
        <f>VLOOKUP(GroupVertices[[#This Row],[Vertex]],Vertices[],MATCH("ID",Vertices[[#Headers],[Vertex]:[Top Word Pairs in Comment by Salience]],0),FALSE)</f>
        <v>24</v>
      </c>
    </row>
    <row r="138" spans="1:3" ht="15">
      <c r="A138" s="81" t="s">
        <v>881</v>
      </c>
      <c r="B138" s="83" t="s">
        <v>346</v>
      </c>
      <c r="C138" s="80">
        <f>VLOOKUP(GroupVertices[[#This Row],[Vertex]],Vertices[],MATCH("ID",Vertices[[#Headers],[Vertex]:[Top Word Pairs in Comment by Salience]],0),FALSE)</f>
        <v>23</v>
      </c>
    </row>
    <row r="139" spans="1:3" ht="15">
      <c r="A139" s="81" t="s">
        <v>882</v>
      </c>
      <c r="B139" s="83" t="s">
        <v>478</v>
      </c>
      <c r="C139" s="80">
        <f>VLOOKUP(GroupVertices[[#This Row],[Vertex]],Vertices[],MATCH("ID",Vertices[[#Headers],[Vertex]:[Top Word Pairs in Comment by Salience]],0),FALSE)</f>
        <v>155</v>
      </c>
    </row>
    <row r="140" spans="1:3" ht="15">
      <c r="A140" s="81" t="s">
        <v>882</v>
      </c>
      <c r="B140" s="83" t="s">
        <v>477</v>
      </c>
      <c r="C140" s="80">
        <f>VLOOKUP(GroupVertices[[#This Row],[Vertex]],Vertices[],MATCH("ID",Vertices[[#Headers],[Vertex]:[Top Word Pairs in Comment by Salience]],0),FALSE)</f>
        <v>154</v>
      </c>
    </row>
    <row r="141" spans="1:3" ht="15">
      <c r="A141" s="81" t="s">
        <v>883</v>
      </c>
      <c r="B141" s="83" t="s">
        <v>450</v>
      </c>
      <c r="C141" s="80">
        <f>VLOOKUP(GroupVertices[[#This Row],[Vertex]],Vertices[],MATCH("ID",Vertices[[#Headers],[Vertex]:[Top Word Pairs in Comment by Salience]],0),FALSE)</f>
        <v>127</v>
      </c>
    </row>
    <row r="142" spans="1:3" ht="15">
      <c r="A142" s="81" t="s">
        <v>883</v>
      </c>
      <c r="B142" s="83" t="s">
        <v>449</v>
      </c>
      <c r="C142" s="80">
        <f>VLOOKUP(GroupVertices[[#This Row],[Vertex]],Vertices[],MATCH("ID",Vertices[[#Headers],[Vertex]:[Top Word Pairs in Comment by Salience]],0),FALSE)</f>
        <v>126</v>
      </c>
    </row>
    <row r="143" spans="1:3" ht="15">
      <c r="A143" s="81" t="s">
        <v>884</v>
      </c>
      <c r="B143" s="83" t="s">
        <v>446</v>
      </c>
      <c r="C143" s="80">
        <f>VLOOKUP(GroupVertices[[#This Row],[Vertex]],Vertices[],MATCH("ID",Vertices[[#Headers],[Vertex]:[Top Word Pairs in Comment by Salience]],0),FALSE)</f>
        <v>123</v>
      </c>
    </row>
    <row r="144" spans="1:3" ht="15">
      <c r="A144" s="81" t="s">
        <v>884</v>
      </c>
      <c r="B144" s="83" t="s">
        <v>445</v>
      </c>
      <c r="C144" s="80">
        <f>VLOOKUP(GroupVertices[[#This Row],[Vertex]],Vertices[],MATCH("ID",Vertices[[#Headers],[Vertex]:[Top Word Pairs in Comment by Salience]],0),FALSE)</f>
        <v>122</v>
      </c>
    </row>
    <row r="145" spans="1:3" ht="15">
      <c r="A145" s="81" t="s">
        <v>885</v>
      </c>
      <c r="B145" s="83" t="s">
        <v>444</v>
      </c>
      <c r="C145" s="80">
        <f>VLOOKUP(GroupVertices[[#This Row],[Vertex]],Vertices[],MATCH("ID",Vertices[[#Headers],[Vertex]:[Top Word Pairs in Comment by Salience]],0),FALSE)</f>
        <v>121</v>
      </c>
    </row>
    <row r="146" spans="1:3" ht="15">
      <c r="A146" s="81" t="s">
        <v>885</v>
      </c>
      <c r="B146" s="83" t="s">
        <v>443</v>
      </c>
      <c r="C146" s="80">
        <f>VLOOKUP(GroupVertices[[#This Row],[Vertex]],Vertices[],MATCH("ID",Vertices[[#Headers],[Vertex]:[Top Word Pairs in Comment by Salience]],0),FALSE)</f>
        <v>120</v>
      </c>
    </row>
    <row r="147" spans="1:3" ht="15">
      <c r="A147" s="81" t="s">
        <v>886</v>
      </c>
      <c r="B147" s="83" t="s">
        <v>437</v>
      </c>
      <c r="C147" s="80">
        <f>VLOOKUP(GroupVertices[[#This Row],[Vertex]],Vertices[],MATCH("ID",Vertices[[#Headers],[Vertex]:[Top Word Pairs in Comment by Salience]],0),FALSE)</f>
        <v>114</v>
      </c>
    </row>
    <row r="148" spans="1:3" ht="15">
      <c r="A148" s="81" t="s">
        <v>886</v>
      </c>
      <c r="B148" s="83" t="s">
        <v>436</v>
      </c>
      <c r="C148" s="80">
        <f>VLOOKUP(GroupVertices[[#This Row],[Vertex]],Vertices[],MATCH("ID",Vertices[[#Headers],[Vertex]:[Top Word Pairs in Comment by Salience]],0),FALSE)</f>
        <v>113</v>
      </c>
    </row>
    <row r="149" spans="1:3" ht="15">
      <c r="A149" s="81" t="s">
        <v>887</v>
      </c>
      <c r="B149" s="83" t="s">
        <v>404</v>
      </c>
      <c r="C149" s="80">
        <f>VLOOKUP(GroupVertices[[#This Row],[Vertex]],Vertices[],MATCH("ID",Vertices[[#Headers],[Vertex]:[Top Word Pairs in Comment by Salience]],0),FALSE)</f>
        <v>81</v>
      </c>
    </row>
    <row r="150" spans="1:3" ht="15">
      <c r="A150" s="81" t="s">
        <v>887</v>
      </c>
      <c r="B150" s="83" t="s">
        <v>403</v>
      </c>
      <c r="C150" s="80">
        <f>VLOOKUP(GroupVertices[[#This Row],[Vertex]],Vertices[],MATCH("ID",Vertices[[#Headers],[Vertex]:[Top Word Pairs in Comment by Salience]],0),FALSE)</f>
        <v>80</v>
      </c>
    </row>
    <row r="151" spans="1:3" ht="15">
      <c r="A151" s="81" t="s">
        <v>888</v>
      </c>
      <c r="B151" s="83" t="s">
        <v>363</v>
      </c>
      <c r="C151" s="80">
        <f>VLOOKUP(GroupVertices[[#This Row],[Vertex]],Vertices[],MATCH("ID",Vertices[[#Headers],[Vertex]:[Top Word Pairs in Comment by Salience]],0),FALSE)</f>
        <v>40</v>
      </c>
    </row>
    <row r="152" spans="1:3" ht="15">
      <c r="A152" s="81" t="s">
        <v>888</v>
      </c>
      <c r="B152" s="83" t="s">
        <v>362</v>
      </c>
      <c r="C152" s="80">
        <f>VLOOKUP(GroupVertices[[#This Row],[Vertex]],Vertices[],MATCH("ID",Vertices[[#Headers],[Vertex]:[Top Word Pairs in Comment by Salience]],0),FALSE)</f>
        <v>39</v>
      </c>
    </row>
    <row r="153" spans="1:3" ht="15">
      <c r="A153" s="81" t="s">
        <v>889</v>
      </c>
      <c r="B153" s="83" t="s">
        <v>351</v>
      </c>
      <c r="C153" s="80">
        <f>VLOOKUP(GroupVertices[[#This Row],[Vertex]],Vertices[],MATCH("ID",Vertices[[#Headers],[Vertex]:[Top Word Pairs in Comment by Salience]],0),FALSE)</f>
        <v>28</v>
      </c>
    </row>
    <row r="154" spans="1:3" ht="15">
      <c r="A154" s="81" t="s">
        <v>889</v>
      </c>
      <c r="B154" s="83" t="s">
        <v>350</v>
      </c>
      <c r="C154" s="80">
        <f>VLOOKUP(GroupVertices[[#This Row],[Vertex]],Vertices[],MATCH("ID",Vertices[[#Headers],[Vertex]:[Top Word Pairs in Comment by Salience]],0),FALSE)</f>
        <v>27</v>
      </c>
    </row>
  </sheetData>
  <dataValidations count="3" xWindow="58" yWindow="226">
    <dataValidation allowBlank="1" showInputMessage="1" showErrorMessage="1" promptTitle="Group Name" prompt="Enter the name of the group.  The group name must also be entered on the Groups worksheet." sqref="A2:A154"/>
    <dataValidation allowBlank="1" showInputMessage="1" showErrorMessage="1" promptTitle="Vertex Name" prompt="Enter the name of a vertex to include in the group." sqref="B2:B154"/>
    <dataValidation allowBlank="1" showInputMessage="1" promptTitle="Vertex ID" prompt="This is the value of the hidden ID cell in the Vertices worksheet.  It gets filled in by the items on the NodeXL, Analysis, Groups menu." sqref="C2:C1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1181</v>
      </c>
      <c r="B2" s="35" t="s">
        <v>305</v>
      </c>
      <c r="D2" s="32">
        <f>MIN(Vertices[Degree])</f>
        <v>0</v>
      </c>
      <c r="E2" s="3">
        <f>COUNTIF(Vertices[Degree],"&gt;= "&amp;D2)-COUNTIF(Vertices[Degree],"&gt;="&amp;D3)</f>
        <v>0</v>
      </c>
      <c r="F2" s="38">
        <f>MIN(Vertices[In-Degree])</f>
        <v>0</v>
      </c>
      <c r="G2" s="39">
        <f>COUNTIF(Vertices[In-Degree],"&gt;= "&amp;F2)-COUNTIF(Vertices[In-Degree],"&gt;="&amp;F3)</f>
        <v>150</v>
      </c>
      <c r="H2" s="38">
        <f>MIN(Vertices[Out-Degree])</f>
        <v>1</v>
      </c>
      <c r="I2" s="39">
        <f>COUNTIF(Vertices[Out-Degree],"&gt;= "&amp;H2)-COUNTIF(Vertices[Out-Degree],"&gt;="&amp;H3)</f>
        <v>141</v>
      </c>
      <c r="J2" s="38">
        <f>MIN(Vertices[Betweenness Centrality])</f>
        <v>0</v>
      </c>
      <c r="K2" s="39">
        <f>COUNTIF(Vertices[Betweenness Centrality],"&gt;= "&amp;J2)-COUNTIF(Vertices[Betweenness Centrality],"&gt;="&amp;J3)</f>
        <v>150</v>
      </c>
      <c r="L2" s="38">
        <f>MIN(Vertices[Closeness Centrality])</f>
        <v>0.002083</v>
      </c>
      <c r="M2" s="39">
        <f>COUNTIF(Vertices[Closeness Centrality],"&gt;= "&amp;L2)-COUNTIF(Vertices[Closeness Centrality],"&gt;="&amp;L3)</f>
        <v>28</v>
      </c>
      <c r="N2" s="38">
        <f>MIN(Vertices[Eigenvector Centrality])</f>
        <v>0.000613</v>
      </c>
      <c r="O2" s="39">
        <f>COUNTIF(Vertices[Eigenvector Centrality],"&gt;= "&amp;N2)-COUNTIF(Vertices[Eigenvector Centrality],"&gt;="&amp;N3)</f>
        <v>28</v>
      </c>
      <c r="P2" s="38">
        <f>MIN(Vertices[PageRank])</f>
        <v>0.485708</v>
      </c>
      <c r="Q2" s="39">
        <f>COUNTIF(Vertices[PageRank],"&gt;= "&amp;P2)-COUNTIF(Vertices[PageRank],"&gt;="&amp;P3)</f>
        <v>151</v>
      </c>
      <c r="R2" s="38">
        <f>MIN(Vertices[Clustering Coefficient])</f>
        <v>0</v>
      </c>
      <c r="S2" s="44">
        <f>COUNTIF(Vertices[Clustering Coefficient],"&gt;= "&amp;R2)-COUNTIF(Vertices[Clustering Coefficient],"&gt;="&amp;R3)</f>
        <v>144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3.676470588235294</v>
      </c>
      <c r="G3" s="41">
        <f>COUNTIF(Vertices[In-Degree],"&gt;= "&amp;F3)-COUNTIF(Vertices[In-Degree],"&gt;="&amp;F4)</f>
        <v>2</v>
      </c>
      <c r="H3" s="40">
        <f aca="true" t="shared" si="3" ref="H3:H35">H2+($H$36-$H$2)/BinDivisor</f>
        <v>1.0294117647058822</v>
      </c>
      <c r="I3" s="41">
        <f>COUNTIF(Vertices[Out-Degree],"&gt;= "&amp;H3)-COUNTIF(Vertices[Out-Degree],"&gt;="&amp;H4)</f>
        <v>0</v>
      </c>
      <c r="J3" s="40">
        <f aca="true" t="shared" si="4" ref="J3:J35">J2+($J$36-$J$2)/BinDivisor</f>
        <v>671.1470588235294</v>
      </c>
      <c r="K3" s="41">
        <f>COUNTIF(Vertices[Betweenness Centrality],"&gt;= "&amp;J3)-COUNTIF(Vertices[Betweenness Centrality],"&gt;="&amp;J4)</f>
        <v>2</v>
      </c>
      <c r="L3" s="40">
        <f aca="true" t="shared" si="5" ref="L3:L35">L2+($L$36-$L$2)/BinDivisor</f>
        <v>0.0021851470588235295</v>
      </c>
      <c r="M3" s="41">
        <f>COUNTIF(Vertices[Closeness Centrality],"&gt;= "&amp;L3)-COUNTIF(Vertices[Closeness Centrality],"&gt;="&amp;L4)</f>
        <v>0</v>
      </c>
      <c r="N3" s="40">
        <f aca="true" t="shared" si="6" ref="N3:N35">N2+($N$36-$N$2)/BinDivisor</f>
        <v>0.003053735294117647</v>
      </c>
      <c r="O3" s="41">
        <f>COUNTIF(Vertices[Eigenvector Centrality],"&gt;= "&amp;N3)-COUNTIF(Vertices[Eigenvector Centrality],"&gt;="&amp;N4)</f>
        <v>0</v>
      </c>
      <c r="P3" s="40">
        <f aca="true" t="shared" si="7" ref="P3:P35">P2+($P$36-$P$2)/BinDivisor</f>
        <v>2.051790382352941</v>
      </c>
      <c r="Q3" s="41">
        <f>COUNTIF(Vertices[PageRank],"&gt;= "&amp;P3)-COUNTIF(Vertices[PageRank],"&gt;="&amp;P4)</f>
        <v>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153</v>
      </c>
      <c r="D4" s="33">
        <f t="shared" si="1"/>
        <v>0</v>
      </c>
      <c r="E4" s="3">
        <f>COUNTIF(Vertices[Degree],"&gt;= "&amp;D4)-COUNTIF(Vertices[Degree],"&gt;="&amp;D5)</f>
        <v>0</v>
      </c>
      <c r="F4" s="38">
        <f t="shared" si="2"/>
        <v>7.352941176470588</v>
      </c>
      <c r="G4" s="39">
        <f>COUNTIF(Vertices[In-Degree],"&gt;= "&amp;F4)-COUNTIF(Vertices[In-Degree],"&gt;="&amp;F5)</f>
        <v>0</v>
      </c>
      <c r="H4" s="38">
        <f t="shared" si="3"/>
        <v>1.0588235294117645</v>
      </c>
      <c r="I4" s="39">
        <f>COUNTIF(Vertices[Out-Degree],"&gt;= "&amp;H4)-COUNTIF(Vertices[Out-Degree],"&gt;="&amp;H5)</f>
        <v>0</v>
      </c>
      <c r="J4" s="38">
        <f t="shared" si="4"/>
        <v>1342.2941176470588</v>
      </c>
      <c r="K4" s="39">
        <f>COUNTIF(Vertices[Betweenness Centrality],"&gt;= "&amp;J4)-COUNTIF(Vertices[Betweenness Centrality],"&gt;="&amp;J5)</f>
        <v>0</v>
      </c>
      <c r="L4" s="38">
        <f t="shared" si="5"/>
        <v>0.002287294117647059</v>
      </c>
      <c r="M4" s="39">
        <f>COUNTIF(Vertices[Closeness Centrality],"&gt;= "&amp;L4)-COUNTIF(Vertices[Closeness Centrality],"&gt;="&amp;L5)</f>
        <v>0</v>
      </c>
      <c r="N4" s="38">
        <f t="shared" si="6"/>
        <v>0.005494470588235294</v>
      </c>
      <c r="O4" s="39">
        <f>COUNTIF(Vertices[Eigenvector Centrality],"&gt;= "&amp;N4)-COUNTIF(Vertices[Eigenvector Centrality],"&gt;="&amp;N5)</f>
        <v>121</v>
      </c>
      <c r="P4" s="38">
        <f t="shared" si="7"/>
        <v>3.617872764705882</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11.029411764705882</v>
      </c>
      <c r="G5" s="41">
        <f>COUNTIF(Vertices[In-Degree],"&gt;= "&amp;F5)-COUNTIF(Vertices[In-Degree],"&gt;="&amp;F6)</f>
        <v>0</v>
      </c>
      <c r="H5" s="40">
        <f t="shared" si="3"/>
        <v>1.0882352941176467</v>
      </c>
      <c r="I5" s="41">
        <f>COUNTIF(Vertices[Out-Degree],"&gt;= "&amp;H5)-COUNTIF(Vertices[Out-Degree],"&gt;="&amp;H6)</f>
        <v>0</v>
      </c>
      <c r="J5" s="40">
        <f t="shared" si="4"/>
        <v>2013.4411764705883</v>
      </c>
      <c r="K5" s="41">
        <f>COUNTIF(Vertices[Betweenness Centrality],"&gt;= "&amp;J5)-COUNTIF(Vertices[Betweenness Centrality],"&gt;="&amp;J6)</f>
        <v>0</v>
      </c>
      <c r="L5" s="40">
        <f t="shared" si="5"/>
        <v>0.002389441176470588</v>
      </c>
      <c r="M5" s="41">
        <f>COUNTIF(Vertices[Closeness Centrality],"&gt;= "&amp;L5)-COUNTIF(Vertices[Closeness Centrality],"&gt;="&amp;L6)</f>
        <v>0</v>
      </c>
      <c r="N5" s="40">
        <f t="shared" si="6"/>
        <v>0.007935205882352941</v>
      </c>
      <c r="O5" s="41">
        <f>COUNTIF(Vertices[Eigenvector Centrality],"&gt;= "&amp;N5)-COUNTIF(Vertices[Eigenvector Centrality],"&gt;="&amp;N6)</f>
        <v>3</v>
      </c>
      <c r="P5" s="40">
        <f t="shared" si="7"/>
        <v>5.183955147058823</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151</v>
      </c>
      <c r="D6" s="33">
        <f t="shared" si="1"/>
        <v>0</v>
      </c>
      <c r="E6" s="3">
        <f>COUNTIF(Vertices[Degree],"&gt;= "&amp;D6)-COUNTIF(Vertices[Degree],"&gt;="&amp;D7)</f>
        <v>0</v>
      </c>
      <c r="F6" s="38">
        <f t="shared" si="2"/>
        <v>14.705882352941176</v>
      </c>
      <c r="G6" s="39">
        <f>COUNTIF(Vertices[In-Degree],"&gt;= "&amp;F6)-COUNTIF(Vertices[In-Degree],"&gt;="&amp;F7)</f>
        <v>0</v>
      </c>
      <c r="H6" s="38">
        <f t="shared" si="3"/>
        <v>1.117647058823529</v>
      </c>
      <c r="I6" s="39">
        <f>COUNTIF(Vertices[Out-Degree],"&gt;= "&amp;H6)-COUNTIF(Vertices[Out-Degree],"&gt;="&amp;H7)</f>
        <v>0</v>
      </c>
      <c r="J6" s="38">
        <f t="shared" si="4"/>
        <v>2684.5882352941176</v>
      </c>
      <c r="K6" s="39">
        <f>COUNTIF(Vertices[Betweenness Centrality],"&gt;= "&amp;J6)-COUNTIF(Vertices[Betweenness Centrality],"&gt;="&amp;J7)</f>
        <v>0</v>
      </c>
      <c r="L6" s="38">
        <f t="shared" si="5"/>
        <v>0.0024915882352941174</v>
      </c>
      <c r="M6" s="39">
        <f>COUNTIF(Vertices[Closeness Centrality],"&gt;= "&amp;L6)-COUNTIF(Vertices[Closeness Centrality],"&gt;="&amp;L7)</f>
        <v>0</v>
      </c>
      <c r="N6" s="38">
        <f t="shared" si="6"/>
        <v>0.010375941176470588</v>
      </c>
      <c r="O6" s="39">
        <f>COUNTIF(Vertices[Eigenvector Centrality],"&gt;= "&amp;N6)-COUNTIF(Vertices[Eigenvector Centrality],"&gt;="&amp;N7)</f>
        <v>0</v>
      </c>
      <c r="P6" s="38">
        <f t="shared" si="7"/>
        <v>6.750037529411764</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33</v>
      </c>
      <c r="D7" s="33">
        <f t="shared" si="1"/>
        <v>0</v>
      </c>
      <c r="E7" s="3">
        <f>COUNTIF(Vertices[Degree],"&gt;= "&amp;D7)-COUNTIF(Vertices[Degree],"&gt;="&amp;D8)</f>
        <v>0</v>
      </c>
      <c r="F7" s="40">
        <f t="shared" si="2"/>
        <v>18.38235294117647</v>
      </c>
      <c r="G7" s="41">
        <f>COUNTIF(Vertices[In-Degree],"&gt;= "&amp;F7)-COUNTIF(Vertices[In-Degree],"&gt;="&amp;F8)</f>
        <v>0</v>
      </c>
      <c r="H7" s="40">
        <f t="shared" si="3"/>
        <v>1.1470588235294112</v>
      </c>
      <c r="I7" s="41">
        <f>COUNTIF(Vertices[Out-Degree],"&gt;= "&amp;H7)-COUNTIF(Vertices[Out-Degree],"&gt;="&amp;H8)</f>
        <v>0</v>
      </c>
      <c r="J7" s="40">
        <f t="shared" si="4"/>
        <v>3355.735294117647</v>
      </c>
      <c r="K7" s="41">
        <f>COUNTIF(Vertices[Betweenness Centrality],"&gt;= "&amp;J7)-COUNTIF(Vertices[Betweenness Centrality],"&gt;="&amp;J8)</f>
        <v>0</v>
      </c>
      <c r="L7" s="40">
        <f t="shared" si="5"/>
        <v>0.0025937352941176467</v>
      </c>
      <c r="M7" s="41">
        <f>COUNTIF(Vertices[Closeness Centrality],"&gt;= "&amp;L7)-COUNTIF(Vertices[Closeness Centrality],"&gt;="&amp;L8)</f>
        <v>0</v>
      </c>
      <c r="N7" s="40">
        <f t="shared" si="6"/>
        <v>0.012816676470588234</v>
      </c>
      <c r="O7" s="41">
        <f>COUNTIF(Vertices[Eigenvector Centrality],"&gt;= "&amp;N7)-COUNTIF(Vertices[Eigenvector Centrality],"&gt;="&amp;N8)</f>
        <v>0</v>
      </c>
      <c r="P7" s="40">
        <f t="shared" si="7"/>
        <v>8.316119911764705</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184</v>
      </c>
      <c r="D8" s="33">
        <f t="shared" si="1"/>
        <v>0</v>
      </c>
      <c r="E8" s="3">
        <f>COUNTIF(Vertices[Degree],"&gt;= "&amp;D8)-COUNTIF(Vertices[Degree],"&gt;="&amp;D9)</f>
        <v>0</v>
      </c>
      <c r="F8" s="38">
        <f t="shared" si="2"/>
        <v>22.058823529411764</v>
      </c>
      <c r="G8" s="39">
        <f>COUNTIF(Vertices[In-Degree],"&gt;= "&amp;F8)-COUNTIF(Vertices[In-Degree],"&gt;="&amp;F9)</f>
        <v>0</v>
      </c>
      <c r="H8" s="38">
        <f t="shared" si="3"/>
        <v>1.1764705882352935</v>
      </c>
      <c r="I8" s="39">
        <f>COUNTIF(Vertices[Out-Degree],"&gt;= "&amp;H8)-COUNTIF(Vertices[Out-Degree],"&gt;="&amp;H9)</f>
        <v>0</v>
      </c>
      <c r="J8" s="38">
        <f t="shared" si="4"/>
        <v>4026.882352941176</v>
      </c>
      <c r="K8" s="39">
        <f>COUNTIF(Vertices[Betweenness Centrality],"&gt;= "&amp;J8)-COUNTIF(Vertices[Betweenness Centrality],"&gt;="&amp;J9)</f>
        <v>0</v>
      </c>
      <c r="L8" s="38">
        <f t="shared" si="5"/>
        <v>0.002695882352941176</v>
      </c>
      <c r="M8" s="39">
        <f>COUNTIF(Vertices[Closeness Centrality],"&gt;= "&amp;L8)-COUNTIF(Vertices[Closeness Centrality],"&gt;="&amp;L9)</f>
        <v>0</v>
      </c>
      <c r="N8" s="38">
        <f t="shared" si="6"/>
        <v>0.01525741176470588</v>
      </c>
      <c r="O8" s="39">
        <f>COUNTIF(Vertices[Eigenvector Centrality],"&gt;= "&amp;N8)-COUNTIF(Vertices[Eigenvector Centrality],"&gt;="&amp;N9)</f>
        <v>0</v>
      </c>
      <c r="P8" s="38">
        <f t="shared" si="7"/>
        <v>9.882202294117647</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25.735294117647058</v>
      </c>
      <c r="G9" s="41">
        <f>COUNTIF(Vertices[In-Degree],"&gt;= "&amp;F9)-COUNTIF(Vertices[In-Degree],"&gt;="&amp;F10)</f>
        <v>0</v>
      </c>
      <c r="H9" s="40">
        <f t="shared" si="3"/>
        <v>1.2058823529411757</v>
      </c>
      <c r="I9" s="41">
        <f>COUNTIF(Vertices[Out-Degree],"&gt;= "&amp;H9)-COUNTIF(Vertices[Out-Degree],"&gt;="&amp;H10)</f>
        <v>0</v>
      </c>
      <c r="J9" s="40">
        <f t="shared" si="4"/>
        <v>4698.029411764705</v>
      </c>
      <c r="K9" s="41">
        <f>COUNTIF(Vertices[Betweenness Centrality],"&gt;= "&amp;J9)-COUNTIF(Vertices[Betweenness Centrality],"&gt;="&amp;J10)</f>
        <v>0</v>
      </c>
      <c r="L9" s="40">
        <f t="shared" si="5"/>
        <v>0.0027980294117647053</v>
      </c>
      <c r="M9" s="41">
        <f>COUNTIF(Vertices[Closeness Centrality],"&gt;= "&amp;L9)-COUNTIF(Vertices[Closeness Centrality],"&gt;="&amp;L10)</f>
        <v>0</v>
      </c>
      <c r="N9" s="40">
        <f t="shared" si="6"/>
        <v>0.017698147058823527</v>
      </c>
      <c r="O9" s="41">
        <f>COUNTIF(Vertices[Eigenvector Centrality],"&gt;= "&amp;N9)-COUNTIF(Vertices[Eigenvector Centrality],"&gt;="&amp;N10)</f>
        <v>0</v>
      </c>
      <c r="P9" s="40">
        <f t="shared" si="7"/>
        <v>11.448284676470589</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151</v>
      </c>
      <c r="B10" s="35">
        <v>8</v>
      </c>
      <c r="D10" s="33">
        <f t="shared" si="1"/>
        <v>0</v>
      </c>
      <c r="E10" s="3">
        <f>COUNTIF(Vertices[Degree],"&gt;= "&amp;D10)-COUNTIF(Vertices[Degree],"&gt;="&amp;D11)</f>
        <v>0</v>
      </c>
      <c r="F10" s="38">
        <f t="shared" si="2"/>
        <v>29.41176470588235</v>
      </c>
      <c r="G10" s="39">
        <f>COUNTIF(Vertices[In-Degree],"&gt;= "&amp;F10)-COUNTIF(Vertices[In-Degree],"&gt;="&amp;F11)</f>
        <v>0</v>
      </c>
      <c r="H10" s="38">
        <f t="shared" si="3"/>
        <v>1.235294117647058</v>
      </c>
      <c r="I10" s="39">
        <f>COUNTIF(Vertices[Out-Degree],"&gt;= "&amp;H10)-COUNTIF(Vertices[Out-Degree],"&gt;="&amp;H11)</f>
        <v>0</v>
      </c>
      <c r="J10" s="38">
        <f t="shared" si="4"/>
        <v>5369.176470588235</v>
      </c>
      <c r="K10" s="39">
        <f>COUNTIF(Vertices[Betweenness Centrality],"&gt;= "&amp;J10)-COUNTIF(Vertices[Betweenness Centrality],"&gt;="&amp;J11)</f>
        <v>0</v>
      </c>
      <c r="L10" s="38">
        <f t="shared" si="5"/>
        <v>0.0029001764705882346</v>
      </c>
      <c r="M10" s="39">
        <f>COUNTIF(Vertices[Closeness Centrality],"&gt;= "&amp;L10)-COUNTIF(Vertices[Closeness Centrality],"&gt;="&amp;L11)</f>
        <v>0</v>
      </c>
      <c r="N10" s="38">
        <f t="shared" si="6"/>
        <v>0.020138882352941173</v>
      </c>
      <c r="O10" s="39">
        <f>COUNTIF(Vertices[Eigenvector Centrality],"&gt;= "&amp;N10)-COUNTIF(Vertices[Eigenvector Centrality],"&gt;="&amp;N11)</f>
        <v>0</v>
      </c>
      <c r="P10" s="38">
        <f t="shared" si="7"/>
        <v>13.014367058823531</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33.088235294117645</v>
      </c>
      <c r="G11" s="41">
        <f>COUNTIF(Vertices[In-Degree],"&gt;= "&amp;F11)-COUNTIF(Vertices[In-Degree],"&gt;="&amp;F12)</f>
        <v>0</v>
      </c>
      <c r="H11" s="40">
        <f t="shared" si="3"/>
        <v>1.2647058823529402</v>
      </c>
      <c r="I11" s="41">
        <f>COUNTIF(Vertices[Out-Degree],"&gt;= "&amp;H11)-COUNTIF(Vertices[Out-Degree],"&gt;="&amp;H12)</f>
        <v>0</v>
      </c>
      <c r="J11" s="40">
        <f t="shared" si="4"/>
        <v>6040.323529411765</v>
      </c>
      <c r="K11" s="41">
        <f>COUNTIF(Vertices[Betweenness Centrality],"&gt;= "&amp;J11)-COUNTIF(Vertices[Betweenness Centrality],"&gt;="&amp;J12)</f>
        <v>0</v>
      </c>
      <c r="L11" s="40">
        <f t="shared" si="5"/>
        <v>0.003002323529411764</v>
      </c>
      <c r="M11" s="41">
        <f>COUNTIF(Vertices[Closeness Centrality],"&gt;= "&amp;L11)-COUNTIF(Vertices[Closeness Centrality],"&gt;="&amp;L12)</f>
        <v>124</v>
      </c>
      <c r="N11" s="40">
        <f t="shared" si="6"/>
        <v>0.02257961764705882</v>
      </c>
      <c r="O11" s="41">
        <f>COUNTIF(Vertices[Eigenvector Centrality],"&gt;= "&amp;N11)-COUNTIF(Vertices[Eigenvector Centrality],"&gt;="&amp;N12)</f>
        <v>0</v>
      </c>
      <c r="P11" s="40">
        <f t="shared" si="7"/>
        <v>14.580449441176473</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36.76470588235294</v>
      </c>
      <c r="G12" s="39">
        <f>COUNTIF(Vertices[In-Degree],"&gt;= "&amp;F12)-COUNTIF(Vertices[In-Degree],"&gt;="&amp;F13)</f>
        <v>0</v>
      </c>
      <c r="H12" s="38">
        <f t="shared" si="3"/>
        <v>1.2941176470588225</v>
      </c>
      <c r="I12" s="39">
        <f>COUNTIF(Vertices[Out-Degree],"&gt;= "&amp;H12)-COUNTIF(Vertices[Out-Degree],"&gt;="&amp;H13)</f>
        <v>0</v>
      </c>
      <c r="J12" s="38">
        <f t="shared" si="4"/>
        <v>6711.470588235295</v>
      </c>
      <c r="K12" s="39">
        <f>COUNTIF(Vertices[Betweenness Centrality],"&gt;= "&amp;J12)-COUNTIF(Vertices[Betweenness Centrality],"&gt;="&amp;J13)</f>
        <v>0</v>
      </c>
      <c r="L12" s="38">
        <f t="shared" si="5"/>
        <v>0.003104470588235293</v>
      </c>
      <c r="M12" s="39">
        <f>COUNTIF(Vertices[Closeness Centrality],"&gt;= "&amp;L12)-COUNTIF(Vertices[Closeness Centrality],"&gt;="&amp;L13)</f>
        <v>0</v>
      </c>
      <c r="N12" s="38">
        <f t="shared" si="6"/>
        <v>0.025020352941176466</v>
      </c>
      <c r="O12" s="39">
        <f>COUNTIF(Vertices[Eigenvector Centrality],"&gt;= "&amp;N12)-COUNTIF(Vertices[Eigenvector Centrality],"&gt;="&amp;N13)</f>
        <v>0</v>
      </c>
      <c r="P12" s="38">
        <f t="shared" si="7"/>
        <v>16.146531823529415</v>
      </c>
      <c r="Q12" s="39">
        <f>COUNTIF(Vertices[PageRank],"&gt;= "&amp;P12)-COUNTIF(Vertices[PageRank],"&gt;="&amp;P13)</f>
        <v>0</v>
      </c>
      <c r="R12" s="38">
        <f t="shared" si="8"/>
        <v>0.14705882352941177</v>
      </c>
      <c r="S12" s="44">
        <f>COUNTIF(Vertices[Clustering Coefficient],"&gt;= "&amp;R12)-COUNTIF(Vertices[Clustering Coefficient],"&gt;="&amp;R13)</f>
        <v>2</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40.44117647058824</v>
      </c>
      <c r="G13" s="41">
        <f>COUNTIF(Vertices[In-Degree],"&gt;= "&amp;F13)-COUNTIF(Vertices[In-Degree],"&gt;="&amp;F14)</f>
        <v>0</v>
      </c>
      <c r="H13" s="40">
        <f t="shared" si="3"/>
        <v>1.3235294117647047</v>
      </c>
      <c r="I13" s="41">
        <f>COUNTIF(Vertices[Out-Degree],"&gt;= "&amp;H13)-COUNTIF(Vertices[Out-Degree],"&gt;="&amp;H14)</f>
        <v>0</v>
      </c>
      <c r="J13" s="40">
        <f t="shared" si="4"/>
        <v>7382.617647058824</v>
      </c>
      <c r="K13" s="41">
        <f>COUNTIF(Vertices[Betweenness Centrality],"&gt;= "&amp;J13)-COUNTIF(Vertices[Betweenness Centrality],"&gt;="&amp;J14)</f>
        <v>0</v>
      </c>
      <c r="L13" s="40">
        <f t="shared" si="5"/>
        <v>0.0032066176470588225</v>
      </c>
      <c r="M13" s="41">
        <f>COUNTIF(Vertices[Closeness Centrality],"&gt;= "&amp;L13)-COUNTIF(Vertices[Closeness Centrality],"&gt;="&amp;L14)</f>
        <v>0</v>
      </c>
      <c r="N13" s="40">
        <f t="shared" si="6"/>
        <v>0.027461088235294112</v>
      </c>
      <c r="O13" s="41">
        <f>COUNTIF(Vertices[Eigenvector Centrality],"&gt;= "&amp;N13)-COUNTIF(Vertices[Eigenvector Centrality],"&gt;="&amp;N14)</f>
        <v>0</v>
      </c>
      <c r="P13" s="40">
        <f t="shared" si="7"/>
        <v>17.712614205882357</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116"/>
      <c r="B14" s="116"/>
      <c r="D14" s="33">
        <f t="shared" si="1"/>
        <v>0</v>
      </c>
      <c r="E14" s="3">
        <f>COUNTIF(Vertices[Degree],"&gt;= "&amp;D14)-COUNTIF(Vertices[Degree],"&gt;="&amp;D15)</f>
        <v>0</v>
      </c>
      <c r="F14" s="38">
        <f t="shared" si="2"/>
        <v>44.117647058823536</v>
      </c>
      <c r="G14" s="39">
        <f>COUNTIF(Vertices[In-Degree],"&gt;= "&amp;F14)-COUNTIF(Vertices[In-Degree],"&gt;="&amp;F15)</f>
        <v>0</v>
      </c>
      <c r="H14" s="38">
        <f t="shared" si="3"/>
        <v>1.352941176470587</v>
      </c>
      <c r="I14" s="39">
        <f>COUNTIF(Vertices[Out-Degree],"&gt;= "&amp;H14)-COUNTIF(Vertices[Out-Degree],"&gt;="&amp;H15)</f>
        <v>0</v>
      </c>
      <c r="J14" s="38">
        <f t="shared" si="4"/>
        <v>8053.764705882354</v>
      </c>
      <c r="K14" s="39">
        <f>COUNTIF(Vertices[Betweenness Centrality],"&gt;= "&amp;J14)-COUNTIF(Vertices[Betweenness Centrality],"&gt;="&amp;J15)</f>
        <v>0</v>
      </c>
      <c r="L14" s="38">
        <f t="shared" si="5"/>
        <v>0.0033087647058823518</v>
      </c>
      <c r="M14" s="39">
        <f>COUNTIF(Vertices[Closeness Centrality],"&gt;= "&amp;L14)-COUNTIF(Vertices[Closeness Centrality],"&gt;="&amp;L15)</f>
        <v>0</v>
      </c>
      <c r="N14" s="38">
        <f t="shared" si="6"/>
        <v>0.02990182352941176</v>
      </c>
      <c r="O14" s="39">
        <f>COUNTIF(Vertices[Eigenvector Centrality],"&gt;= "&amp;N14)-COUNTIF(Vertices[Eigenvector Centrality],"&gt;="&amp;N15)</f>
        <v>0</v>
      </c>
      <c r="P14" s="38">
        <f t="shared" si="7"/>
        <v>19.2786965882353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47.79411764705883</v>
      </c>
      <c r="G15" s="41">
        <f>COUNTIF(Vertices[In-Degree],"&gt;= "&amp;F15)-COUNTIF(Vertices[In-Degree],"&gt;="&amp;F16)</f>
        <v>0</v>
      </c>
      <c r="H15" s="40">
        <f t="shared" si="3"/>
        <v>1.3823529411764692</v>
      </c>
      <c r="I15" s="41">
        <f>COUNTIF(Vertices[Out-Degree],"&gt;= "&amp;H15)-COUNTIF(Vertices[Out-Degree],"&gt;="&amp;H16)</f>
        <v>0</v>
      </c>
      <c r="J15" s="40">
        <f t="shared" si="4"/>
        <v>8724.911764705883</v>
      </c>
      <c r="K15" s="41">
        <f>COUNTIF(Vertices[Betweenness Centrality],"&gt;= "&amp;J15)-COUNTIF(Vertices[Betweenness Centrality],"&gt;="&amp;J16)</f>
        <v>0</v>
      </c>
      <c r="L15" s="40">
        <f t="shared" si="5"/>
        <v>0.003410911764705881</v>
      </c>
      <c r="M15" s="41">
        <f>COUNTIF(Vertices[Closeness Centrality],"&gt;= "&amp;L15)-COUNTIF(Vertices[Closeness Centrality],"&gt;="&amp;L16)</f>
        <v>0</v>
      </c>
      <c r="N15" s="40">
        <f t="shared" si="6"/>
        <v>0.032342558823529405</v>
      </c>
      <c r="O15" s="41">
        <f>COUNTIF(Vertices[Eigenvector Centrality],"&gt;= "&amp;N15)-COUNTIF(Vertices[Eigenvector Centrality],"&gt;="&amp;N16)</f>
        <v>0</v>
      </c>
      <c r="P15" s="40">
        <f t="shared" si="7"/>
        <v>20.84477897058824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51.47058823529413</v>
      </c>
      <c r="G16" s="39">
        <f>COUNTIF(Vertices[In-Degree],"&gt;= "&amp;F16)-COUNTIF(Vertices[In-Degree],"&gt;="&amp;F17)</f>
        <v>0</v>
      </c>
      <c r="H16" s="38">
        <f t="shared" si="3"/>
        <v>1.4117647058823515</v>
      </c>
      <c r="I16" s="39">
        <f>COUNTIF(Vertices[Out-Degree],"&gt;= "&amp;H16)-COUNTIF(Vertices[Out-Degree],"&gt;="&amp;H17)</f>
        <v>0</v>
      </c>
      <c r="J16" s="38">
        <f t="shared" si="4"/>
        <v>9396.058823529413</v>
      </c>
      <c r="K16" s="39">
        <f>COUNTIF(Vertices[Betweenness Centrality],"&gt;= "&amp;J16)-COUNTIF(Vertices[Betweenness Centrality],"&gt;="&amp;J17)</f>
        <v>0</v>
      </c>
      <c r="L16" s="38">
        <f t="shared" si="5"/>
        <v>0.0035130588235294104</v>
      </c>
      <c r="M16" s="39">
        <f>COUNTIF(Vertices[Closeness Centrality],"&gt;= "&amp;L16)-COUNTIF(Vertices[Closeness Centrality],"&gt;="&amp;L17)</f>
        <v>0</v>
      </c>
      <c r="N16" s="38">
        <f t="shared" si="6"/>
        <v>0.03478329411764705</v>
      </c>
      <c r="O16" s="39">
        <f>COUNTIF(Vertices[Eigenvector Centrality],"&gt;= "&amp;N16)-COUNTIF(Vertices[Eigenvector Centrality],"&gt;="&amp;N17)</f>
        <v>0</v>
      </c>
      <c r="P16" s="38">
        <f t="shared" si="7"/>
        <v>22.410861352941183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154</v>
      </c>
      <c r="B17" s="35">
        <v>153</v>
      </c>
      <c r="D17" s="33">
        <f t="shared" si="1"/>
        <v>0</v>
      </c>
      <c r="E17" s="3">
        <f>COUNTIF(Vertices[Degree],"&gt;= "&amp;D17)-COUNTIF(Vertices[Degree],"&gt;="&amp;D18)</f>
        <v>0</v>
      </c>
      <c r="F17" s="40">
        <f t="shared" si="2"/>
        <v>55.14705882352943</v>
      </c>
      <c r="G17" s="41">
        <f>COUNTIF(Vertices[In-Degree],"&gt;= "&amp;F17)-COUNTIF(Vertices[In-Degree],"&gt;="&amp;F18)</f>
        <v>0</v>
      </c>
      <c r="H17" s="40">
        <f t="shared" si="3"/>
        <v>1.4411764705882337</v>
      </c>
      <c r="I17" s="41">
        <f>COUNTIF(Vertices[Out-Degree],"&gt;= "&amp;H17)-COUNTIF(Vertices[Out-Degree],"&gt;="&amp;H18)</f>
        <v>0</v>
      </c>
      <c r="J17" s="40">
        <f t="shared" si="4"/>
        <v>10067.205882352942</v>
      </c>
      <c r="K17" s="41">
        <f>COUNTIF(Vertices[Betweenness Centrality],"&gt;= "&amp;J17)-COUNTIF(Vertices[Betweenness Centrality],"&gt;="&amp;J18)</f>
        <v>0</v>
      </c>
      <c r="L17" s="40">
        <f t="shared" si="5"/>
        <v>0.0036152058823529397</v>
      </c>
      <c r="M17" s="41">
        <f>COUNTIF(Vertices[Closeness Centrality],"&gt;= "&amp;L17)-COUNTIF(Vertices[Closeness Centrality],"&gt;="&amp;L18)</f>
        <v>0</v>
      </c>
      <c r="N17" s="40">
        <f t="shared" si="6"/>
        <v>0.0372240294117647</v>
      </c>
      <c r="O17" s="41">
        <f>COUNTIF(Vertices[Eigenvector Centrality],"&gt;= "&amp;N17)-COUNTIF(Vertices[Eigenvector Centrality],"&gt;="&amp;N18)</f>
        <v>0</v>
      </c>
      <c r="P17" s="40">
        <f t="shared" si="7"/>
        <v>23.976943735294125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155</v>
      </c>
      <c r="B18" s="35">
        <v>184</v>
      </c>
      <c r="D18" s="33">
        <f t="shared" si="1"/>
        <v>0</v>
      </c>
      <c r="E18" s="3">
        <f>COUNTIF(Vertices[Degree],"&gt;= "&amp;D18)-COUNTIF(Vertices[Degree],"&gt;="&amp;D19)</f>
        <v>0</v>
      </c>
      <c r="F18" s="38">
        <f t="shared" si="2"/>
        <v>58.823529411764724</v>
      </c>
      <c r="G18" s="39">
        <f>COUNTIF(Vertices[In-Degree],"&gt;= "&amp;F18)-COUNTIF(Vertices[In-Degree],"&gt;="&amp;F19)</f>
        <v>0</v>
      </c>
      <c r="H18" s="38">
        <f t="shared" si="3"/>
        <v>1.470588235294116</v>
      </c>
      <c r="I18" s="39">
        <f>COUNTIF(Vertices[Out-Degree],"&gt;= "&amp;H18)-COUNTIF(Vertices[Out-Degree],"&gt;="&amp;H19)</f>
        <v>0</v>
      </c>
      <c r="J18" s="38">
        <f t="shared" si="4"/>
        <v>10738.352941176472</v>
      </c>
      <c r="K18" s="39">
        <f>COUNTIF(Vertices[Betweenness Centrality],"&gt;= "&amp;J18)-COUNTIF(Vertices[Betweenness Centrality],"&gt;="&amp;J19)</f>
        <v>0</v>
      </c>
      <c r="L18" s="38">
        <f t="shared" si="5"/>
        <v>0.003717352941176469</v>
      </c>
      <c r="M18" s="39">
        <f>COUNTIF(Vertices[Closeness Centrality],"&gt;= "&amp;L18)-COUNTIF(Vertices[Closeness Centrality],"&gt;="&amp;L19)</f>
        <v>0</v>
      </c>
      <c r="N18" s="38">
        <f t="shared" si="6"/>
        <v>0.039664764705882344</v>
      </c>
      <c r="O18" s="39">
        <f>COUNTIF(Vertices[Eigenvector Centrality],"&gt;= "&amp;N18)-COUNTIF(Vertices[Eigenvector Centrality],"&gt;="&amp;N19)</f>
        <v>0</v>
      </c>
      <c r="P18" s="38">
        <f t="shared" si="7"/>
        <v>25.543026117647067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62.50000000000002</v>
      </c>
      <c r="G19" s="41">
        <f>COUNTIF(Vertices[In-Degree],"&gt;= "&amp;F19)-COUNTIF(Vertices[In-Degree],"&gt;="&amp;F20)</f>
        <v>0</v>
      </c>
      <c r="H19" s="40">
        <f t="shared" si="3"/>
        <v>1.4999999999999982</v>
      </c>
      <c r="I19" s="41">
        <f>COUNTIF(Vertices[Out-Degree],"&gt;= "&amp;H19)-COUNTIF(Vertices[Out-Degree],"&gt;="&amp;H20)</f>
        <v>0</v>
      </c>
      <c r="J19" s="40">
        <f t="shared" si="4"/>
        <v>11409.500000000002</v>
      </c>
      <c r="K19" s="41">
        <f>COUNTIF(Vertices[Betweenness Centrality],"&gt;= "&amp;J19)-COUNTIF(Vertices[Betweenness Centrality],"&gt;="&amp;J20)</f>
        <v>0</v>
      </c>
      <c r="L19" s="40">
        <f t="shared" si="5"/>
        <v>0.0038194999999999982</v>
      </c>
      <c r="M19" s="41">
        <f>COUNTIF(Vertices[Closeness Centrality],"&gt;= "&amp;L19)-COUNTIF(Vertices[Closeness Centrality],"&gt;="&amp;L20)</f>
        <v>0</v>
      </c>
      <c r="N19" s="40">
        <f t="shared" si="6"/>
        <v>0.04210549999999999</v>
      </c>
      <c r="O19" s="41">
        <f>COUNTIF(Vertices[Eigenvector Centrality],"&gt;= "&amp;N19)-COUNTIF(Vertices[Eigenvector Centrality],"&gt;="&amp;N20)</f>
        <v>0</v>
      </c>
      <c r="P19" s="40">
        <f t="shared" si="7"/>
        <v>27.10910850000001</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156</v>
      </c>
      <c r="B20" s="35">
        <v>4</v>
      </c>
      <c r="D20" s="33">
        <f t="shared" si="1"/>
        <v>0</v>
      </c>
      <c r="E20" s="3">
        <f>COUNTIF(Vertices[Degree],"&gt;= "&amp;D20)-COUNTIF(Vertices[Degree],"&gt;="&amp;D21)</f>
        <v>0</v>
      </c>
      <c r="F20" s="38">
        <f t="shared" si="2"/>
        <v>66.17647058823532</v>
      </c>
      <c r="G20" s="39">
        <f>COUNTIF(Vertices[In-Degree],"&gt;= "&amp;F20)-COUNTIF(Vertices[In-Degree],"&gt;="&amp;F21)</f>
        <v>0</v>
      </c>
      <c r="H20" s="38">
        <f t="shared" si="3"/>
        <v>1.5294117647058805</v>
      </c>
      <c r="I20" s="39">
        <f>COUNTIF(Vertices[Out-Degree],"&gt;= "&amp;H20)-COUNTIF(Vertices[Out-Degree],"&gt;="&amp;H21)</f>
        <v>0</v>
      </c>
      <c r="J20" s="38">
        <f t="shared" si="4"/>
        <v>12080.647058823532</v>
      </c>
      <c r="K20" s="39">
        <f>COUNTIF(Vertices[Betweenness Centrality],"&gt;= "&amp;J20)-COUNTIF(Vertices[Betweenness Centrality],"&gt;="&amp;J21)</f>
        <v>0</v>
      </c>
      <c r="L20" s="38">
        <f t="shared" si="5"/>
        <v>0.003921647058823528</v>
      </c>
      <c r="M20" s="39">
        <f>COUNTIF(Vertices[Closeness Centrality],"&gt;= "&amp;L20)-COUNTIF(Vertices[Closeness Centrality],"&gt;="&amp;L21)</f>
        <v>0</v>
      </c>
      <c r="N20" s="38">
        <f t="shared" si="6"/>
        <v>0.044546235294117636</v>
      </c>
      <c r="O20" s="39">
        <f>COUNTIF(Vertices[Eigenvector Centrality],"&gt;= "&amp;N20)-COUNTIF(Vertices[Eigenvector Centrality],"&gt;="&amp;N21)</f>
        <v>0</v>
      </c>
      <c r="P20" s="38">
        <f t="shared" si="7"/>
        <v>28.67519088235295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157</v>
      </c>
      <c r="B21" s="35">
        <v>2.32825</v>
      </c>
      <c r="D21" s="33">
        <f t="shared" si="1"/>
        <v>0</v>
      </c>
      <c r="E21" s="3">
        <f>COUNTIF(Vertices[Degree],"&gt;= "&amp;D21)-COUNTIF(Vertices[Degree],"&gt;="&amp;D22)</f>
        <v>0</v>
      </c>
      <c r="F21" s="40">
        <f t="shared" si="2"/>
        <v>69.85294117647061</v>
      </c>
      <c r="G21" s="41">
        <f>COUNTIF(Vertices[In-Degree],"&gt;= "&amp;F21)-COUNTIF(Vertices[In-Degree],"&gt;="&amp;F22)</f>
        <v>0</v>
      </c>
      <c r="H21" s="40">
        <f t="shared" si="3"/>
        <v>1.5588235294117627</v>
      </c>
      <c r="I21" s="41">
        <f>COUNTIF(Vertices[Out-Degree],"&gt;= "&amp;H21)-COUNTIF(Vertices[Out-Degree],"&gt;="&amp;H22)</f>
        <v>0</v>
      </c>
      <c r="J21" s="40">
        <f t="shared" si="4"/>
        <v>12751.794117647061</v>
      </c>
      <c r="K21" s="41">
        <f>COUNTIF(Vertices[Betweenness Centrality],"&gt;= "&amp;J21)-COUNTIF(Vertices[Betweenness Centrality],"&gt;="&amp;J22)</f>
        <v>0</v>
      </c>
      <c r="L21" s="40">
        <f t="shared" si="5"/>
        <v>0.004023794117647058</v>
      </c>
      <c r="M21" s="41">
        <f>COUNTIF(Vertices[Closeness Centrality],"&gt;= "&amp;L21)-COUNTIF(Vertices[Closeness Centrality],"&gt;="&amp;L22)</f>
        <v>0</v>
      </c>
      <c r="N21" s="40">
        <f t="shared" si="6"/>
        <v>0.04698697058823528</v>
      </c>
      <c r="O21" s="41">
        <f>COUNTIF(Vertices[Eigenvector Centrality],"&gt;= "&amp;N21)-COUNTIF(Vertices[Eigenvector Centrality],"&gt;="&amp;N22)</f>
        <v>0</v>
      </c>
      <c r="P21" s="40">
        <f t="shared" si="7"/>
        <v>30.241273264705892</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73.5294117647059</v>
      </c>
      <c r="G22" s="39">
        <f>COUNTIF(Vertices[In-Degree],"&gt;= "&amp;F22)-COUNTIF(Vertices[In-Degree],"&gt;="&amp;F23)</f>
        <v>0</v>
      </c>
      <c r="H22" s="38">
        <f t="shared" si="3"/>
        <v>1.588235294117645</v>
      </c>
      <c r="I22" s="39">
        <f>COUNTIF(Vertices[Out-Degree],"&gt;= "&amp;H22)-COUNTIF(Vertices[Out-Degree],"&gt;="&amp;H23)</f>
        <v>0</v>
      </c>
      <c r="J22" s="38">
        <f t="shared" si="4"/>
        <v>13422.941176470591</v>
      </c>
      <c r="K22" s="39">
        <f>COUNTIF(Vertices[Betweenness Centrality],"&gt;= "&amp;J22)-COUNTIF(Vertices[Betweenness Centrality],"&gt;="&amp;J23)</f>
        <v>0</v>
      </c>
      <c r="L22" s="38">
        <f t="shared" si="5"/>
        <v>0.004125941176470587</v>
      </c>
      <c r="M22" s="39">
        <f>COUNTIF(Vertices[Closeness Centrality],"&gt;= "&amp;L22)-COUNTIF(Vertices[Closeness Centrality],"&gt;="&amp;L23)</f>
        <v>0</v>
      </c>
      <c r="N22" s="38">
        <f t="shared" si="6"/>
        <v>0.04942770588235293</v>
      </c>
      <c r="O22" s="39">
        <f>COUNTIF(Vertices[Eigenvector Centrality],"&gt;= "&amp;N22)-COUNTIF(Vertices[Eigenvector Centrality],"&gt;="&amp;N23)</f>
        <v>0</v>
      </c>
      <c r="P22" s="38">
        <f t="shared" si="7"/>
        <v>31.807355647058834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158</v>
      </c>
      <c r="B23" s="35">
        <v>0.0068799449604403165</v>
      </c>
      <c r="D23" s="33">
        <f t="shared" si="1"/>
        <v>0</v>
      </c>
      <c r="E23" s="3">
        <f>COUNTIF(Vertices[Degree],"&gt;= "&amp;D23)-COUNTIF(Vertices[Degree],"&gt;="&amp;D24)</f>
        <v>0</v>
      </c>
      <c r="F23" s="40">
        <f t="shared" si="2"/>
        <v>77.20588235294119</v>
      </c>
      <c r="G23" s="41">
        <f>COUNTIF(Vertices[In-Degree],"&gt;= "&amp;F23)-COUNTIF(Vertices[In-Degree],"&gt;="&amp;F24)</f>
        <v>0</v>
      </c>
      <c r="H23" s="40">
        <f t="shared" si="3"/>
        <v>1.6176470588235272</v>
      </c>
      <c r="I23" s="41">
        <f>COUNTIF(Vertices[Out-Degree],"&gt;= "&amp;H23)-COUNTIF(Vertices[Out-Degree],"&gt;="&amp;H24)</f>
        <v>0</v>
      </c>
      <c r="J23" s="40">
        <f t="shared" si="4"/>
        <v>14094.08823529412</v>
      </c>
      <c r="K23" s="41">
        <f>COUNTIF(Vertices[Betweenness Centrality],"&gt;= "&amp;J23)-COUNTIF(Vertices[Betweenness Centrality],"&gt;="&amp;J24)</f>
        <v>0</v>
      </c>
      <c r="L23" s="40">
        <f t="shared" si="5"/>
        <v>0.004228088235294117</v>
      </c>
      <c r="M23" s="41">
        <f>COUNTIF(Vertices[Closeness Centrality],"&gt;= "&amp;L23)-COUNTIF(Vertices[Closeness Centrality],"&gt;="&amp;L24)</f>
        <v>0</v>
      </c>
      <c r="N23" s="40">
        <f t="shared" si="6"/>
        <v>0.051868441176470576</v>
      </c>
      <c r="O23" s="41">
        <f>COUNTIF(Vertices[Eigenvector Centrality],"&gt;= "&amp;N23)-COUNTIF(Vertices[Eigenvector Centrality],"&gt;="&amp;N24)</f>
        <v>0</v>
      </c>
      <c r="P23" s="40">
        <f t="shared" si="7"/>
        <v>33.37343802941177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1182</v>
      </c>
      <c r="B24" s="35">
        <v>0.374358</v>
      </c>
      <c r="D24" s="33">
        <f t="shared" si="1"/>
        <v>0</v>
      </c>
      <c r="E24" s="3">
        <f>COUNTIF(Vertices[Degree],"&gt;= "&amp;D24)-COUNTIF(Vertices[Degree],"&gt;="&amp;D25)</f>
        <v>0</v>
      </c>
      <c r="F24" s="38">
        <f t="shared" si="2"/>
        <v>80.88235294117648</v>
      </c>
      <c r="G24" s="39">
        <f>COUNTIF(Vertices[In-Degree],"&gt;= "&amp;F24)-COUNTIF(Vertices[In-Degree],"&gt;="&amp;F25)</f>
        <v>0</v>
      </c>
      <c r="H24" s="38">
        <f t="shared" si="3"/>
        <v>1.6470588235294095</v>
      </c>
      <c r="I24" s="39">
        <f>COUNTIF(Vertices[Out-Degree],"&gt;= "&amp;H24)-COUNTIF(Vertices[Out-Degree],"&gt;="&amp;H25)</f>
        <v>0</v>
      </c>
      <c r="J24" s="38">
        <f t="shared" si="4"/>
        <v>14765.23529411765</v>
      </c>
      <c r="K24" s="39">
        <f>COUNTIF(Vertices[Betweenness Centrality],"&gt;= "&amp;J24)-COUNTIF(Vertices[Betweenness Centrality],"&gt;="&amp;J25)</f>
        <v>0</v>
      </c>
      <c r="L24" s="38">
        <f t="shared" si="5"/>
        <v>0.004330235294117647</v>
      </c>
      <c r="M24" s="39">
        <f>COUNTIF(Vertices[Closeness Centrality],"&gt;= "&amp;L24)-COUNTIF(Vertices[Closeness Centrality],"&gt;="&amp;L25)</f>
        <v>0</v>
      </c>
      <c r="N24" s="38">
        <f t="shared" si="6"/>
        <v>0.05430917647058822</v>
      </c>
      <c r="O24" s="39">
        <f>COUNTIF(Vertices[Eigenvector Centrality],"&gt;= "&amp;N24)-COUNTIF(Vertices[Eigenvector Centrality],"&gt;="&amp;N25)</f>
        <v>0</v>
      </c>
      <c r="P24" s="38">
        <f t="shared" si="7"/>
        <v>34.93952041176471</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116"/>
      <c r="B25" s="116"/>
      <c r="D25" s="33">
        <f t="shared" si="1"/>
        <v>0</v>
      </c>
      <c r="E25" s="3">
        <f>COUNTIF(Vertices[Degree],"&gt;= "&amp;D25)-COUNTIF(Vertices[Degree],"&gt;="&amp;D26)</f>
        <v>0</v>
      </c>
      <c r="F25" s="40">
        <f t="shared" si="2"/>
        <v>84.55882352941177</v>
      </c>
      <c r="G25" s="41">
        <f>COUNTIF(Vertices[In-Degree],"&gt;= "&amp;F25)-COUNTIF(Vertices[In-Degree],"&gt;="&amp;F26)</f>
        <v>0</v>
      </c>
      <c r="H25" s="40">
        <f t="shared" si="3"/>
        <v>1.6764705882352917</v>
      </c>
      <c r="I25" s="41">
        <f>COUNTIF(Vertices[Out-Degree],"&gt;= "&amp;H25)-COUNTIF(Vertices[Out-Degree],"&gt;="&amp;H26)</f>
        <v>0</v>
      </c>
      <c r="J25" s="40">
        <f t="shared" si="4"/>
        <v>15436.38235294118</v>
      </c>
      <c r="K25" s="41">
        <f>COUNTIF(Vertices[Betweenness Centrality],"&gt;= "&amp;J25)-COUNTIF(Vertices[Betweenness Centrality],"&gt;="&amp;J26)</f>
        <v>0</v>
      </c>
      <c r="L25" s="40">
        <f t="shared" si="5"/>
        <v>0.004432382352941177</v>
      </c>
      <c r="M25" s="41">
        <f>COUNTIF(Vertices[Closeness Centrality],"&gt;= "&amp;L25)-COUNTIF(Vertices[Closeness Centrality],"&gt;="&amp;L26)</f>
        <v>0</v>
      </c>
      <c r="N25" s="40">
        <f t="shared" si="6"/>
        <v>0.05674991176470587</v>
      </c>
      <c r="O25" s="41">
        <f>COUNTIF(Vertices[Eigenvector Centrality],"&gt;= "&amp;N25)-COUNTIF(Vertices[Eigenvector Centrality],"&gt;="&amp;N26)</f>
        <v>0</v>
      </c>
      <c r="P25" s="40">
        <f t="shared" si="7"/>
        <v>36.50560279411765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1183</v>
      </c>
      <c r="B26" s="35" t="s">
        <v>1198</v>
      </c>
      <c r="D26" s="33">
        <f t="shared" si="1"/>
        <v>0</v>
      </c>
      <c r="E26" s="3">
        <f>COUNTIF(Vertices[Degree],"&gt;= "&amp;D26)-COUNTIF(Vertices[Degree],"&gt;="&amp;D27)</f>
        <v>0</v>
      </c>
      <c r="F26" s="38">
        <f t="shared" si="2"/>
        <v>88.23529411764706</v>
      </c>
      <c r="G26" s="39">
        <f>COUNTIF(Vertices[In-Degree],"&gt;= "&amp;F26)-COUNTIF(Vertices[In-Degree],"&gt;="&amp;F27)</f>
        <v>0</v>
      </c>
      <c r="H26" s="38">
        <f t="shared" si="3"/>
        <v>1.705882352941174</v>
      </c>
      <c r="I26" s="39">
        <f>COUNTIF(Vertices[Out-Degree],"&gt;= "&amp;H26)-COUNTIF(Vertices[Out-Degree],"&gt;="&amp;H27)</f>
        <v>0</v>
      </c>
      <c r="J26" s="38">
        <f t="shared" si="4"/>
        <v>16107.52941176471</v>
      </c>
      <c r="K26" s="39">
        <f>COUNTIF(Vertices[Betweenness Centrality],"&gt;= "&amp;J26)-COUNTIF(Vertices[Betweenness Centrality],"&gt;="&amp;J27)</f>
        <v>0</v>
      </c>
      <c r="L26" s="38">
        <f t="shared" si="5"/>
        <v>0.004534529411764706</v>
      </c>
      <c r="M26" s="39">
        <f>COUNTIF(Vertices[Closeness Centrality],"&gt;= "&amp;L26)-COUNTIF(Vertices[Closeness Centrality],"&gt;="&amp;L27)</f>
        <v>0</v>
      </c>
      <c r="N26" s="38">
        <f t="shared" si="6"/>
        <v>0.059190647058823515</v>
      </c>
      <c r="O26" s="39">
        <f>COUNTIF(Vertices[Eigenvector Centrality],"&gt;= "&amp;N26)-COUNTIF(Vertices[Eigenvector Centrality],"&gt;="&amp;N27)</f>
        <v>0</v>
      </c>
      <c r="P26" s="38">
        <f t="shared" si="7"/>
        <v>38.07168517647059</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91.91176470588235</v>
      </c>
      <c r="G27" s="41">
        <f>COUNTIF(Vertices[In-Degree],"&gt;= "&amp;F27)-COUNTIF(Vertices[In-Degree],"&gt;="&amp;F28)</f>
        <v>0</v>
      </c>
      <c r="H27" s="40">
        <f t="shared" si="3"/>
        <v>1.7352941176470562</v>
      </c>
      <c r="I27" s="41">
        <f>COUNTIF(Vertices[Out-Degree],"&gt;= "&amp;H27)-COUNTIF(Vertices[Out-Degree],"&gt;="&amp;H28)</f>
        <v>0</v>
      </c>
      <c r="J27" s="40">
        <f t="shared" si="4"/>
        <v>16778.676470588238</v>
      </c>
      <c r="K27" s="41">
        <f>COUNTIF(Vertices[Betweenness Centrality],"&gt;= "&amp;J27)-COUNTIF(Vertices[Betweenness Centrality],"&gt;="&amp;J28)</f>
        <v>0</v>
      </c>
      <c r="L27" s="40">
        <f t="shared" si="5"/>
        <v>0.004636676470588236</v>
      </c>
      <c r="M27" s="41">
        <f>COUNTIF(Vertices[Closeness Centrality],"&gt;= "&amp;L27)-COUNTIF(Vertices[Closeness Centrality],"&gt;="&amp;L28)</f>
        <v>0</v>
      </c>
      <c r="N27" s="40">
        <f t="shared" si="6"/>
        <v>0.06163138235294116</v>
      </c>
      <c r="O27" s="41">
        <f>COUNTIF(Vertices[Eigenvector Centrality],"&gt;= "&amp;N27)-COUNTIF(Vertices[Eigenvector Centrality],"&gt;="&amp;N28)</f>
        <v>0</v>
      </c>
      <c r="P27" s="40">
        <f t="shared" si="7"/>
        <v>39.637767558823526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1184</v>
      </c>
      <c r="B28" s="35" t="s">
        <v>1634</v>
      </c>
      <c r="D28" s="33">
        <f t="shared" si="1"/>
        <v>0</v>
      </c>
      <c r="E28" s="3">
        <f>COUNTIF(Vertices[Degree],"&gt;= "&amp;D28)-COUNTIF(Vertices[Degree],"&gt;="&amp;D29)</f>
        <v>0</v>
      </c>
      <c r="F28" s="38">
        <f t="shared" si="2"/>
        <v>95.58823529411764</v>
      </c>
      <c r="G28" s="39">
        <f>COUNTIF(Vertices[In-Degree],"&gt;= "&amp;F28)-COUNTIF(Vertices[In-Degree],"&gt;="&amp;F29)</f>
        <v>0</v>
      </c>
      <c r="H28" s="38">
        <f t="shared" si="3"/>
        <v>1.7647058823529385</v>
      </c>
      <c r="I28" s="39">
        <f>COUNTIF(Vertices[Out-Degree],"&gt;= "&amp;H28)-COUNTIF(Vertices[Out-Degree],"&gt;="&amp;H29)</f>
        <v>0</v>
      </c>
      <c r="J28" s="38">
        <f t="shared" si="4"/>
        <v>17449.823529411766</v>
      </c>
      <c r="K28" s="39">
        <f>COUNTIF(Vertices[Betweenness Centrality],"&gt;= "&amp;J28)-COUNTIF(Vertices[Betweenness Centrality],"&gt;="&amp;J29)</f>
        <v>0</v>
      </c>
      <c r="L28" s="38">
        <f t="shared" si="5"/>
        <v>0.004738823529411766</v>
      </c>
      <c r="M28" s="39">
        <f>COUNTIF(Vertices[Closeness Centrality],"&gt;= "&amp;L28)-COUNTIF(Vertices[Closeness Centrality],"&gt;="&amp;L29)</f>
        <v>0</v>
      </c>
      <c r="N28" s="38">
        <f t="shared" si="6"/>
        <v>0.06407211764705881</v>
      </c>
      <c r="O28" s="39">
        <f>COUNTIF(Vertices[Eigenvector Centrality],"&gt;= "&amp;N28)-COUNTIF(Vertices[Eigenvector Centrality],"&gt;="&amp;N29)</f>
        <v>0</v>
      </c>
      <c r="P28" s="38">
        <f t="shared" si="7"/>
        <v>41.203849941176465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1185</v>
      </c>
      <c r="B29" s="35" t="s">
        <v>1635</v>
      </c>
      <c r="D29" s="33">
        <f t="shared" si="1"/>
        <v>0</v>
      </c>
      <c r="E29" s="3">
        <f>COUNTIF(Vertices[Degree],"&gt;= "&amp;D29)-COUNTIF(Vertices[Degree],"&gt;="&amp;D30)</f>
        <v>0</v>
      </c>
      <c r="F29" s="40">
        <f t="shared" si="2"/>
        <v>99.26470588235293</v>
      </c>
      <c r="G29" s="41">
        <f>COUNTIF(Vertices[In-Degree],"&gt;= "&amp;F29)-COUNTIF(Vertices[In-Degree],"&gt;="&amp;F30)</f>
        <v>0</v>
      </c>
      <c r="H29" s="40">
        <f t="shared" si="3"/>
        <v>1.7941176470588207</v>
      </c>
      <c r="I29" s="41">
        <f>COUNTIF(Vertices[Out-Degree],"&gt;= "&amp;H29)-COUNTIF(Vertices[Out-Degree],"&gt;="&amp;H30)</f>
        <v>0</v>
      </c>
      <c r="J29" s="40">
        <f t="shared" si="4"/>
        <v>18120.970588235294</v>
      </c>
      <c r="K29" s="41">
        <f>COUNTIF(Vertices[Betweenness Centrality],"&gt;= "&amp;J29)-COUNTIF(Vertices[Betweenness Centrality],"&gt;="&amp;J30)</f>
        <v>0</v>
      </c>
      <c r="L29" s="40">
        <f t="shared" si="5"/>
        <v>0.0048409705882352955</v>
      </c>
      <c r="M29" s="41">
        <f>COUNTIF(Vertices[Closeness Centrality],"&gt;= "&amp;L29)-COUNTIF(Vertices[Closeness Centrality],"&gt;="&amp;L30)</f>
        <v>0</v>
      </c>
      <c r="N29" s="40">
        <f t="shared" si="6"/>
        <v>0.06651285294117645</v>
      </c>
      <c r="O29" s="41">
        <f>COUNTIF(Vertices[Eigenvector Centrality],"&gt;= "&amp;N29)-COUNTIF(Vertices[Eigenvector Centrality],"&gt;="&amp;N30)</f>
        <v>0</v>
      </c>
      <c r="P29" s="40">
        <f t="shared" si="7"/>
        <v>42.7699323235294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102.94117647058822</v>
      </c>
      <c r="G30" s="39">
        <f>COUNTIF(Vertices[In-Degree],"&gt;= "&amp;F30)-COUNTIF(Vertices[In-Degree],"&gt;="&amp;F31)</f>
        <v>0</v>
      </c>
      <c r="H30" s="38">
        <f t="shared" si="3"/>
        <v>1.823529411764703</v>
      </c>
      <c r="I30" s="39">
        <f>COUNTIF(Vertices[Out-Degree],"&gt;= "&amp;H30)-COUNTIF(Vertices[Out-Degree],"&gt;="&amp;H31)</f>
        <v>0</v>
      </c>
      <c r="J30" s="38">
        <f t="shared" si="4"/>
        <v>18792.11764705882</v>
      </c>
      <c r="K30" s="39">
        <f>COUNTIF(Vertices[Betweenness Centrality],"&gt;= "&amp;J30)-COUNTIF(Vertices[Betweenness Centrality],"&gt;="&amp;J31)</f>
        <v>0</v>
      </c>
      <c r="L30" s="38">
        <f t="shared" si="5"/>
        <v>0.004943117647058825</v>
      </c>
      <c r="M30" s="39">
        <f>COUNTIF(Vertices[Closeness Centrality],"&gt;= "&amp;L30)-COUNTIF(Vertices[Closeness Centrality],"&gt;="&amp;L31)</f>
        <v>0</v>
      </c>
      <c r="N30" s="38">
        <f t="shared" si="6"/>
        <v>0.0689535882352941</v>
      </c>
      <c r="O30" s="39">
        <f>COUNTIF(Vertices[Eigenvector Centrality],"&gt;= "&amp;N30)-COUNTIF(Vertices[Eigenvector Centrality],"&gt;="&amp;N31)</f>
        <v>0</v>
      </c>
      <c r="P30" s="38">
        <f t="shared" si="7"/>
        <v>44.33601470588234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1186</v>
      </c>
      <c r="B31" s="35" t="s">
        <v>1629</v>
      </c>
      <c r="D31" s="33">
        <f t="shared" si="1"/>
        <v>0</v>
      </c>
      <c r="E31" s="3">
        <f>COUNTIF(Vertices[Degree],"&gt;= "&amp;D31)-COUNTIF(Vertices[Degree],"&gt;="&amp;D32)</f>
        <v>0</v>
      </c>
      <c r="F31" s="40">
        <f t="shared" si="2"/>
        <v>106.61764705882351</v>
      </c>
      <c r="G31" s="41">
        <f>COUNTIF(Vertices[In-Degree],"&gt;= "&amp;F31)-COUNTIF(Vertices[In-Degree],"&gt;="&amp;F32)</f>
        <v>0</v>
      </c>
      <c r="H31" s="40">
        <f t="shared" si="3"/>
        <v>1.8529411764705852</v>
      </c>
      <c r="I31" s="41">
        <f>COUNTIF(Vertices[Out-Degree],"&gt;= "&amp;H31)-COUNTIF(Vertices[Out-Degree],"&gt;="&amp;H32)</f>
        <v>0</v>
      </c>
      <c r="J31" s="40">
        <f t="shared" si="4"/>
        <v>19463.26470588235</v>
      </c>
      <c r="K31" s="41">
        <f>COUNTIF(Vertices[Betweenness Centrality],"&gt;= "&amp;J31)-COUNTIF(Vertices[Betweenness Centrality],"&gt;="&amp;J32)</f>
        <v>0</v>
      </c>
      <c r="L31" s="40">
        <f t="shared" si="5"/>
        <v>0.005045264705882355</v>
      </c>
      <c r="M31" s="41">
        <f>COUNTIF(Vertices[Closeness Centrality],"&gt;= "&amp;L31)-COUNTIF(Vertices[Closeness Centrality],"&gt;="&amp;L32)</f>
        <v>0</v>
      </c>
      <c r="N31" s="40">
        <f t="shared" si="6"/>
        <v>0.07139432352941175</v>
      </c>
      <c r="O31" s="41">
        <f>COUNTIF(Vertices[Eigenvector Centrality],"&gt;= "&amp;N31)-COUNTIF(Vertices[Eigenvector Centrality],"&gt;="&amp;N32)</f>
        <v>0</v>
      </c>
      <c r="P31" s="40">
        <f t="shared" si="7"/>
        <v>45.90209708823528</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1187</v>
      </c>
      <c r="B32" s="35" t="s">
        <v>1630</v>
      </c>
      <c r="D32" s="33">
        <f t="shared" si="1"/>
        <v>0</v>
      </c>
      <c r="E32" s="3">
        <f>COUNTIF(Vertices[Degree],"&gt;= "&amp;D32)-COUNTIF(Vertices[Degree],"&gt;="&amp;D33)</f>
        <v>0</v>
      </c>
      <c r="F32" s="38">
        <f t="shared" si="2"/>
        <v>110.2941176470588</v>
      </c>
      <c r="G32" s="39">
        <f>COUNTIF(Vertices[In-Degree],"&gt;= "&amp;F32)-COUNTIF(Vertices[In-Degree],"&gt;="&amp;F33)</f>
        <v>0</v>
      </c>
      <c r="H32" s="38">
        <f t="shared" si="3"/>
        <v>1.8823529411764675</v>
      </c>
      <c r="I32" s="39">
        <f>COUNTIF(Vertices[Out-Degree],"&gt;= "&amp;H32)-COUNTIF(Vertices[Out-Degree],"&gt;="&amp;H33)</f>
        <v>0</v>
      </c>
      <c r="J32" s="38">
        <f t="shared" si="4"/>
        <v>20134.411764705877</v>
      </c>
      <c r="K32" s="39">
        <f>COUNTIF(Vertices[Betweenness Centrality],"&gt;= "&amp;J32)-COUNTIF(Vertices[Betweenness Centrality],"&gt;="&amp;J33)</f>
        <v>0</v>
      </c>
      <c r="L32" s="38">
        <f t="shared" si="5"/>
        <v>0.005147411764705885</v>
      </c>
      <c r="M32" s="39">
        <f>COUNTIF(Vertices[Closeness Centrality],"&gt;= "&amp;L32)-COUNTIF(Vertices[Closeness Centrality],"&gt;="&amp;L33)</f>
        <v>0</v>
      </c>
      <c r="N32" s="38">
        <f t="shared" si="6"/>
        <v>0.07383505882352939</v>
      </c>
      <c r="O32" s="39">
        <f>COUNTIF(Vertices[Eigenvector Centrality],"&gt;= "&amp;N32)-COUNTIF(Vertices[Eigenvector Centrality],"&gt;="&amp;N33)</f>
        <v>0</v>
      </c>
      <c r="P32" s="38">
        <f t="shared" si="7"/>
        <v>47.46817947058822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409.5">
      <c r="A33" s="35" t="s">
        <v>1188</v>
      </c>
      <c r="B33" s="54" t="s">
        <v>1631</v>
      </c>
      <c r="D33" s="33">
        <f t="shared" si="1"/>
        <v>0</v>
      </c>
      <c r="E33" s="3">
        <f>COUNTIF(Vertices[Degree],"&gt;= "&amp;D33)-COUNTIF(Vertices[Degree],"&gt;="&amp;D34)</f>
        <v>0</v>
      </c>
      <c r="F33" s="40">
        <f t="shared" si="2"/>
        <v>113.97058823529409</v>
      </c>
      <c r="G33" s="41">
        <f>COUNTIF(Vertices[In-Degree],"&gt;= "&amp;F33)-COUNTIF(Vertices[In-Degree],"&gt;="&amp;F34)</f>
        <v>0</v>
      </c>
      <c r="H33" s="40">
        <f t="shared" si="3"/>
        <v>1.9117647058823497</v>
      </c>
      <c r="I33" s="41">
        <f>COUNTIF(Vertices[Out-Degree],"&gt;= "&amp;H33)-COUNTIF(Vertices[Out-Degree],"&gt;="&amp;H34)</f>
        <v>0</v>
      </c>
      <c r="J33" s="40">
        <f t="shared" si="4"/>
        <v>20805.558823529405</v>
      </c>
      <c r="K33" s="41">
        <f>COUNTIF(Vertices[Betweenness Centrality],"&gt;= "&amp;J33)-COUNTIF(Vertices[Betweenness Centrality],"&gt;="&amp;J34)</f>
        <v>0</v>
      </c>
      <c r="L33" s="40">
        <f t="shared" si="5"/>
        <v>0.0052495588235294145</v>
      </c>
      <c r="M33" s="41">
        <f>COUNTIF(Vertices[Closeness Centrality],"&gt;= "&amp;L33)-COUNTIF(Vertices[Closeness Centrality],"&gt;="&amp;L34)</f>
        <v>0</v>
      </c>
      <c r="N33" s="40">
        <f t="shared" si="6"/>
        <v>0.07627579411764704</v>
      </c>
      <c r="O33" s="41">
        <f>COUNTIF(Vertices[Eigenvector Centrality],"&gt;= "&amp;N33)-COUNTIF(Vertices[Eigenvector Centrality],"&gt;="&amp;N34)</f>
        <v>0</v>
      </c>
      <c r="P33" s="40">
        <f t="shared" si="7"/>
        <v>49.03426185294116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1189</v>
      </c>
      <c r="B34" s="35" t="s">
        <v>1632</v>
      </c>
      <c r="D34" s="33">
        <f t="shared" si="1"/>
        <v>0</v>
      </c>
      <c r="E34" s="3">
        <f>COUNTIF(Vertices[Degree],"&gt;= "&amp;D34)-COUNTIF(Vertices[Degree],"&gt;="&amp;D35)</f>
        <v>0</v>
      </c>
      <c r="F34" s="38">
        <f t="shared" si="2"/>
        <v>117.64705882352938</v>
      </c>
      <c r="G34" s="39">
        <f>COUNTIF(Vertices[In-Degree],"&gt;= "&amp;F34)-COUNTIF(Vertices[In-Degree],"&gt;="&amp;F35)</f>
        <v>0</v>
      </c>
      <c r="H34" s="38">
        <f t="shared" si="3"/>
        <v>1.941176470588232</v>
      </c>
      <c r="I34" s="39">
        <f>COUNTIF(Vertices[Out-Degree],"&gt;= "&amp;H34)-COUNTIF(Vertices[Out-Degree],"&gt;="&amp;H35)</f>
        <v>0</v>
      </c>
      <c r="J34" s="38">
        <f t="shared" si="4"/>
        <v>21476.705882352933</v>
      </c>
      <c r="K34" s="39">
        <f>COUNTIF(Vertices[Betweenness Centrality],"&gt;= "&amp;J34)-COUNTIF(Vertices[Betweenness Centrality],"&gt;="&amp;J35)</f>
        <v>0</v>
      </c>
      <c r="L34" s="38">
        <f t="shared" si="5"/>
        <v>0.005351705882352944</v>
      </c>
      <c r="M34" s="39">
        <f>COUNTIF(Vertices[Closeness Centrality],"&gt;= "&amp;L34)-COUNTIF(Vertices[Closeness Centrality],"&gt;="&amp;L35)</f>
        <v>0</v>
      </c>
      <c r="N34" s="38">
        <f t="shared" si="6"/>
        <v>0.07871652941176469</v>
      </c>
      <c r="O34" s="39">
        <f>COUNTIF(Vertices[Eigenvector Centrality],"&gt;= "&amp;N34)-COUNTIF(Vertices[Eigenvector Centrality],"&gt;="&amp;N35)</f>
        <v>0</v>
      </c>
      <c r="P34" s="38">
        <f t="shared" si="7"/>
        <v>50.600344235294095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1190</v>
      </c>
      <c r="B35" s="35" t="s">
        <v>1633</v>
      </c>
      <c r="D35" s="33">
        <f t="shared" si="1"/>
        <v>0</v>
      </c>
      <c r="E35" s="3">
        <f>COUNTIF(Vertices[Degree],"&gt;= "&amp;D35)-COUNTIF(Vertices[Degree],"&gt;="&amp;D36)</f>
        <v>0</v>
      </c>
      <c r="F35" s="40">
        <f t="shared" si="2"/>
        <v>121.32352941176467</v>
      </c>
      <c r="G35" s="41">
        <f>COUNTIF(Vertices[In-Degree],"&gt;= "&amp;F35)-COUNTIF(Vertices[In-Degree],"&gt;="&amp;F36)</f>
        <v>0</v>
      </c>
      <c r="H35" s="40">
        <f t="shared" si="3"/>
        <v>1.9705882352941142</v>
      </c>
      <c r="I35" s="41">
        <f>COUNTIF(Vertices[Out-Degree],"&gt;= "&amp;H35)-COUNTIF(Vertices[Out-Degree],"&gt;="&amp;H36)</f>
        <v>0</v>
      </c>
      <c r="J35" s="40">
        <f t="shared" si="4"/>
        <v>22147.85294117646</v>
      </c>
      <c r="K35" s="41">
        <f>COUNTIF(Vertices[Betweenness Centrality],"&gt;= "&amp;J35)-COUNTIF(Vertices[Betweenness Centrality],"&gt;="&amp;J36)</f>
        <v>0</v>
      </c>
      <c r="L35" s="40">
        <f t="shared" si="5"/>
        <v>0.005453852941176474</v>
      </c>
      <c r="M35" s="41">
        <f>COUNTIF(Vertices[Closeness Centrality],"&gt;= "&amp;L35)-COUNTIF(Vertices[Closeness Centrality],"&gt;="&amp;L36)</f>
        <v>0</v>
      </c>
      <c r="N35" s="40">
        <f t="shared" si="6"/>
        <v>0.08115726470588233</v>
      </c>
      <c r="O35" s="41">
        <f>COUNTIF(Vertices[Eigenvector Centrality],"&gt;= "&amp;N35)-COUNTIF(Vertices[Eigenvector Centrality],"&gt;="&amp;N36)</f>
        <v>0</v>
      </c>
      <c r="P35" s="40">
        <f t="shared" si="7"/>
        <v>52.16642661764703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1191</v>
      </c>
      <c r="B36" s="35" t="s">
        <v>872</v>
      </c>
      <c r="D36" s="33">
        <f>MAX(Vertices[Degree])</f>
        <v>0</v>
      </c>
      <c r="E36" s="3">
        <f>COUNTIF(Vertices[Degree],"&gt;= "&amp;D36)-COUNTIF(Vertices[Degree],"&gt;="&amp;#REF!)</f>
        <v>0</v>
      </c>
      <c r="F36" s="42">
        <f>MAX(Vertices[In-Degree])</f>
        <v>125</v>
      </c>
      <c r="G36" s="43">
        <f>COUNTIF(Vertices[In-Degree],"&gt;= "&amp;F36)-COUNTIF(Vertices[In-Degree],"&gt;="&amp;#REF!)</f>
        <v>1</v>
      </c>
      <c r="H36" s="42">
        <f>MAX(Vertices[Out-Degree])</f>
        <v>2</v>
      </c>
      <c r="I36" s="43">
        <f>COUNTIF(Vertices[Out-Degree],"&gt;= "&amp;H36)-COUNTIF(Vertices[Out-Degree],"&gt;="&amp;#REF!)</f>
        <v>12</v>
      </c>
      <c r="J36" s="42">
        <f>MAX(Vertices[Betweenness Centrality])</f>
        <v>22819</v>
      </c>
      <c r="K36" s="43">
        <f>COUNTIF(Vertices[Betweenness Centrality],"&gt;= "&amp;J36)-COUNTIF(Vertices[Betweenness Centrality],"&gt;="&amp;#REF!)</f>
        <v>1</v>
      </c>
      <c r="L36" s="42">
        <f>MAX(Vertices[Closeness Centrality])</f>
        <v>0.005556</v>
      </c>
      <c r="M36" s="43">
        <f>COUNTIF(Vertices[Closeness Centrality],"&gt;= "&amp;L36)-COUNTIF(Vertices[Closeness Centrality],"&gt;="&amp;#REF!)</f>
        <v>1</v>
      </c>
      <c r="N36" s="42">
        <f>MAX(Vertices[Eigenvector Centrality])</f>
        <v>0.083598</v>
      </c>
      <c r="O36" s="43">
        <f>COUNTIF(Vertices[Eigenvector Centrality],"&gt;= "&amp;N36)-COUNTIF(Vertices[Eigenvector Centrality],"&gt;="&amp;#REF!)</f>
        <v>1</v>
      </c>
      <c r="P36" s="42">
        <f>MAX(Vertices[PageRank])</f>
        <v>53.732509</v>
      </c>
      <c r="Q36" s="43">
        <f>COUNTIF(Vertices[PageRank],"&gt;= "&amp;P36)-COUNTIF(Vertices[PageRank],"&gt;="&amp;#REF!)</f>
        <v>1</v>
      </c>
      <c r="R36" s="42">
        <f>MAX(Vertices[Clustering Coefficient])</f>
        <v>0.5</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1192</v>
      </c>
      <c r="B37" s="35" t="s">
        <v>872</v>
      </c>
    </row>
    <row r="38" spans="1:2" ht="15">
      <c r="A38" s="35" t="s">
        <v>1193</v>
      </c>
      <c r="B38" s="35" t="s">
        <v>872</v>
      </c>
    </row>
    <row r="39" spans="1:2" ht="15">
      <c r="A39" s="35" t="s">
        <v>1194</v>
      </c>
      <c r="B39" s="35"/>
    </row>
    <row r="40" spans="1:2" ht="15">
      <c r="A40" s="35" t="s">
        <v>21</v>
      </c>
      <c r="B40" s="35"/>
    </row>
    <row r="41" spans="1:2" ht="15">
      <c r="A41" s="35" t="s">
        <v>1195</v>
      </c>
      <c r="B41" s="35" t="s">
        <v>32</v>
      </c>
    </row>
    <row r="42" spans="1:2" ht="15">
      <c r="A42" s="35" t="s">
        <v>1196</v>
      </c>
      <c r="B42" s="35"/>
    </row>
    <row r="43" spans="1:2" ht="15">
      <c r="A43" s="35" t="s">
        <v>1197</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125</v>
      </c>
    </row>
    <row r="83" spans="1:2" ht="15">
      <c r="A83" s="34" t="s">
        <v>90</v>
      </c>
      <c r="B83" s="48">
        <f>_xlfn.IFERROR(AVERAGE(Vertices[In-Degree]),NoMetricMessage)</f>
        <v>1.0784313725490196</v>
      </c>
    </row>
    <row r="84" spans="1:2" ht="15">
      <c r="A84" s="34" t="s">
        <v>91</v>
      </c>
      <c r="B84" s="48">
        <f>_xlfn.IFERROR(MEDIAN(Vertices[In-Degree]),NoMetricMessage)</f>
        <v>0</v>
      </c>
    </row>
    <row r="95" spans="1:2" ht="15">
      <c r="A95" s="34" t="s">
        <v>94</v>
      </c>
      <c r="B95" s="47">
        <f>IF(COUNT(Vertices[Out-Degree])&gt;0,H2,NoMetricMessage)</f>
        <v>1</v>
      </c>
    </row>
    <row r="96" spans="1:2" ht="15">
      <c r="A96" s="34" t="s">
        <v>95</v>
      </c>
      <c r="B96" s="47">
        <f>IF(COUNT(Vertices[Out-Degree])&gt;0,H36,NoMetricMessage)</f>
        <v>2</v>
      </c>
    </row>
    <row r="97" spans="1:2" ht="15">
      <c r="A97" s="34" t="s">
        <v>96</v>
      </c>
      <c r="B97" s="48">
        <f>_xlfn.IFERROR(AVERAGE(Vertices[Out-Degree]),NoMetricMessage)</f>
        <v>1.0784313725490196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22819</v>
      </c>
    </row>
    <row r="111" spans="1:2" ht="15">
      <c r="A111" s="34" t="s">
        <v>102</v>
      </c>
      <c r="B111" s="48">
        <f>_xlfn.IFERROR(AVERAGE(Vertices[Betweenness Centrality]),NoMetricMessage)</f>
        <v>204.22222222222223</v>
      </c>
    </row>
    <row r="112" spans="1:2" ht="15">
      <c r="A112" s="34" t="s">
        <v>103</v>
      </c>
      <c r="B112" s="48">
        <f>_xlfn.IFERROR(MEDIAN(Vertices[Betweenness Centrality]),NoMetricMessage)</f>
        <v>0</v>
      </c>
    </row>
    <row r="123" spans="1:2" ht="15">
      <c r="A123" s="34" t="s">
        <v>106</v>
      </c>
      <c r="B123" s="48">
        <f>IF(COUNT(Vertices[Closeness Centrality])&gt;0,L2,NoMetricMessage)</f>
        <v>0.002083</v>
      </c>
    </row>
    <row r="124" spans="1:2" ht="15">
      <c r="A124" s="34" t="s">
        <v>107</v>
      </c>
      <c r="B124" s="48">
        <f>IF(COUNT(Vertices[Closeness Centrality])&gt;0,L36,NoMetricMessage)</f>
        <v>0.005556</v>
      </c>
    </row>
    <row r="125" spans="1:2" ht="15">
      <c r="A125" s="34" t="s">
        <v>108</v>
      </c>
      <c r="B125" s="48">
        <f>_xlfn.IFERROR(AVERAGE(Vertices[Closeness Centrality]),NoMetricMessage)</f>
        <v>0.0028731568627450954</v>
      </c>
    </row>
    <row r="126" spans="1:2" ht="15">
      <c r="A126" s="34" t="s">
        <v>109</v>
      </c>
      <c r="B126" s="48">
        <f>_xlfn.IFERROR(MEDIAN(Vertices[Closeness Centrality]),NoMetricMessage)</f>
        <v>0.003021</v>
      </c>
    </row>
    <row r="137" spans="1:2" ht="15">
      <c r="A137" s="34" t="s">
        <v>112</v>
      </c>
      <c r="B137" s="48">
        <f>IF(COUNT(Vertices[Eigenvector Centrality])&gt;0,N2,NoMetricMessage)</f>
        <v>0.000613</v>
      </c>
    </row>
    <row r="138" spans="1:2" ht="15">
      <c r="A138" s="34" t="s">
        <v>113</v>
      </c>
      <c r="B138" s="48">
        <f>IF(COUNT(Vertices[Eigenvector Centrality])&gt;0,N36,NoMetricMessage)</f>
        <v>0.083598</v>
      </c>
    </row>
    <row r="139" spans="1:2" ht="15">
      <c r="A139" s="34" t="s">
        <v>114</v>
      </c>
      <c r="B139" s="48">
        <f>_xlfn.IFERROR(AVERAGE(Vertices[Eigenvector Centrality]),NoMetricMessage)</f>
        <v>0.006535856209150307</v>
      </c>
    </row>
    <row r="140" spans="1:2" ht="15">
      <c r="A140" s="34" t="s">
        <v>115</v>
      </c>
      <c r="B140" s="48">
        <f>_xlfn.IFERROR(MEDIAN(Vertices[Eigenvector Centrality]),NoMetricMessage)</f>
        <v>0.007133</v>
      </c>
    </row>
    <row r="151" spans="1:2" ht="15">
      <c r="A151" s="34" t="s">
        <v>140</v>
      </c>
      <c r="B151" s="48">
        <f>IF(COUNT(Vertices[PageRank])&gt;0,P2,NoMetricMessage)</f>
        <v>0.485708</v>
      </c>
    </row>
    <row r="152" spans="1:2" ht="15">
      <c r="A152" s="34" t="s">
        <v>141</v>
      </c>
      <c r="B152" s="48">
        <f>IF(COUNT(Vertices[PageRank])&gt;0,P36,NoMetricMessage)</f>
        <v>53.732509</v>
      </c>
    </row>
    <row r="153" spans="1:2" ht="15">
      <c r="A153" s="34" t="s">
        <v>142</v>
      </c>
      <c r="B153" s="48">
        <f>_xlfn.IFERROR(AVERAGE(Vertices[PageRank]),NoMetricMessage)</f>
        <v>0.9999964509803918</v>
      </c>
    </row>
    <row r="154" spans="1:2" ht="15">
      <c r="A154" s="34" t="s">
        <v>143</v>
      </c>
      <c r="B154" s="48">
        <f>_xlfn.IFERROR(MEDIAN(Vertices[PageRank]),NoMetricMessage)</f>
        <v>0.515381</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0.02266009472238935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v>
      </c>
    </row>
    <row r="6" spans="1:18" ht="409.5">
      <c r="A6">
        <v>0</v>
      </c>
      <c r="B6" s="1" t="s">
        <v>136</v>
      </c>
      <c r="C6">
        <v>1</v>
      </c>
      <c r="D6" t="s">
        <v>59</v>
      </c>
      <c r="E6" t="s">
        <v>59</v>
      </c>
      <c r="F6">
        <v>0</v>
      </c>
      <c r="H6" t="s">
        <v>71</v>
      </c>
      <c r="J6" t="s">
        <v>173</v>
      </c>
      <c r="K6" s="13" t="s">
        <v>307</v>
      </c>
      <c r="R6" t="s">
        <v>129</v>
      </c>
    </row>
    <row r="7" spans="1:11" ht="409.5">
      <c r="A7">
        <v>2</v>
      </c>
      <c r="B7">
        <v>1</v>
      </c>
      <c r="C7">
        <v>0</v>
      </c>
      <c r="D7" t="s">
        <v>60</v>
      </c>
      <c r="E7" t="s">
        <v>60</v>
      </c>
      <c r="F7">
        <v>2</v>
      </c>
      <c r="H7" t="s">
        <v>72</v>
      </c>
      <c r="J7" t="s">
        <v>174</v>
      </c>
      <c r="K7" s="13" t="s">
        <v>308</v>
      </c>
    </row>
    <row r="8" spans="1:11" ht="409.5">
      <c r="A8"/>
      <c r="B8">
        <v>2</v>
      </c>
      <c r="C8">
        <v>2</v>
      </c>
      <c r="D8" t="s">
        <v>61</v>
      </c>
      <c r="E8" t="s">
        <v>61</v>
      </c>
      <c r="H8" t="s">
        <v>73</v>
      </c>
      <c r="J8" t="s">
        <v>175</v>
      </c>
      <c r="K8" s="13" t="s">
        <v>309</v>
      </c>
    </row>
    <row r="9" spans="1:11" ht="409.5">
      <c r="A9"/>
      <c r="B9">
        <v>3</v>
      </c>
      <c r="C9">
        <v>4</v>
      </c>
      <c r="D9" t="s">
        <v>62</v>
      </c>
      <c r="E9" t="s">
        <v>62</v>
      </c>
      <c r="H9" t="s">
        <v>74</v>
      </c>
      <c r="J9" t="s">
        <v>176</v>
      </c>
      <c r="K9" s="13" t="s">
        <v>1462</v>
      </c>
    </row>
    <row r="10" spans="1:11" ht="15">
      <c r="A10"/>
      <c r="B10">
        <v>4</v>
      </c>
      <c r="D10" t="s">
        <v>63</v>
      </c>
      <c r="E10" t="s">
        <v>63</v>
      </c>
      <c r="H10" t="s">
        <v>75</v>
      </c>
      <c r="J10" t="s">
        <v>177</v>
      </c>
      <c r="K10" t="s">
        <v>1463</v>
      </c>
    </row>
    <row r="11" spans="1:11" ht="15">
      <c r="A11"/>
      <c r="B11">
        <v>5</v>
      </c>
      <c r="D11" t="s">
        <v>46</v>
      </c>
      <c r="E11">
        <v>1</v>
      </c>
      <c r="H11" t="s">
        <v>76</v>
      </c>
      <c r="J11" t="s">
        <v>178</v>
      </c>
      <c r="K11" t="s">
        <v>1464</v>
      </c>
    </row>
    <row r="12" spans="1:11" ht="15">
      <c r="A12"/>
      <c r="B12"/>
      <c r="D12" t="s">
        <v>64</v>
      </c>
      <c r="E12">
        <v>2</v>
      </c>
      <c r="H12">
        <v>0</v>
      </c>
      <c r="J12" t="s">
        <v>179</v>
      </c>
      <c r="K12" t="s">
        <v>1465</v>
      </c>
    </row>
    <row r="13" spans="1:11" ht="15">
      <c r="A13"/>
      <c r="B13"/>
      <c r="D13">
        <v>1</v>
      </c>
      <c r="E13">
        <v>3</v>
      </c>
      <c r="H13">
        <v>1</v>
      </c>
      <c r="J13" t="s">
        <v>180</v>
      </c>
      <c r="K13" t="s">
        <v>1466</v>
      </c>
    </row>
    <row r="14" spans="4:11" ht="15">
      <c r="D14">
        <v>2</v>
      </c>
      <c r="E14">
        <v>4</v>
      </c>
      <c r="H14">
        <v>2</v>
      </c>
      <c r="J14" t="s">
        <v>181</v>
      </c>
      <c r="K14" t="s">
        <v>1467</v>
      </c>
    </row>
    <row r="15" spans="4:11" ht="15">
      <c r="D15">
        <v>3</v>
      </c>
      <c r="E15">
        <v>5</v>
      </c>
      <c r="H15">
        <v>3</v>
      </c>
      <c r="J15" t="s">
        <v>182</v>
      </c>
      <c r="K15" t="s">
        <v>1468</v>
      </c>
    </row>
    <row r="16" spans="4:11" ht="15">
      <c r="D16">
        <v>4</v>
      </c>
      <c r="E16">
        <v>6</v>
      </c>
      <c r="H16">
        <v>4</v>
      </c>
      <c r="J16" t="s">
        <v>183</v>
      </c>
      <c r="K16" t="s">
        <v>1469</v>
      </c>
    </row>
    <row r="17" spans="4:11" ht="15">
      <c r="D17">
        <v>5</v>
      </c>
      <c r="E17">
        <v>7</v>
      </c>
      <c r="H17">
        <v>5</v>
      </c>
      <c r="J17" t="s">
        <v>184</v>
      </c>
      <c r="K17" t="s">
        <v>1470</v>
      </c>
    </row>
    <row r="18" spans="4:11" ht="409.5">
      <c r="D18">
        <v>6</v>
      </c>
      <c r="E18">
        <v>8</v>
      </c>
      <c r="H18">
        <v>6</v>
      </c>
      <c r="J18" t="s">
        <v>185</v>
      </c>
      <c r="K18" s="13" t="s">
        <v>1471</v>
      </c>
    </row>
    <row r="19" spans="4:11" ht="409.5">
      <c r="D19">
        <v>7</v>
      </c>
      <c r="E19">
        <v>9</v>
      </c>
      <c r="H19">
        <v>7</v>
      </c>
      <c r="J19" t="s">
        <v>186</v>
      </c>
      <c r="K19" s="13" t="s">
        <v>1628</v>
      </c>
    </row>
    <row r="20" spans="4:11" ht="409.5">
      <c r="D20">
        <v>8</v>
      </c>
      <c r="H20">
        <v>8</v>
      </c>
      <c r="J20" t="s">
        <v>187</v>
      </c>
      <c r="K20" s="13" t="s">
        <v>1636</v>
      </c>
    </row>
    <row r="21" spans="4:11" ht="15">
      <c r="D21">
        <v>9</v>
      </c>
      <c r="H21">
        <v>9</v>
      </c>
      <c r="J21" t="s">
        <v>188</v>
      </c>
      <c r="K21" t="s">
        <v>189</v>
      </c>
    </row>
    <row r="22" spans="4:11" ht="15">
      <c r="D22">
        <v>10</v>
      </c>
      <c r="J22" t="s">
        <v>190</v>
      </c>
      <c r="K22" t="s">
        <v>191</v>
      </c>
    </row>
    <row r="23" spans="4:11" ht="15">
      <c r="D23">
        <v>11</v>
      </c>
      <c r="J23" t="s">
        <v>192</v>
      </c>
      <c r="K23" t="s">
        <v>193</v>
      </c>
    </row>
    <row r="24" spans="10:11" ht="15">
      <c r="J24" t="s">
        <v>194</v>
      </c>
      <c r="K24" t="s">
        <v>195</v>
      </c>
    </row>
    <row r="25" spans="10:11" ht="15">
      <c r="J25" t="s">
        <v>196</v>
      </c>
      <c r="K25" t="s">
        <v>197</v>
      </c>
    </row>
    <row r="26" spans="10:11" ht="15">
      <c r="J26" t="s">
        <v>198</v>
      </c>
      <c r="K26" t="s">
        <v>199</v>
      </c>
    </row>
    <row r="27" spans="10:11" ht="15">
      <c r="J27" t="s">
        <v>200</v>
      </c>
      <c r="K27" t="s">
        <v>201</v>
      </c>
    </row>
    <row r="28" spans="10:11" ht="15">
      <c r="J28" t="s">
        <v>202</v>
      </c>
      <c r="K28" t="s">
        <v>203</v>
      </c>
    </row>
    <row r="29" spans="10:11" ht="15">
      <c r="J29" t="s">
        <v>204</v>
      </c>
      <c r="K29" t="s">
        <v>205</v>
      </c>
    </row>
    <row r="30" spans="10:11" ht="15">
      <c r="J30" t="s">
        <v>206</v>
      </c>
      <c r="K30" t="s">
        <v>207</v>
      </c>
    </row>
    <row r="31" spans="10:11" ht="15">
      <c r="J31" t="s">
        <v>208</v>
      </c>
      <c r="K31" t="s">
        <v>209</v>
      </c>
    </row>
    <row r="32" spans="10:11" ht="15">
      <c r="J32" t="s">
        <v>210</v>
      </c>
      <c r="K32" t="s">
        <v>211</v>
      </c>
    </row>
    <row r="33" spans="10:11" ht="15">
      <c r="J33" t="s">
        <v>212</v>
      </c>
      <c r="K33" t="s">
        <v>213</v>
      </c>
    </row>
    <row r="34" spans="10:11" ht="15">
      <c r="J34" t="s">
        <v>214</v>
      </c>
      <c r="K34" t="s">
        <v>215</v>
      </c>
    </row>
    <row r="35" spans="10:11" ht="15">
      <c r="J35" t="s">
        <v>216</v>
      </c>
      <c r="K35" t="s">
        <v>217</v>
      </c>
    </row>
    <row r="36" spans="10:11" ht="15">
      <c r="J36" t="s">
        <v>218</v>
      </c>
      <c r="K36" t="s">
        <v>219</v>
      </c>
    </row>
    <row r="37" spans="10:11" ht="15">
      <c r="J37" t="s">
        <v>220</v>
      </c>
      <c r="K37" t="s">
        <v>221</v>
      </c>
    </row>
    <row r="38" spans="10:11" ht="15">
      <c r="J38" t="s">
        <v>222</v>
      </c>
      <c r="K38" t="s">
        <v>223</v>
      </c>
    </row>
    <row r="39" spans="10:11" ht="15">
      <c r="J39" t="s">
        <v>224</v>
      </c>
      <c r="K39" t="s">
        <v>225</v>
      </c>
    </row>
    <row r="40" spans="10:11" ht="15">
      <c r="J40" t="s">
        <v>226</v>
      </c>
      <c r="K40" t="s">
        <v>227</v>
      </c>
    </row>
    <row r="41" spans="10:11" ht="15">
      <c r="J41" t="s">
        <v>228</v>
      </c>
      <c r="K41" t="s">
        <v>229</v>
      </c>
    </row>
    <row r="42" spans="10:11" ht="15">
      <c r="J42" t="s">
        <v>230</v>
      </c>
      <c r="K42" t="s">
        <v>231</v>
      </c>
    </row>
    <row r="43" spans="10:11" ht="15">
      <c r="J43" t="s">
        <v>232</v>
      </c>
      <c r="K43" t="s">
        <v>233</v>
      </c>
    </row>
    <row r="44" spans="10:11" ht="15">
      <c r="J44" t="s">
        <v>234</v>
      </c>
      <c r="K44" t="s">
        <v>235</v>
      </c>
    </row>
    <row r="45" spans="10:11" ht="15">
      <c r="J45" t="s">
        <v>236</v>
      </c>
      <c r="K45" t="s">
        <v>237</v>
      </c>
    </row>
    <row r="46" spans="10:11" ht="15">
      <c r="J46" t="s">
        <v>238</v>
      </c>
      <c r="K46" t="s">
        <v>239</v>
      </c>
    </row>
    <row r="47" spans="10:11" ht="15">
      <c r="J47" t="s">
        <v>240</v>
      </c>
      <c r="K47" t="s">
        <v>241</v>
      </c>
    </row>
    <row r="48" spans="10:11" ht="15">
      <c r="J48" t="s">
        <v>242</v>
      </c>
      <c r="K48" t="s">
        <v>243</v>
      </c>
    </row>
    <row r="49" spans="10:11" ht="15">
      <c r="J49" t="s">
        <v>244</v>
      </c>
      <c r="K49" t="s">
        <v>245</v>
      </c>
    </row>
    <row r="50" spans="10:11" ht="15">
      <c r="J50" t="s">
        <v>246</v>
      </c>
      <c r="K50" t="s">
        <v>247</v>
      </c>
    </row>
    <row r="51" spans="10:11" ht="15">
      <c r="J51" t="s">
        <v>248</v>
      </c>
      <c r="K51" t="s">
        <v>249</v>
      </c>
    </row>
    <row r="52" spans="10:11" ht="15">
      <c r="J52" t="s">
        <v>250</v>
      </c>
      <c r="K52" t="s">
        <v>251</v>
      </c>
    </row>
    <row r="53" spans="10:11" ht="15">
      <c r="J53" t="s">
        <v>252</v>
      </c>
      <c r="K53" t="s">
        <v>253</v>
      </c>
    </row>
    <row r="54" spans="10:11" ht="15">
      <c r="J54" t="s">
        <v>254</v>
      </c>
      <c r="K54" t="s">
        <v>255</v>
      </c>
    </row>
    <row r="55" spans="10:11" ht="15">
      <c r="J55" t="s">
        <v>256</v>
      </c>
      <c r="K55" t="s">
        <v>257</v>
      </c>
    </row>
    <row r="56" spans="10:11" ht="15">
      <c r="J56" t="s">
        <v>258</v>
      </c>
      <c r="K56" t="s">
        <v>259</v>
      </c>
    </row>
    <row r="57" spans="10:11" ht="15">
      <c r="J57" t="s">
        <v>260</v>
      </c>
      <c r="K57" t="s">
        <v>261</v>
      </c>
    </row>
    <row r="58" spans="10:11" ht="15">
      <c r="J58" t="s">
        <v>262</v>
      </c>
      <c r="K58" t="s">
        <v>263</v>
      </c>
    </row>
    <row r="59" spans="10:11" ht="15">
      <c r="J59" t="s">
        <v>264</v>
      </c>
      <c r="K59" t="s">
        <v>265</v>
      </c>
    </row>
    <row r="60" spans="10:11" ht="15">
      <c r="J60" t="s">
        <v>266</v>
      </c>
      <c r="K60" t="s">
        <v>267</v>
      </c>
    </row>
    <row r="61" spans="10:11" ht="15">
      <c r="J61" t="s">
        <v>268</v>
      </c>
      <c r="K61" t="s">
        <v>269</v>
      </c>
    </row>
    <row r="62" spans="10:11" ht="15">
      <c r="J62" t="s">
        <v>270</v>
      </c>
      <c r="K62" t="s">
        <v>271</v>
      </c>
    </row>
    <row r="63" spans="10:11" ht="15">
      <c r="J63" t="s">
        <v>272</v>
      </c>
      <c r="K63" t="s">
        <v>273</v>
      </c>
    </row>
    <row r="64" spans="10:11" ht="15">
      <c r="J64" t="s">
        <v>274</v>
      </c>
      <c r="K64" t="s">
        <v>275</v>
      </c>
    </row>
    <row r="65" spans="10:11" ht="15">
      <c r="J65" t="s">
        <v>276</v>
      </c>
      <c r="K65" t="s">
        <v>277</v>
      </c>
    </row>
    <row r="66" spans="10:11" ht="15">
      <c r="J66" t="s">
        <v>278</v>
      </c>
      <c r="K66" t="s">
        <v>279</v>
      </c>
    </row>
    <row r="67" spans="10:11" ht="15">
      <c r="J67" t="s">
        <v>280</v>
      </c>
      <c r="K67" t="s">
        <v>281</v>
      </c>
    </row>
    <row r="68" spans="10:11" ht="15">
      <c r="J68" t="s">
        <v>282</v>
      </c>
      <c r="K68" t="s">
        <v>283</v>
      </c>
    </row>
    <row r="69" spans="10:11" ht="15">
      <c r="J69" t="s">
        <v>284</v>
      </c>
      <c r="K69" t="s">
        <v>285</v>
      </c>
    </row>
    <row r="70" spans="10:11" ht="15">
      <c r="J70" t="s">
        <v>286</v>
      </c>
      <c r="K70" t="s">
        <v>287</v>
      </c>
    </row>
    <row r="71" spans="10:11" ht="15">
      <c r="J71" t="s">
        <v>288</v>
      </c>
      <c r="K71" t="s">
        <v>289</v>
      </c>
    </row>
    <row r="72" spans="10:11" ht="15">
      <c r="J72" t="s">
        <v>290</v>
      </c>
      <c r="K72" t="s">
        <v>291</v>
      </c>
    </row>
    <row r="73" spans="10:11" ht="15">
      <c r="J73" t="s">
        <v>292</v>
      </c>
      <c r="K73" t="s">
        <v>293</v>
      </c>
    </row>
    <row r="74" spans="10:11" ht="15">
      <c r="J74" t="s">
        <v>294</v>
      </c>
      <c r="K74" t="s">
        <v>295</v>
      </c>
    </row>
    <row r="75" spans="10:11" ht="409.5">
      <c r="J75" t="s">
        <v>296</v>
      </c>
      <c r="K75" s="13" t="s">
        <v>297</v>
      </c>
    </row>
    <row r="76" spans="10:11" ht="409.5">
      <c r="J76" t="s">
        <v>298</v>
      </c>
      <c r="K76" s="13" t="s">
        <v>299</v>
      </c>
    </row>
    <row r="77" spans="10:11" ht="409.5">
      <c r="J77" t="s">
        <v>300</v>
      </c>
      <c r="K77" s="13" t="s">
        <v>301</v>
      </c>
    </row>
    <row r="78" spans="10:11" ht="409.5">
      <c r="J78" t="s">
        <v>302</v>
      </c>
      <c r="K78" s="13" t="s">
        <v>303</v>
      </c>
    </row>
    <row r="79" spans="10:11" ht="15">
      <c r="J79" t="s">
        <v>304</v>
      </c>
      <c r="K79">
        <v>16</v>
      </c>
    </row>
    <row r="80" spans="10:11" ht="15">
      <c r="J80" t="s">
        <v>310</v>
      </c>
      <c r="K80" t="s">
        <v>1627</v>
      </c>
    </row>
    <row r="81" spans="10:11" ht="409.5">
      <c r="J81" t="s">
        <v>311</v>
      </c>
      <c r="K81" s="13" t="s">
        <v>1461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6E24A-1889-49AC-A012-662084279BCD}">
  <dimension ref="A1:G4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905</v>
      </c>
      <c r="B1" s="13" t="s">
        <v>1149</v>
      </c>
      <c r="C1" s="13" t="s">
        <v>1153</v>
      </c>
      <c r="D1" s="13" t="s">
        <v>144</v>
      </c>
      <c r="E1" s="13" t="s">
        <v>1155</v>
      </c>
      <c r="F1" s="13" t="s">
        <v>1156</v>
      </c>
      <c r="G1" s="13" t="s">
        <v>1157</v>
      </c>
    </row>
    <row r="2" spans="1:7" ht="15">
      <c r="A2" s="80" t="s">
        <v>906</v>
      </c>
      <c r="B2" s="80" t="s">
        <v>1150</v>
      </c>
      <c r="C2" s="109"/>
      <c r="D2" s="80"/>
      <c r="E2" s="80"/>
      <c r="F2" s="80"/>
      <c r="G2" s="80"/>
    </row>
    <row r="3" spans="1:7" ht="15">
      <c r="A3" s="81" t="s">
        <v>907</v>
      </c>
      <c r="B3" s="80" t="s">
        <v>1151</v>
      </c>
      <c r="C3" s="109"/>
      <c r="D3" s="80"/>
      <c r="E3" s="80"/>
      <c r="F3" s="80"/>
      <c r="G3" s="80"/>
    </row>
    <row r="4" spans="1:7" ht="15">
      <c r="A4" s="81" t="s">
        <v>908</v>
      </c>
      <c r="B4" s="80" t="s">
        <v>1152</v>
      </c>
      <c r="C4" s="109"/>
      <c r="D4" s="80"/>
      <c r="E4" s="80"/>
      <c r="F4" s="80"/>
      <c r="G4" s="80"/>
    </row>
    <row r="5" spans="1:7" ht="15">
      <c r="A5" s="81" t="s">
        <v>909</v>
      </c>
      <c r="B5" s="80">
        <v>216</v>
      </c>
      <c r="C5" s="109">
        <v>0.05658894419701336</v>
      </c>
      <c r="D5" s="80"/>
      <c r="E5" s="80"/>
      <c r="F5" s="80"/>
      <c r="G5" s="80"/>
    </row>
    <row r="6" spans="1:7" ht="15">
      <c r="A6" s="81" t="s">
        <v>910</v>
      </c>
      <c r="B6" s="80">
        <v>252</v>
      </c>
      <c r="C6" s="109">
        <v>0.06602043489651559</v>
      </c>
      <c r="D6" s="80"/>
      <c r="E6" s="80"/>
      <c r="F6" s="80"/>
      <c r="G6" s="80"/>
    </row>
    <row r="7" spans="1:7" ht="15">
      <c r="A7" s="81" t="s">
        <v>911</v>
      </c>
      <c r="B7" s="80">
        <v>0</v>
      </c>
      <c r="C7" s="109">
        <v>0</v>
      </c>
      <c r="D7" s="80"/>
      <c r="E7" s="80"/>
      <c r="F7" s="80"/>
      <c r="G7" s="80"/>
    </row>
    <row r="8" spans="1:7" ht="15">
      <c r="A8" s="81" t="s">
        <v>912</v>
      </c>
      <c r="B8" s="80">
        <v>3466</v>
      </c>
      <c r="C8" s="109">
        <v>0.9080429656798533</v>
      </c>
      <c r="D8" s="80"/>
      <c r="E8" s="80"/>
      <c r="F8" s="80"/>
      <c r="G8" s="80"/>
    </row>
    <row r="9" spans="1:7" ht="15">
      <c r="A9" s="81" t="s">
        <v>913</v>
      </c>
      <c r="B9" s="80">
        <v>3817</v>
      </c>
      <c r="C9" s="109">
        <v>1</v>
      </c>
      <c r="D9" s="80"/>
      <c r="E9" s="80"/>
      <c r="F9" s="80"/>
      <c r="G9" s="80"/>
    </row>
    <row r="10" spans="1:7" ht="15">
      <c r="A10" s="84" t="s">
        <v>914</v>
      </c>
      <c r="B10" s="80">
        <v>47</v>
      </c>
      <c r="C10" s="109">
        <v>0.01865992830349619</v>
      </c>
      <c r="D10" s="80" t="s">
        <v>1154</v>
      </c>
      <c r="E10" s="80" t="b">
        <v>0</v>
      </c>
      <c r="F10" s="80" t="b">
        <v>0</v>
      </c>
      <c r="G10" s="80" t="b">
        <v>0</v>
      </c>
    </row>
    <row r="11" spans="1:7" ht="15">
      <c r="A11" s="84" t="s">
        <v>915</v>
      </c>
      <c r="B11" s="80">
        <v>36</v>
      </c>
      <c r="C11" s="109">
        <v>0.016634619499808392</v>
      </c>
      <c r="D11" s="80" t="s">
        <v>1154</v>
      </c>
      <c r="E11" s="80" t="b">
        <v>0</v>
      </c>
      <c r="F11" s="80" t="b">
        <v>0</v>
      </c>
      <c r="G11" s="80" t="b">
        <v>0</v>
      </c>
    </row>
    <row r="12" spans="1:7" ht="15">
      <c r="A12" s="84" t="s">
        <v>916</v>
      </c>
      <c r="B12" s="80">
        <v>20</v>
      </c>
      <c r="C12" s="109">
        <v>0.012219844581088204</v>
      </c>
      <c r="D12" s="80" t="s">
        <v>1154</v>
      </c>
      <c r="E12" s="80" t="b">
        <v>0</v>
      </c>
      <c r="F12" s="80" t="b">
        <v>0</v>
      </c>
      <c r="G12" s="80" t="b">
        <v>0</v>
      </c>
    </row>
    <row r="13" spans="1:7" ht="15">
      <c r="A13" s="84" t="s">
        <v>917</v>
      </c>
      <c r="B13" s="80">
        <v>18</v>
      </c>
      <c r="C13" s="109">
        <v>0.012145637858475446</v>
      </c>
      <c r="D13" s="80" t="s">
        <v>1154</v>
      </c>
      <c r="E13" s="80" t="b">
        <v>0</v>
      </c>
      <c r="F13" s="80" t="b">
        <v>0</v>
      </c>
      <c r="G13" s="80" t="b">
        <v>0</v>
      </c>
    </row>
    <row r="14" spans="1:7" ht="15">
      <c r="A14" s="84" t="s">
        <v>918</v>
      </c>
      <c r="B14" s="80">
        <v>15</v>
      </c>
      <c r="C14" s="109">
        <v>0.011024253202013707</v>
      </c>
      <c r="D14" s="80" t="s">
        <v>1154</v>
      </c>
      <c r="E14" s="80" t="b">
        <v>0</v>
      </c>
      <c r="F14" s="80" t="b">
        <v>0</v>
      </c>
      <c r="G14" s="80" t="b">
        <v>0</v>
      </c>
    </row>
    <row r="15" spans="1:7" ht="15">
      <c r="A15" s="84" t="s">
        <v>919</v>
      </c>
      <c r="B15" s="80">
        <v>14</v>
      </c>
      <c r="C15" s="109">
        <v>0.009707156991758186</v>
      </c>
      <c r="D15" s="80" t="s">
        <v>1154</v>
      </c>
      <c r="E15" s="80" t="b">
        <v>0</v>
      </c>
      <c r="F15" s="80" t="b">
        <v>0</v>
      </c>
      <c r="G15" s="80" t="b">
        <v>0</v>
      </c>
    </row>
    <row r="16" spans="1:7" ht="15">
      <c r="A16" s="84" t="s">
        <v>920</v>
      </c>
      <c r="B16" s="80">
        <v>13</v>
      </c>
      <c r="C16" s="109">
        <v>0.010563174871915751</v>
      </c>
      <c r="D16" s="80" t="s">
        <v>1154</v>
      </c>
      <c r="E16" s="80" t="b">
        <v>0</v>
      </c>
      <c r="F16" s="80" t="b">
        <v>0</v>
      </c>
      <c r="G16" s="80" t="b">
        <v>0</v>
      </c>
    </row>
    <row r="17" spans="1:7" ht="15">
      <c r="A17" s="84" t="s">
        <v>921</v>
      </c>
      <c r="B17" s="80">
        <v>12</v>
      </c>
      <c r="C17" s="109">
        <v>0.00910105643159407</v>
      </c>
      <c r="D17" s="80" t="s">
        <v>1154</v>
      </c>
      <c r="E17" s="80" t="b">
        <v>0</v>
      </c>
      <c r="F17" s="80" t="b">
        <v>0</v>
      </c>
      <c r="G17" s="80" t="b">
        <v>0</v>
      </c>
    </row>
    <row r="18" spans="1:7" ht="15">
      <c r="A18" s="84" t="s">
        <v>922</v>
      </c>
      <c r="B18" s="80">
        <v>12</v>
      </c>
      <c r="C18" s="109">
        <v>0.010131883995566355</v>
      </c>
      <c r="D18" s="80" t="s">
        <v>1154</v>
      </c>
      <c r="E18" s="80" t="b">
        <v>0</v>
      </c>
      <c r="F18" s="80" t="b">
        <v>0</v>
      </c>
      <c r="G18" s="80" t="b">
        <v>0</v>
      </c>
    </row>
    <row r="19" spans="1:7" ht="15">
      <c r="A19" s="84" t="s">
        <v>923</v>
      </c>
      <c r="B19" s="80">
        <v>11</v>
      </c>
      <c r="C19" s="109">
        <v>0.008342635062294563</v>
      </c>
      <c r="D19" s="80" t="s">
        <v>1154</v>
      </c>
      <c r="E19" s="80" t="b">
        <v>1</v>
      </c>
      <c r="F19" s="80" t="b">
        <v>0</v>
      </c>
      <c r="G19" s="80" t="b">
        <v>0</v>
      </c>
    </row>
    <row r="20" spans="1:7" ht="15">
      <c r="A20" s="84" t="s">
        <v>924</v>
      </c>
      <c r="B20" s="80">
        <v>10</v>
      </c>
      <c r="C20" s="109">
        <v>0.008443236662971962</v>
      </c>
      <c r="D20" s="80" t="s">
        <v>1154</v>
      </c>
      <c r="E20" s="80" t="b">
        <v>0</v>
      </c>
      <c r="F20" s="80" t="b">
        <v>0</v>
      </c>
      <c r="G20" s="80" t="b">
        <v>0</v>
      </c>
    </row>
    <row r="21" spans="1:7" ht="15">
      <c r="A21" s="84" t="s">
        <v>925</v>
      </c>
      <c r="B21" s="80">
        <v>10</v>
      </c>
      <c r="C21" s="109">
        <v>0.008125519132242884</v>
      </c>
      <c r="D21" s="80" t="s">
        <v>1154</v>
      </c>
      <c r="E21" s="80" t="b">
        <v>0</v>
      </c>
      <c r="F21" s="80" t="b">
        <v>0</v>
      </c>
      <c r="G21" s="80" t="b">
        <v>0</v>
      </c>
    </row>
    <row r="22" spans="1:7" ht="15">
      <c r="A22" s="84" t="s">
        <v>926</v>
      </c>
      <c r="B22" s="80">
        <v>10</v>
      </c>
      <c r="C22" s="109">
        <v>0.008443236662971962</v>
      </c>
      <c r="D22" s="80" t="s">
        <v>1154</v>
      </c>
      <c r="E22" s="80" t="b">
        <v>0</v>
      </c>
      <c r="F22" s="80" t="b">
        <v>0</v>
      </c>
      <c r="G22" s="80" t="b">
        <v>0</v>
      </c>
    </row>
    <row r="23" spans="1:7" ht="15">
      <c r="A23" s="84" t="s">
        <v>927</v>
      </c>
      <c r="B23" s="80">
        <v>9</v>
      </c>
      <c r="C23" s="109">
        <v>0.007312967219018598</v>
      </c>
      <c r="D23" s="80" t="s">
        <v>1154</v>
      </c>
      <c r="E23" s="80" t="b">
        <v>0</v>
      </c>
      <c r="F23" s="80" t="b">
        <v>0</v>
      </c>
      <c r="G23" s="80" t="b">
        <v>0</v>
      </c>
    </row>
    <row r="24" spans="1:7" ht="15">
      <c r="A24" s="84" t="s">
        <v>928</v>
      </c>
      <c r="B24" s="80">
        <v>9</v>
      </c>
      <c r="C24" s="109">
        <v>0.007312967219018598</v>
      </c>
      <c r="D24" s="80" t="s">
        <v>1154</v>
      </c>
      <c r="E24" s="80" t="b">
        <v>0</v>
      </c>
      <c r="F24" s="80" t="b">
        <v>0</v>
      </c>
      <c r="G24" s="80" t="b">
        <v>0</v>
      </c>
    </row>
    <row r="25" spans="1:7" ht="15">
      <c r="A25" s="84" t="s">
        <v>929</v>
      </c>
      <c r="B25" s="80">
        <v>9</v>
      </c>
      <c r="C25" s="109">
        <v>0.007312967219018598</v>
      </c>
      <c r="D25" s="80" t="s">
        <v>1154</v>
      </c>
      <c r="E25" s="80" t="b">
        <v>0</v>
      </c>
      <c r="F25" s="80" t="b">
        <v>1</v>
      </c>
      <c r="G25" s="80" t="b">
        <v>0</v>
      </c>
    </row>
    <row r="26" spans="1:7" ht="15">
      <c r="A26" s="84" t="s">
        <v>930</v>
      </c>
      <c r="B26" s="80">
        <v>9</v>
      </c>
      <c r="C26" s="109">
        <v>0.007598912996674766</v>
      </c>
      <c r="D26" s="80" t="s">
        <v>1154</v>
      </c>
      <c r="E26" s="80" t="b">
        <v>0</v>
      </c>
      <c r="F26" s="80" t="b">
        <v>0</v>
      </c>
      <c r="G26" s="80" t="b">
        <v>0</v>
      </c>
    </row>
    <row r="27" spans="1:7" ht="15">
      <c r="A27" s="84" t="s">
        <v>931</v>
      </c>
      <c r="B27" s="80">
        <v>9</v>
      </c>
      <c r="C27" s="109">
        <v>0.007598912996674766</v>
      </c>
      <c r="D27" s="80" t="s">
        <v>1154</v>
      </c>
      <c r="E27" s="80" t="b">
        <v>0</v>
      </c>
      <c r="F27" s="80" t="b">
        <v>0</v>
      </c>
      <c r="G27" s="80" t="b">
        <v>0</v>
      </c>
    </row>
    <row r="28" spans="1:7" ht="15">
      <c r="A28" s="84" t="s">
        <v>932</v>
      </c>
      <c r="B28" s="80">
        <v>9</v>
      </c>
      <c r="C28" s="109">
        <v>0.008297328294485139</v>
      </c>
      <c r="D28" s="80" t="s">
        <v>1154</v>
      </c>
      <c r="E28" s="80" t="b">
        <v>0</v>
      </c>
      <c r="F28" s="80" t="b">
        <v>0</v>
      </c>
      <c r="G28" s="80" t="b">
        <v>0</v>
      </c>
    </row>
    <row r="29" spans="1:7" ht="15">
      <c r="A29" s="84" t="s">
        <v>933</v>
      </c>
      <c r="B29" s="80">
        <v>8</v>
      </c>
      <c r="C29" s="109">
        <v>0.00675458933037757</v>
      </c>
      <c r="D29" s="80" t="s">
        <v>1154</v>
      </c>
      <c r="E29" s="80" t="b">
        <v>0</v>
      </c>
      <c r="F29" s="80" t="b">
        <v>0</v>
      </c>
      <c r="G29" s="80" t="b">
        <v>0</v>
      </c>
    </row>
    <row r="30" spans="1:7" ht="15">
      <c r="A30" s="84" t="s">
        <v>934</v>
      </c>
      <c r="B30" s="80">
        <v>8</v>
      </c>
      <c r="C30" s="109">
        <v>0.00675458933037757</v>
      </c>
      <c r="D30" s="80" t="s">
        <v>1154</v>
      </c>
      <c r="E30" s="80" t="b">
        <v>0</v>
      </c>
      <c r="F30" s="80" t="b">
        <v>0</v>
      </c>
      <c r="G30" s="80" t="b">
        <v>0</v>
      </c>
    </row>
    <row r="31" spans="1:7" ht="15">
      <c r="A31" s="84" t="s">
        <v>935</v>
      </c>
      <c r="B31" s="80">
        <v>8</v>
      </c>
      <c r="C31" s="109">
        <v>0.007042748073123839</v>
      </c>
      <c r="D31" s="80" t="s">
        <v>1154</v>
      </c>
      <c r="E31" s="80" t="b">
        <v>0</v>
      </c>
      <c r="F31" s="80" t="b">
        <v>0</v>
      </c>
      <c r="G31" s="80" t="b">
        <v>0</v>
      </c>
    </row>
    <row r="32" spans="1:7" ht="15">
      <c r="A32" s="84" t="s">
        <v>936</v>
      </c>
      <c r="B32" s="80">
        <v>7</v>
      </c>
      <c r="C32" s="109">
        <v>0.006797743849540916</v>
      </c>
      <c r="D32" s="80" t="s">
        <v>1154</v>
      </c>
      <c r="E32" s="80" t="b">
        <v>0</v>
      </c>
      <c r="F32" s="80" t="b">
        <v>0</v>
      </c>
      <c r="G32" s="80" t="b">
        <v>0</v>
      </c>
    </row>
    <row r="33" spans="1:7" ht="15">
      <c r="A33" s="84" t="s">
        <v>937</v>
      </c>
      <c r="B33" s="80">
        <v>7</v>
      </c>
      <c r="C33" s="109">
        <v>0.00645347756237733</v>
      </c>
      <c r="D33" s="80" t="s">
        <v>1154</v>
      </c>
      <c r="E33" s="80" t="b">
        <v>0</v>
      </c>
      <c r="F33" s="80" t="b">
        <v>0</v>
      </c>
      <c r="G33" s="80" t="b">
        <v>0</v>
      </c>
    </row>
    <row r="34" spans="1:7" ht="15">
      <c r="A34" s="84" t="s">
        <v>938</v>
      </c>
      <c r="B34" s="80">
        <v>7</v>
      </c>
      <c r="C34" s="109">
        <v>0.00721909173218464</v>
      </c>
      <c r="D34" s="80" t="s">
        <v>1154</v>
      </c>
      <c r="E34" s="80" t="b">
        <v>0</v>
      </c>
      <c r="F34" s="80" t="b">
        <v>0</v>
      </c>
      <c r="G34" s="80" t="b">
        <v>0</v>
      </c>
    </row>
    <row r="35" spans="1:7" ht="15">
      <c r="A35" s="84" t="s">
        <v>939</v>
      </c>
      <c r="B35" s="80">
        <v>7</v>
      </c>
      <c r="C35" s="109">
        <v>0.006162404563983359</v>
      </c>
      <c r="D35" s="80" t="s">
        <v>1154</v>
      </c>
      <c r="E35" s="80" t="b">
        <v>0</v>
      </c>
      <c r="F35" s="80" t="b">
        <v>0</v>
      </c>
      <c r="G35" s="80" t="b">
        <v>0</v>
      </c>
    </row>
    <row r="36" spans="1:7" ht="15">
      <c r="A36" s="84" t="s">
        <v>940</v>
      </c>
      <c r="B36" s="80">
        <v>7</v>
      </c>
      <c r="C36" s="109">
        <v>0.00645347756237733</v>
      </c>
      <c r="D36" s="80" t="s">
        <v>1154</v>
      </c>
      <c r="E36" s="80" t="b">
        <v>1</v>
      </c>
      <c r="F36" s="80" t="b">
        <v>1</v>
      </c>
      <c r="G36" s="80" t="b">
        <v>0</v>
      </c>
    </row>
    <row r="37" spans="1:7" ht="15">
      <c r="A37" s="84" t="s">
        <v>941</v>
      </c>
      <c r="B37" s="80">
        <v>6</v>
      </c>
      <c r="C37" s="109">
        <v>0.005531552196323426</v>
      </c>
      <c r="D37" s="80" t="s">
        <v>1154</v>
      </c>
      <c r="E37" s="80" t="b">
        <v>0</v>
      </c>
      <c r="F37" s="80" t="b">
        <v>0</v>
      </c>
      <c r="G37" s="80" t="b">
        <v>0</v>
      </c>
    </row>
    <row r="38" spans="1:7" ht="15">
      <c r="A38" s="84" t="s">
        <v>942</v>
      </c>
      <c r="B38" s="80">
        <v>6</v>
      </c>
      <c r="C38" s="109">
        <v>0.005531552196323426</v>
      </c>
      <c r="D38" s="80" t="s">
        <v>1154</v>
      </c>
      <c r="E38" s="80" t="b">
        <v>0</v>
      </c>
      <c r="F38" s="80" t="b">
        <v>0</v>
      </c>
      <c r="G38" s="80" t="b">
        <v>0</v>
      </c>
    </row>
    <row r="39" spans="1:7" ht="15">
      <c r="A39" s="84" t="s">
        <v>943</v>
      </c>
      <c r="B39" s="80">
        <v>6</v>
      </c>
      <c r="C39" s="109">
        <v>0.005531552196323426</v>
      </c>
      <c r="D39" s="80" t="s">
        <v>1154</v>
      </c>
      <c r="E39" s="80" t="b">
        <v>0</v>
      </c>
      <c r="F39" s="80" t="b">
        <v>0</v>
      </c>
      <c r="G39" s="80" t="b">
        <v>0</v>
      </c>
    </row>
    <row r="40" spans="1:7" ht="15">
      <c r="A40" s="84" t="s">
        <v>944</v>
      </c>
      <c r="B40" s="80">
        <v>6</v>
      </c>
      <c r="C40" s="109">
        <v>0.007309643828819061</v>
      </c>
      <c r="D40" s="80" t="s">
        <v>1154</v>
      </c>
      <c r="E40" s="80" t="b">
        <v>0</v>
      </c>
      <c r="F40" s="80" t="b">
        <v>0</v>
      </c>
      <c r="G40" s="80" t="b">
        <v>0</v>
      </c>
    </row>
    <row r="41" spans="1:7" ht="15">
      <c r="A41" s="84" t="s">
        <v>945</v>
      </c>
      <c r="B41" s="80">
        <v>6</v>
      </c>
      <c r="C41" s="109">
        <v>0.005826637585320786</v>
      </c>
      <c r="D41" s="80" t="s">
        <v>1154</v>
      </c>
      <c r="E41" s="80" t="b">
        <v>0</v>
      </c>
      <c r="F41" s="80" t="b">
        <v>0</v>
      </c>
      <c r="G41" s="80" t="b">
        <v>0</v>
      </c>
    </row>
    <row r="42" spans="1:7" ht="15">
      <c r="A42" s="84" t="s">
        <v>946</v>
      </c>
      <c r="B42" s="80">
        <v>5</v>
      </c>
      <c r="C42" s="109">
        <v>0.0048555313211006545</v>
      </c>
      <c r="D42" s="80" t="s">
        <v>1154</v>
      </c>
      <c r="E42" s="80" t="b">
        <v>0</v>
      </c>
      <c r="F42" s="80" t="b">
        <v>0</v>
      </c>
      <c r="G42" s="80" t="b">
        <v>0</v>
      </c>
    </row>
    <row r="43" spans="1:7" ht="15">
      <c r="A43" s="84" t="s">
        <v>947</v>
      </c>
      <c r="B43" s="80">
        <v>5</v>
      </c>
      <c r="C43" s="109">
        <v>0.0048555313211006545</v>
      </c>
      <c r="D43" s="80" t="s">
        <v>1154</v>
      </c>
      <c r="E43" s="80" t="b">
        <v>0</v>
      </c>
      <c r="F43" s="80" t="b">
        <v>0</v>
      </c>
      <c r="G43" s="80" t="b">
        <v>0</v>
      </c>
    </row>
    <row r="44" spans="1:7" ht="15">
      <c r="A44" s="84" t="s">
        <v>948</v>
      </c>
      <c r="B44" s="80">
        <v>5</v>
      </c>
      <c r="C44" s="109">
        <v>0.005156494094417599</v>
      </c>
      <c r="D44" s="80" t="s">
        <v>1154</v>
      </c>
      <c r="E44" s="80" t="b">
        <v>0</v>
      </c>
      <c r="F44" s="80" t="b">
        <v>0</v>
      </c>
      <c r="G44" s="80" t="b">
        <v>0</v>
      </c>
    </row>
    <row r="45" spans="1:7" ht="15">
      <c r="A45" s="84" t="s">
        <v>949</v>
      </c>
      <c r="B45" s="80">
        <v>5</v>
      </c>
      <c r="C45" s="109">
        <v>0.00554450259320114</v>
      </c>
      <c r="D45" s="80" t="s">
        <v>1154</v>
      </c>
      <c r="E45" s="80" t="b">
        <v>0</v>
      </c>
      <c r="F45" s="80" t="b">
        <v>0</v>
      </c>
      <c r="G45" s="80" t="b">
        <v>0</v>
      </c>
    </row>
    <row r="46" spans="1:7" ht="15">
      <c r="A46" s="84" t="s">
        <v>950</v>
      </c>
      <c r="B46" s="80">
        <v>5</v>
      </c>
      <c r="C46" s="109">
        <v>0.0048555313211006545</v>
      </c>
      <c r="D46" s="80" t="s">
        <v>1154</v>
      </c>
      <c r="E46" s="80" t="b">
        <v>0</v>
      </c>
      <c r="F46" s="80" t="b">
        <v>1</v>
      </c>
      <c r="G46" s="80" t="b">
        <v>0</v>
      </c>
    </row>
    <row r="47" spans="1:7" ht="15">
      <c r="A47" s="84" t="s">
        <v>951</v>
      </c>
      <c r="B47" s="80">
        <v>5</v>
      </c>
      <c r="C47" s="109">
        <v>0.005156494094417599</v>
      </c>
      <c r="D47" s="80" t="s">
        <v>1154</v>
      </c>
      <c r="E47" s="80" t="b">
        <v>0</v>
      </c>
      <c r="F47" s="80" t="b">
        <v>0</v>
      </c>
      <c r="G47" s="80" t="b">
        <v>0</v>
      </c>
    </row>
    <row r="48" spans="1:7" ht="15">
      <c r="A48" s="84" t="s">
        <v>952</v>
      </c>
      <c r="B48" s="80">
        <v>5</v>
      </c>
      <c r="C48" s="109">
        <v>0.0048555313211006545</v>
      </c>
      <c r="D48" s="80" t="s">
        <v>1154</v>
      </c>
      <c r="E48" s="80" t="b">
        <v>0</v>
      </c>
      <c r="F48" s="80" t="b">
        <v>0</v>
      </c>
      <c r="G48" s="80" t="b">
        <v>0</v>
      </c>
    </row>
    <row r="49" spans="1:7" ht="15">
      <c r="A49" s="84" t="s">
        <v>953</v>
      </c>
      <c r="B49" s="80">
        <v>5</v>
      </c>
      <c r="C49" s="109">
        <v>0.005156494094417599</v>
      </c>
      <c r="D49" s="80" t="s">
        <v>1154</v>
      </c>
      <c r="E49" s="80" t="b">
        <v>0</v>
      </c>
      <c r="F49" s="80" t="b">
        <v>0</v>
      </c>
      <c r="G49" s="80" t="b">
        <v>0</v>
      </c>
    </row>
    <row r="50" spans="1:7" ht="15">
      <c r="A50" s="84" t="s">
        <v>954</v>
      </c>
      <c r="B50" s="80">
        <v>4</v>
      </c>
      <c r="C50" s="109">
        <v>0.00412519527553408</v>
      </c>
      <c r="D50" s="80" t="s">
        <v>1154</v>
      </c>
      <c r="E50" s="80" t="b">
        <v>0</v>
      </c>
      <c r="F50" s="80" t="b">
        <v>0</v>
      </c>
      <c r="G50" s="80" t="b">
        <v>0</v>
      </c>
    </row>
    <row r="51" spans="1:7" ht="15">
      <c r="A51" s="84" t="s">
        <v>955</v>
      </c>
      <c r="B51" s="80">
        <v>4</v>
      </c>
      <c r="C51" s="109">
        <v>0.00412519527553408</v>
      </c>
      <c r="D51" s="80" t="s">
        <v>1154</v>
      </c>
      <c r="E51" s="80" t="b">
        <v>0</v>
      </c>
      <c r="F51" s="80" t="b">
        <v>0</v>
      </c>
      <c r="G51" s="80" t="b">
        <v>0</v>
      </c>
    </row>
    <row r="52" spans="1:7" ht="15">
      <c r="A52" s="84" t="s">
        <v>956</v>
      </c>
      <c r="B52" s="80">
        <v>4</v>
      </c>
      <c r="C52" s="109">
        <v>0.00412519527553408</v>
      </c>
      <c r="D52" s="80" t="s">
        <v>1154</v>
      </c>
      <c r="E52" s="80" t="b">
        <v>0</v>
      </c>
      <c r="F52" s="80" t="b">
        <v>0</v>
      </c>
      <c r="G52" s="80" t="b">
        <v>0</v>
      </c>
    </row>
    <row r="53" spans="1:7" ht="15">
      <c r="A53" s="84" t="s">
        <v>957</v>
      </c>
      <c r="B53" s="80">
        <v>4</v>
      </c>
      <c r="C53" s="109">
        <v>0.00412519527553408</v>
      </c>
      <c r="D53" s="80" t="s">
        <v>1154</v>
      </c>
      <c r="E53" s="80" t="b">
        <v>0</v>
      </c>
      <c r="F53" s="80" t="b">
        <v>0</v>
      </c>
      <c r="G53" s="80" t="b">
        <v>0</v>
      </c>
    </row>
    <row r="54" spans="1:7" ht="15">
      <c r="A54" s="84" t="s">
        <v>958</v>
      </c>
      <c r="B54" s="80">
        <v>4</v>
      </c>
      <c r="C54" s="109">
        <v>0.004873095885879375</v>
      </c>
      <c r="D54" s="80" t="s">
        <v>1154</v>
      </c>
      <c r="E54" s="80" t="b">
        <v>0</v>
      </c>
      <c r="F54" s="80" t="b">
        <v>0</v>
      </c>
      <c r="G54" s="80" t="b">
        <v>0</v>
      </c>
    </row>
    <row r="55" spans="1:7" ht="15">
      <c r="A55" s="84" t="s">
        <v>959</v>
      </c>
      <c r="B55" s="80">
        <v>4</v>
      </c>
      <c r="C55" s="109">
        <v>0.00412519527553408</v>
      </c>
      <c r="D55" s="80" t="s">
        <v>1154</v>
      </c>
      <c r="E55" s="80" t="b">
        <v>0</v>
      </c>
      <c r="F55" s="80" t="b">
        <v>0</v>
      </c>
      <c r="G55" s="80" t="b">
        <v>0</v>
      </c>
    </row>
    <row r="56" spans="1:7" ht="15">
      <c r="A56" s="84" t="s">
        <v>960</v>
      </c>
      <c r="B56" s="80">
        <v>4</v>
      </c>
      <c r="C56" s="109">
        <v>0.00412519527553408</v>
      </c>
      <c r="D56" s="80" t="s">
        <v>1154</v>
      </c>
      <c r="E56" s="80" t="b">
        <v>0</v>
      </c>
      <c r="F56" s="80" t="b">
        <v>0</v>
      </c>
      <c r="G56" s="80" t="b">
        <v>0</v>
      </c>
    </row>
    <row r="57" spans="1:7" ht="15">
      <c r="A57" s="84" t="s">
        <v>961</v>
      </c>
      <c r="B57" s="80">
        <v>4</v>
      </c>
      <c r="C57" s="109">
        <v>0.00412519527553408</v>
      </c>
      <c r="D57" s="80" t="s">
        <v>1154</v>
      </c>
      <c r="E57" s="80" t="b">
        <v>0</v>
      </c>
      <c r="F57" s="80" t="b">
        <v>1</v>
      </c>
      <c r="G57" s="80" t="b">
        <v>0</v>
      </c>
    </row>
    <row r="58" spans="1:7" ht="15">
      <c r="A58" s="84" t="s">
        <v>962</v>
      </c>
      <c r="B58" s="80">
        <v>4</v>
      </c>
      <c r="C58" s="109">
        <v>0.00412519527553408</v>
      </c>
      <c r="D58" s="80" t="s">
        <v>1154</v>
      </c>
      <c r="E58" s="80" t="b">
        <v>1</v>
      </c>
      <c r="F58" s="80" t="b">
        <v>1</v>
      </c>
      <c r="G58" s="80" t="b">
        <v>0</v>
      </c>
    </row>
    <row r="59" spans="1:7" ht="15">
      <c r="A59" s="84" t="s">
        <v>963</v>
      </c>
      <c r="B59" s="80">
        <v>4</v>
      </c>
      <c r="C59" s="109">
        <v>0.004873095885879375</v>
      </c>
      <c r="D59" s="80" t="s">
        <v>1154</v>
      </c>
      <c r="E59" s="80" t="b">
        <v>0</v>
      </c>
      <c r="F59" s="80" t="b">
        <v>0</v>
      </c>
      <c r="G59" s="80" t="b">
        <v>0</v>
      </c>
    </row>
    <row r="60" spans="1:7" ht="15">
      <c r="A60" s="84" t="s">
        <v>964</v>
      </c>
      <c r="B60" s="80">
        <v>4</v>
      </c>
      <c r="C60" s="109">
        <v>0.00412519527553408</v>
      </c>
      <c r="D60" s="80" t="s">
        <v>1154</v>
      </c>
      <c r="E60" s="80" t="b">
        <v>0</v>
      </c>
      <c r="F60" s="80" t="b">
        <v>0</v>
      </c>
      <c r="G60" s="80" t="b">
        <v>0</v>
      </c>
    </row>
    <row r="61" spans="1:7" ht="15">
      <c r="A61" s="84" t="s">
        <v>965</v>
      </c>
      <c r="B61" s="80">
        <v>4</v>
      </c>
      <c r="C61" s="109">
        <v>0.004873095885879375</v>
      </c>
      <c r="D61" s="80" t="s">
        <v>1154</v>
      </c>
      <c r="E61" s="80" t="b">
        <v>0</v>
      </c>
      <c r="F61" s="80" t="b">
        <v>0</v>
      </c>
      <c r="G61" s="80" t="b">
        <v>0</v>
      </c>
    </row>
    <row r="62" spans="1:7" ht="15">
      <c r="A62" s="84" t="s">
        <v>966</v>
      </c>
      <c r="B62" s="80">
        <v>4</v>
      </c>
      <c r="C62" s="109">
        <v>0.00412519527553408</v>
      </c>
      <c r="D62" s="80" t="s">
        <v>1154</v>
      </c>
      <c r="E62" s="80" t="b">
        <v>1</v>
      </c>
      <c r="F62" s="80" t="b">
        <v>1</v>
      </c>
      <c r="G62" s="80" t="b">
        <v>0</v>
      </c>
    </row>
    <row r="63" spans="1:7" ht="15">
      <c r="A63" s="84" t="s">
        <v>967</v>
      </c>
      <c r="B63" s="80">
        <v>4</v>
      </c>
      <c r="C63" s="109">
        <v>0.00412519527553408</v>
      </c>
      <c r="D63" s="80" t="s">
        <v>1154</v>
      </c>
      <c r="E63" s="80" t="b">
        <v>0</v>
      </c>
      <c r="F63" s="80" t="b">
        <v>0</v>
      </c>
      <c r="G63" s="80" t="b">
        <v>0</v>
      </c>
    </row>
    <row r="64" spans="1:7" ht="15">
      <c r="A64" s="84" t="s">
        <v>968</v>
      </c>
      <c r="B64" s="80">
        <v>4</v>
      </c>
      <c r="C64" s="109">
        <v>0.00412519527553408</v>
      </c>
      <c r="D64" s="80" t="s">
        <v>1154</v>
      </c>
      <c r="E64" s="80" t="b">
        <v>0</v>
      </c>
      <c r="F64" s="80" t="b">
        <v>0</v>
      </c>
      <c r="G64" s="80" t="b">
        <v>0</v>
      </c>
    </row>
    <row r="65" spans="1:7" ht="15">
      <c r="A65" s="84" t="s">
        <v>969</v>
      </c>
      <c r="B65" s="80">
        <v>4</v>
      </c>
      <c r="C65" s="109">
        <v>0.004873095885879375</v>
      </c>
      <c r="D65" s="80" t="s">
        <v>1154</v>
      </c>
      <c r="E65" s="80" t="b">
        <v>0</v>
      </c>
      <c r="F65" s="80" t="b">
        <v>0</v>
      </c>
      <c r="G65" s="80" t="b">
        <v>0</v>
      </c>
    </row>
    <row r="66" spans="1:7" ht="15">
      <c r="A66" s="84" t="s">
        <v>970</v>
      </c>
      <c r="B66" s="80">
        <v>4</v>
      </c>
      <c r="C66" s="109">
        <v>0.004873095885879375</v>
      </c>
      <c r="D66" s="80" t="s">
        <v>1154</v>
      </c>
      <c r="E66" s="80" t="b">
        <v>1</v>
      </c>
      <c r="F66" s="80" t="b">
        <v>1</v>
      </c>
      <c r="G66" s="80" t="b">
        <v>0</v>
      </c>
    </row>
    <row r="67" spans="1:7" ht="15">
      <c r="A67" s="84" t="s">
        <v>971</v>
      </c>
      <c r="B67" s="80">
        <v>3</v>
      </c>
      <c r="C67" s="109">
        <v>0.003326701555920684</v>
      </c>
      <c r="D67" s="80" t="s">
        <v>1154</v>
      </c>
      <c r="E67" s="80" t="b">
        <v>0</v>
      </c>
      <c r="F67" s="80" t="b">
        <v>0</v>
      </c>
      <c r="G67" s="80" t="b">
        <v>0</v>
      </c>
    </row>
    <row r="68" spans="1:7" ht="15">
      <c r="A68" s="84" t="s">
        <v>972</v>
      </c>
      <c r="B68" s="80">
        <v>3</v>
      </c>
      <c r="C68" s="109">
        <v>0.003326701555920684</v>
      </c>
      <c r="D68" s="80" t="s">
        <v>1154</v>
      </c>
      <c r="E68" s="80" t="b">
        <v>0</v>
      </c>
      <c r="F68" s="80" t="b">
        <v>0</v>
      </c>
      <c r="G68" s="80" t="b">
        <v>0</v>
      </c>
    </row>
    <row r="69" spans="1:7" ht="15">
      <c r="A69" s="84" t="s">
        <v>973</v>
      </c>
      <c r="B69" s="80">
        <v>3</v>
      </c>
      <c r="C69" s="109">
        <v>0.003326701555920684</v>
      </c>
      <c r="D69" s="80" t="s">
        <v>1154</v>
      </c>
      <c r="E69" s="80" t="b">
        <v>1</v>
      </c>
      <c r="F69" s="80" t="b">
        <v>1</v>
      </c>
      <c r="G69" s="80" t="b">
        <v>0</v>
      </c>
    </row>
    <row r="70" spans="1:7" ht="15">
      <c r="A70" s="84" t="s">
        <v>974</v>
      </c>
      <c r="B70" s="80">
        <v>3</v>
      </c>
      <c r="C70" s="109">
        <v>0.0036548219144095307</v>
      </c>
      <c r="D70" s="80" t="s">
        <v>1154</v>
      </c>
      <c r="E70" s="80" t="b">
        <v>0</v>
      </c>
      <c r="F70" s="80" t="b">
        <v>0</v>
      </c>
      <c r="G70" s="80" t="b">
        <v>0</v>
      </c>
    </row>
    <row r="71" spans="1:7" ht="15">
      <c r="A71" s="84" t="s">
        <v>975</v>
      </c>
      <c r="B71" s="80">
        <v>3</v>
      </c>
      <c r="C71" s="109">
        <v>0.003326701555920684</v>
      </c>
      <c r="D71" s="80" t="s">
        <v>1154</v>
      </c>
      <c r="E71" s="80" t="b">
        <v>0</v>
      </c>
      <c r="F71" s="80" t="b">
        <v>0</v>
      </c>
      <c r="G71" s="80" t="b">
        <v>0</v>
      </c>
    </row>
    <row r="72" spans="1:7" ht="15">
      <c r="A72" s="84" t="s">
        <v>976</v>
      </c>
      <c r="B72" s="80">
        <v>3</v>
      </c>
      <c r="C72" s="109">
        <v>0.003326701555920684</v>
      </c>
      <c r="D72" s="80" t="s">
        <v>1154</v>
      </c>
      <c r="E72" s="80" t="b">
        <v>0</v>
      </c>
      <c r="F72" s="80" t="b">
        <v>0</v>
      </c>
      <c r="G72" s="80" t="b">
        <v>0</v>
      </c>
    </row>
    <row r="73" spans="1:7" ht="15">
      <c r="A73" s="84" t="s">
        <v>977</v>
      </c>
      <c r="B73" s="80">
        <v>3</v>
      </c>
      <c r="C73" s="109">
        <v>0.003326701555920684</v>
      </c>
      <c r="D73" s="80" t="s">
        <v>1154</v>
      </c>
      <c r="E73" s="80" t="b">
        <v>0</v>
      </c>
      <c r="F73" s="80" t="b">
        <v>0</v>
      </c>
      <c r="G73" s="80" t="b">
        <v>0</v>
      </c>
    </row>
    <row r="74" spans="1:7" ht="15">
      <c r="A74" s="84" t="s">
        <v>978</v>
      </c>
      <c r="B74" s="80">
        <v>3</v>
      </c>
      <c r="C74" s="109">
        <v>0.003326701555920684</v>
      </c>
      <c r="D74" s="80" t="s">
        <v>1154</v>
      </c>
      <c r="E74" s="80" t="b">
        <v>0</v>
      </c>
      <c r="F74" s="80" t="b">
        <v>0</v>
      </c>
      <c r="G74" s="80" t="b">
        <v>0</v>
      </c>
    </row>
    <row r="75" spans="1:7" ht="15">
      <c r="A75" s="84" t="s">
        <v>979</v>
      </c>
      <c r="B75" s="80">
        <v>3</v>
      </c>
      <c r="C75" s="109">
        <v>0.003326701555920684</v>
      </c>
      <c r="D75" s="80" t="s">
        <v>1154</v>
      </c>
      <c r="E75" s="80" t="b">
        <v>0</v>
      </c>
      <c r="F75" s="80" t="b">
        <v>0</v>
      </c>
      <c r="G75" s="80" t="b">
        <v>0</v>
      </c>
    </row>
    <row r="76" spans="1:7" ht="15">
      <c r="A76" s="84" t="s">
        <v>980</v>
      </c>
      <c r="B76" s="80">
        <v>3</v>
      </c>
      <c r="C76" s="109">
        <v>0.003326701555920684</v>
      </c>
      <c r="D76" s="80" t="s">
        <v>1154</v>
      </c>
      <c r="E76" s="80" t="b">
        <v>0</v>
      </c>
      <c r="F76" s="80" t="b">
        <v>0</v>
      </c>
      <c r="G76" s="80" t="b">
        <v>0</v>
      </c>
    </row>
    <row r="77" spans="1:7" ht="15">
      <c r="A77" s="84" t="s">
        <v>981</v>
      </c>
      <c r="B77" s="80">
        <v>3</v>
      </c>
      <c r="C77" s="109">
        <v>0.003326701555920684</v>
      </c>
      <c r="D77" s="80" t="s">
        <v>1154</v>
      </c>
      <c r="E77" s="80" t="b">
        <v>1</v>
      </c>
      <c r="F77" s="80" t="b">
        <v>0</v>
      </c>
      <c r="G77" s="80" t="b">
        <v>0</v>
      </c>
    </row>
    <row r="78" spans="1:7" ht="15">
      <c r="A78" s="84" t="s">
        <v>982</v>
      </c>
      <c r="B78" s="80">
        <v>3</v>
      </c>
      <c r="C78" s="109">
        <v>0.003326701555920684</v>
      </c>
      <c r="D78" s="80" t="s">
        <v>1154</v>
      </c>
      <c r="E78" s="80" t="b">
        <v>0</v>
      </c>
      <c r="F78" s="80" t="b">
        <v>0</v>
      </c>
      <c r="G78" s="80" t="b">
        <v>0</v>
      </c>
    </row>
    <row r="79" spans="1:7" ht="15">
      <c r="A79" s="84" t="s">
        <v>983</v>
      </c>
      <c r="B79" s="80">
        <v>3</v>
      </c>
      <c r="C79" s="109">
        <v>0.003326701555920684</v>
      </c>
      <c r="D79" s="80" t="s">
        <v>1154</v>
      </c>
      <c r="E79" s="80" t="b">
        <v>0</v>
      </c>
      <c r="F79" s="80" t="b">
        <v>0</v>
      </c>
      <c r="G79" s="80" t="b">
        <v>0</v>
      </c>
    </row>
    <row r="80" spans="1:7" ht="15">
      <c r="A80" s="84" t="s">
        <v>984</v>
      </c>
      <c r="B80" s="80">
        <v>3</v>
      </c>
      <c r="C80" s="109">
        <v>0.003326701555920684</v>
      </c>
      <c r="D80" s="80" t="s">
        <v>1154</v>
      </c>
      <c r="E80" s="80" t="b">
        <v>1</v>
      </c>
      <c r="F80" s="80" t="b">
        <v>1</v>
      </c>
      <c r="G80" s="80" t="b">
        <v>0</v>
      </c>
    </row>
    <row r="81" spans="1:7" ht="15">
      <c r="A81" s="84" t="s">
        <v>985</v>
      </c>
      <c r="B81" s="80">
        <v>3</v>
      </c>
      <c r="C81" s="109">
        <v>0.003326701555920684</v>
      </c>
      <c r="D81" s="80" t="s">
        <v>1154</v>
      </c>
      <c r="E81" s="80" t="b">
        <v>0</v>
      </c>
      <c r="F81" s="80" t="b">
        <v>0</v>
      </c>
      <c r="G81" s="80" t="b">
        <v>0</v>
      </c>
    </row>
    <row r="82" spans="1:7" ht="15">
      <c r="A82" s="84" t="s">
        <v>986</v>
      </c>
      <c r="B82" s="80">
        <v>3</v>
      </c>
      <c r="C82" s="109">
        <v>0.003326701555920684</v>
      </c>
      <c r="D82" s="80" t="s">
        <v>1154</v>
      </c>
      <c r="E82" s="80" t="b">
        <v>0</v>
      </c>
      <c r="F82" s="80" t="b">
        <v>0</v>
      </c>
      <c r="G82" s="80" t="b">
        <v>0</v>
      </c>
    </row>
    <row r="83" spans="1:7" ht="15">
      <c r="A83" s="84" t="s">
        <v>987</v>
      </c>
      <c r="B83" s="80">
        <v>3</v>
      </c>
      <c r="C83" s="109">
        <v>0.003326701555920684</v>
      </c>
      <c r="D83" s="80" t="s">
        <v>1154</v>
      </c>
      <c r="E83" s="80" t="b">
        <v>0</v>
      </c>
      <c r="F83" s="80" t="b">
        <v>0</v>
      </c>
      <c r="G83" s="80" t="b">
        <v>0</v>
      </c>
    </row>
    <row r="84" spans="1:7" ht="15">
      <c r="A84" s="84" t="s">
        <v>988</v>
      </c>
      <c r="B84" s="80">
        <v>3</v>
      </c>
      <c r="C84" s="109">
        <v>0.003326701555920684</v>
      </c>
      <c r="D84" s="80" t="s">
        <v>1154</v>
      </c>
      <c r="E84" s="80" t="b">
        <v>1</v>
      </c>
      <c r="F84" s="80" t="b">
        <v>1</v>
      </c>
      <c r="G84" s="80" t="b">
        <v>0</v>
      </c>
    </row>
    <row r="85" spans="1:7" ht="15">
      <c r="A85" s="84" t="s">
        <v>989</v>
      </c>
      <c r="B85" s="80">
        <v>3</v>
      </c>
      <c r="C85" s="109">
        <v>0.0036548219144095307</v>
      </c>
      <c r="D85" s="80" t="s">
        <v>1154</v>
      </c>
      <c r="E85" s="80" t="b">
        <v>0</v>
      </c>
      <c r="F85" s="80" t="b">
        <v>0</v>
      </c>
      <c r="G85" s="80" t="b">
        <v>0</v>
      </c>
    </row>
    <row r="86" spans="1:7" ht="15">
      <c r="A86" s="84" t="s">
        <v>990</v>
      </c>
      <c r="B86" s="80">
        <v>3</v>
      </c>
      <c r="C86" s="109">
        <v>0.003326701555920684</v>
      </c>
      <c r="D86" s="80" t="s">
        <v>1154</v>
      </c>
      <c r="E86" s="80" t="b">
        <v>1</v>
      </c>
      <c r="F86" s="80" t="b">
        <v>1</v>
      </c>
      <c r="G86" s="80" t="b">
        <v>0</v>
      </c>
    </row>
    <row r="87" spans="1:7" ht="15">
      <c r="A87" s="84" t="s">
        <v>991</v>
      </c>
      <c r="B87" s="80">
        <v>3</v>
      </c>
      <c r="C87" s="109">
        <v>0.003326701555920684</v>
      </c>
      <c r="D87" s="80" t="s">
        <v>1154</v>
      </c>
      <c r="E87" s="80" t="b">
        <v>0</v>
      </c>
      <c r="F87" s="80" t="b">
        <v>0</v>
      </c>
      <c r="G87" s="80" t="b">
        <v>0</v>
      </c>
    </row>
    <row r="88" spans="1:7" ht="15">
      <c r="A88" s="84" t="s">
        <v>992</v>
      </c>
      <c r="B88" s="80">
        <v>3</v>
      </c>
      <c r="C88" s="109">
        <v>0.0042157473721685015</v>
      </c>
      <c r="D88" s="80" t="s">
        <v>1154</v>
      </c>
      <c r="E88" s="80" t="b">
        <v>0</v>
      </c>
      <c r="F88" s="80" t="b">
        <v>0</v>
      </c>
      <c r="G88" s="80" t="b">
        <v>0</v>
      </c>
    </row>
    <row r="89" spans="1:7" ht="15">
      <c r="A89" s="84" t="s">
        <v>993</v>
      </c>
      <c r="B89" s="80">
        <v>3</v>
      </c>
      <c r="C89" s="109">
        <v>0.003326701555920684</v>
      </c>
      <c r="D89" s="80" t="s">
        <v>1154</v>
      </c>
      <c r="E89" s="80" t="b">
        <v>0</v>
      </c>
      <c r="F89" s="80" t="b">
        <v>0</v>
      </c>
      <c r="G89" s="80" t="b">
        <v>0</v>
      </c>
    </row>
    <row r="90" spans="1:7" ht="15">
      <c r="A90" s="84" t="s">
        <v>994</v>
      </c>
      <c r="B90" s="80">
        <v>3</v>
      </c>
      <c r="C90" s="109">
        <v>0.003326701555920684</v>
      </c>
      <c r="D90" s="80" t="s">
        <v>1154</v>
      </c>
      <c r="E90" s="80" t="b">
        <v>0</v>
      </c>
      <c r="F90" s="80" t="b">
        <v>0</v>
      </c>
      <c r="G90" s="80" t="b">
        <v>0</v>
      </c>
    </row>
    <row r="91" spans="1:7" ht="15">
      <c r="A91" s="84" t="s">
        <v>995</v>
      </c>
      <c r="B91" s="80">
        <v>3</v>
      </c>
      <c r="C91" s="109">
        <v>0.003326701555920684</v>
      </c>
      <c r="D91" s="80" t="s">
        <v>1154</v>
      </c>
      <c r="E91" s="80" t="b">
        <v>0</v>
      </c>
      <c r="F91" s="80" t="b">
        <v>0</v>
      </c>
      <c r="G91" s="80" t="b">
        <v>0</v>
      </c>
    </row>
    <row r="92" spans="1:7" ht="15">
      <c r="A92" s="84" t="s">
        <v>996</v>
      </c>
      <c r="B92" s="80">
        <v>3</v>
      </c>
      <c r="C92" s="109">
        <v>0.0042157473721685015</v>
      </c>
      <c r="D92" s="80" t="s">
        <v>1154</v>
      </c>
      <c r="E92" s="80" t="b">
        <v>0</v>
      </c>
      <c r="F92" s="80" t="b">
        <v>0</v>
      </c>
      <c r="G92" s="80" t="b">
        <v>0</v>
      </c>
    </row>
    <row r="93" spans="1:7" ht="15">
      <c r="A93" s="84" t="s">
        <v>997</v>
      </c>
      <c r="B93" s="80">
        <v>3</v>
      </c>
      <c r="C93" s="109">
        <v>0.0042157473721685015</v>
      </c>
      <c r="D93" s="80" t="s">
        <v>1154</v>
      </c>
      <c r="E93" s="80" t="b">
        <v>0</v>
      </c>
      <c r="F93" s="80" t="b">
        <v>0</v>
      </c>
      <c r="G93" s="80" t="b">
        <v>0</v>
      </c>
    </row>
    <row r="94" spans="1:7" ht="15">
      <c r="A94" s="84" t="s">
        <v>998</v>
      </c>
      <c r="B94" s="80">
        <v>3</v>
      </c>
      <c r="C94" s="109">
        <v>0.003326701555920684</v>
      </c>
      <c r="D94" s="80" t="s">
        <v>1154</v>
      </c>
      <c r="E94" s="80" t="b">
        <v>0</v>
      </c>
      <c r="F94" s="80" t="b">
        <v>1</v>
      </c>
      <c r="G94" s="80" t="b">
        <v>0</v>
      </c>
    </row>
    <row r="95" spans="1:7" ht="15">
      <c r="A95" s="84" t="s">
        <v>999</v>
      </c>
      <c r="B95" s="80">
        <v>3</v>
      </c>
      <c r="C95" s="109">
        <v>0.003326701555920684</v>
      </c>
      <c r="D95" s="80" t="s">
        <v>1154</v>
      </c>
      <c r="E95" s="80" t="b">
        <v>1</v>
      </c>
      <c r="F95" s="80" t="b">
        <v>1</v>
      </c>
      <c r="G95" s="80" t="b">
        <v>0</v>
      </c>
    </row>
    <row r="96" spans="1:7" ht="15">
      <c r="A96" s="84" t="s">
        <v>1000</v>
      </c>
      <c r="B96" s="80">
        <v>3</v>
      </c>
      <c r="C96" s="109">
        <v>0.003326701555920684</v>
      </c>
      <c r="D96" s="80" t="s">
        <v>1154</v>
      </c>
      <c r="E96" s="80" t="b">
        <v>0</v>
      </c>
      <c r="F96" s="80" t="b">
        <v>0</v>
      </c>
      <c r="G96" s="80" t="b">
        <v>0</v>
      </c>
    </row>
    <row r="97" spans="1:7" ht="15">
      <c r="A97" s="84" t="s">
        <v>1001</v>
      </c>
      <c r="B97" s="80">
        <v>3</v>
      </c>
      <c r="C97" s="109">
        <v>0.003326701555920684</v>
      </c>
      <c r="D97" s="80" t="s">
        <v>1154</v>
      </c>
      <c r="E97" s="80" t="b">
        <v>0</v>
      </c>
      <c r="F97" s="80" t="b">
        <v>0</v>
      </c>
      <c r="G97" s="80" t="b">
        <v>0</v>
      </c>
    </row>
    <row r="98" spans="1:7" ht="15">
      <c r="A98" s="84" t="s">
        <v>1002</v>
      </c>
      <c r="B98" s="80">
        <v>3</v>
      </c>
      <c r="C98" s="109">
        <v>0.003326701555920684</v>
      </c>
      <c r="D98" s="80" t="s">
        <v>1154</v>
      </c>
      <c r="E98" s="80" t="b">
        <v>0</v>
      </c>
      <c r="F98" s="80" t="b">
        <v>0</v>
      </c>
      <c r="G98" s="80" t="b">
        <v>0</v>
      </c>
    </row>
    <row r="99" spans="1:7" ht="15">
      <c r="A99" s="84" t="s">
        <v>1003</v>
      </c>
      <c r="B99" s="80">
        <v>3</v>
      </c>
      <c r="C99" s="109">
        <v>0.003326701555920684</v>
      </c>
      <c r="D99" s="80" t="s">
        <v>1154</v>
      </c>
      <c r="E99" s="80" t="b">
        <v>0</v>
      </c>
      <c r="F99" s="80" t="b">
        <v>0</v>
      </c>
      <c r="G99" s="80" t="b">
        <v>0</v>
      </c>
    </row>
    <row r="100" spans="1:7" ht="15">
      <c r="A100" s="84" t="s">
        <v>1004</v>
      </c>
      <c r="B100" s="80">
        <v>3</v>
      </c>
      <c r="C100" s="109">
        <v>0.0036548219144095307</v>
      </c>
      <c r="D100" s="80" t="s">
        <v>1154</v>
      </c>
      <c r="E100" s="80" t="b">
        <v>0</v>
      </c>
      <c r="F100" s="80" t="b">
        <v>0</v>
      </c>
      <c r="G100" s="80" t="b">
        <v>0</v>
      </c>
    </row>
    <row r="101" spans="1:7" ht="15">
      <c r="A101" s="84" t="s">
        <v>1005</v>
      </c>
      <c r="B101" s="80">
        <v>3</v>
      </c>
      <c r="C101" s="109">
        <v>0.003326701555920684</v>
      </c>
      <c r="D101" s="80" t="s">
        <v>1154</v>
      </c>
      <c r="E101" s="80" t="b">
        <v>0</v>
      </c>
      <c r="F101" s="80" t="b">
        <v>0</v>
      </c>
      <c r="G101" s="80" t="b">
        <v>0</v>
      </c>
    </row>
    <row r="102" spans="1:7" ht="15">
      <c r="A102" s="84" t="s">
        <v>1006</v>
      </c>
      <c r="B102" s="80">
        <v>3</v>
      </c>
      <c r="C102" s="109">
        <v>0.003326701555920684</v>
      </c>
      <c r="D102" s="80" t="s">
        <v>1154</v>
      </c>
      <c r="E102" s="80" t="b">
        <v>0</v>
      </c>
      <c r="F102" s="80" t="b">
        <v>0</v>
      </c>
      <c r="G102" s="80" t="b">
        <v>0</v>
      </c>
    </row>
    <row r="103" spans="1:7" ht="15">
      <c r="A103" s="84" t="s">
        <v>1007</v>
      </c>
      <c r="B103" s="80">
        <v>3</v>
      </c>
      <c r="C103" s="109">
        <v>0.003326701555920684</v>
      </c>
      <c r="D103" s="80" t="s">
        <v>1154</v>
      </c>
      <c r="E103" s="80" t="b">
        <v>0</v>
      </c>
      <c r="F103" s="80" t="b">
        <v>0</v>
      </c>
      <c r="G103" s="80" t="b">
        <v>0</v>
      </c>
    </row>
    <row r="104" spans="1:7" ht="15">
      <c r="A104" s="84" t="s">
        <v>1008</v>
      </c>
      <c r="B104" s="80">
        <v>3</v>
      </c>
      <c r="C104" s="109">
        <v>0.0036548219144095307</v>
      </c>
      <c r="D104" s="80" t="s">
        <v>1154</v>
      </c>
      <c r="E104" s="80" t="b">
        <v>0</v>
      </c>
      <c r="F104" s="80" t="b">
        <v>0</v>
      </c>
      <c r="G104" s="80" t="b">
        <v>0</v>
      </c>
    </row>
    <row r="105" spans="1:7" ht="15">
      <c r="A105" s="84" t="s">
        <v>1009</v>
      </c>
      <c r="B105" s="80">
        <v>3</v>
      </c>
      <c r="C105" s="109">
        <v>0.003326701555920684</v>
      </c>
      <c r="D105" s="80" t="s">
        <v>1154</v>
      </c>
      <c r="E105" s="80" t="b">
        <v>0</v>
      </c>
      <c r="F105" s="80" t="b">
        <v>0</v>
      </c>
      <c r="G105" s="80" t="b">
        <v>0</v>
      </c>
    </row>
    <row r="106" spans="1:7" ht="15">
      <c r="A106" s="84" t="s">
        <v>1010</v>
      </c>
      <c r="B106" s="80">
        <v>3</v>
      </c>
      <c r="C106" s="109">
        <v>0.003326701555920684</v>
      </c>
      <c r="D106" s="80" t="s">
        <v>1154</v>
      </c>
      <c r="E106" s="80" t="b">
        <v>0</v>
      </c>
      <c r="F106" s="80" t="b">
        <v>0</v>
      </c>
      <c r="G106" s="80" t="b">
        <v>0</v>
      </c>
    </row>
    <row r="107" spans="1:7" ht="15">
      <c r="A107" s="84" t="s">
        <v>1011</v>
      </c>
      <c r="B107" s="80">
        <v>3</v>
      </c>
      <c r="C107" s="109">
        <v>0.0036548219144095307</v>
      </c>
      <c r="D107" s="80" t="s">
        <v>1154</v>
      </c>
      <c r="E107" s="80" t="b">
        <v>0</v>
      </c>
      <c r="F107" s="80" t="b">
        <v>0</v>
      </c>
      <c r="G107" s="80" t="b">
        <v>0</v>
      </c>
    </row>
    <row r="108" spans="1:7" ht="15">
      <c r="A108" s="84" t="s">
        <v>1012</v>
      </c>
      <c r="B108" s="80">
        <v>3</v>
      </c>
      <c r="C108" s="109">
        <v>0.003326701555920684</v>
      </c>
      <c r="D108" s="80" t="s">
        <v>1154</v>
      </c>
      <c r="E108" s="80" t="b">
        <v>0</v>
      </c>
      <c r="F108" s="80" t="b">
        <v>0</v>
      </c>
      <c r="G108" s="80" t="b">
        <v>0</v>
      </c>
    </row>
    <row r="109" spans="1:7" ht="15">
      <c r="A109" s="84" t="s">
        <v>1013</v>
      </c>
      <c r="B109" s="80">
        <v>3</v>
      </c>
      <c r="C109" s="109">
        <v>0.003326701555920684</v>
      </c>
      <c r="D109" s="80" t="s">
        <v>1154</v>
      </c>
      <c r="E109" s="80" t="b">
        <v>0</v>
      </c>
      <c r="F109" s="80" t="b">
        <v>0</v>
      </c>
      <c r="G109" s="80" t="b">
        <v>0</v>
      </c>
    </row>
    <row r="110" spans="1:7" ht="15">
      <c r="A110" s="84" t="s">
        <v>1014</v>
      </c>
      <c r="B110" s="80">
        <v>3</v>
      </c>
      <c r="C110" s="109">
        <v>0.003326701555920684</v>
      </c>
      <c r="D110" s="80" t="s">
        <v>1154</v>
      </c>
      <c r="E110" s="80" t="b">
        <v>0</v>
      </c>
      <c r="F110" s="80" t="b">
        <v>0</v>
      </c>
      <c r="G110" s="80" t="b">
        <v>0</v>
      </c>
    </row>
    <row r="111" spans="1:7" ht="15">
      <c r="A111" s="84" t="s">
        <v>1015</v>
      </c>
      <c r="B111" s="80">
        <v>3</v>
      </c>
      <c r="C111" s="109">
        <v>0.003326701555920684</v>
      </c>
      <c r="D111" s="80" t="s">
        <v>1154</v>
      </c>
      <c r="E111" s="80" t="b">
        <v>0</v>
      </c>
      <c r="F111" s="80" t="b">
        <v>0</v>
      </c>
      <c r="G111" s="80" t="b">
        <v>0</v>
      </c>
    </row>
    <row r="112" spans="1:7" ht="15">
      <c r="A112" s="84" t="s">
        <v>1016</v>
      </c>
      <c r="B112" s="80">
        <v>3</v>
      </c>
      <c r="C112" s="109">
        <v>0.003326701555920684</v>
      </c>
      <c r="D112" s="80" t="s">
        <v>1154</v>
      </c>
      <c r="E112" s="80" t="b">
        <v>0</v>
      </c>
      <c r="F112" s="80" t="b">
        <v>0</v>
      </c>
      <c r="G112" s="80" t="b">
        <v>0</v>
      </c>
    </row>
    <row r="113" spans="1:7" ht="15">
      <c r="A113" s="84" t="s">
        <v>1017</v>
      </c>
      <c r="B113" s="80">
        <v>3</v>
      </c>
      <c r="C113" s="109">
        <v>0.0042157473721685015</v>
      </c>
      <c r="D113" s="80" t="s">
        <v>1154</v>
      </c>
      <c r="E113" s="80" t="b">
        <v>0</v>
      </c>
      <c r="F113" s="80" t="b">
        <v>0</v>
      </c>
      <c r="G113" s="80" t="b">
        <v>0</v>
      </c>
    </row>
    <row r="114" spans="1:7" ht="15">
      <c r="A114" s="84" t="s">
        <v>1018</v>
      </c>
      <c r="B114" s="80">
        <v>2</v>
      </c>
      <c r="C114" s="109">
        <v>0.0024365479429396875</v>
      </c>
      <c r="D114" s="80" t="s">
        <v>1154</v>
      </c>
      <c r="E114" s="80" t="b">
        <v>0</v>
      </c>
      <c r="F114" s="80" t="b">
        <v>0</v>
      </c>
      <c r="G114" s="80" t="b">
        <v>0</v>
      </c>
    </row>
    <row r="115" spans="1:7" ht="15">
      <c r="A115" s="84" t="s">
        <v>1019</v>
      </c>
      <c r="B115" s="80">
        <v>2</v>
      </c>
      <c r="C115" s="109">
        <v>0.0024365479429396875</v>
      </c>
      <c r="D115" s="80" t="s">
        <v>1154</v>
      </c>
      <c r="E115" s="80" t="b">
        <v>0</v>
      </c>
      <c r="F115" s="80" t="b">
        <v>0</v>
      </c>
      <c r="G115" s="80" t="b">
        <v>0</v>
      </c>
    </row>
    <row r="116" spans="1:7" ht="15">
      <c r="A116" s="84" t="s">
        <v>1020</v>
      </c>
      <c r="B116" s="80">
        <v>2</v>
      </c>
      <c r="C116" s="109">
        <v>0.0024365479429396875</v>
      </c>
      <c r="D116" s="80" t="s">
        <v>1154</v>
      </c>
      <c r="E116" s="80" t="b">
        <v>0</v>
      </c>
      <c r="F116" s="80" t="b">
        <v>1</v>
      </c>
      <c r="G116" s="80" t="b">
        <v>0</v>
      </c>
    </row>
    <row r="117" spans="1:7" ht="15">
      <c r="A117" s="84" t="s">
        <v>1021</v>
      </c>
      <c r="B117" s="80">
        <v>2</v>
      </c>
      <c r="C117" s="109">
        <v>0.0024365479429396875</v>
      </c>
      <c r="D117" s="80" t="s">
        <v>1154</v>
      </c>
      <c r="E117" s="80" t="b">
        <v>0</v>
      </c>
      <c r="F117" s="80" t="b">
        <v>0</v>
      </c>
      <c r="G117" s="80" t="b">
        <v>0</v>
      </c>
    </row>
    <row r="118" spans="1:7" ht="15">
      <c r="A118" s="84" t="s">
        <v>1022</v>
      </c>
      <c r="B118" s="80">
        <v>2</v>
      </c>
      <c r="C118" s="109">
        <v>0.0024365479429396875</v>
      </c>
      <c r="D118" s="80" t="s">
        <v>1154</v>
      </c>
      <c r="E118" s="80" t="b">
        <v>0</v>
      </c>
      <c r="F118" s="80" t="b">
        <v>0</v>
      </c>
      <c r="G118" s="80" t="b">
        <v>0</v>
      </c>
    </row>
    <row r="119" spans="1:7" ht="15">
      <c r="A119" s="84" t="s">
        <v>1023</v>
      </c>
      <c r="B119" s="80">
        <v>2</v>
      </c>
      <c r="C119" s="109">
        <v>0.0024365479429396875</v>
      </c>
      <c r="D119" s="80" t="s">
        <v>1154</v>
      </c>
      <c r="E119" s="80" t="b">
        <v>0</v>
      </c>
      <c r="F119" s="80" t="b">
        <v>1</v>
      </c>
      <c r="G119" s="80" t="b">
        <v>0</v>
      </c>
    </row>
    <row r="120" spans="1:7" ht="15">
      <c r="A120" s="84" t="s">
        <v>1024</v>
      </c>
      <c r="B120" s="80">
        <v>2</v>
      </c>
      <c r="C120" s="109">
        <v>0.0024365479429396875</v>
      </c>
      <c r="D120" s="80" t="s">
        <v>1154</v>
      </c>
      <c r="E120" s="80" t="b">
        <v>0</v>
      </c>
      <c r="F120" s="80" t="b">
        <v>1</v>
      </c>
      <c r="G120" s="80" t="b">
        <v>0</v>
      </c>
    </row>
    <row r="121" spans="1:7" ht="15">
      <c r="A121" s="84" t="s">
        <v>1025</v>
      </c>
      <c r="B121" s="80">
        <v>2</v>
      </c>
      <c r="C121" s="109">
        <v>0.0024365479429396875</v>
      </c>
      <c r="D121" s="80" t="s">
        <v>1154</v>
      </c>
      <c r="E121" s="80" t="b">
        <v>1</v>
      </c>
      <c r="F121" s="80" t="b">
        <v>1</v>
      </c>
      <c r="G121" s="80" t="b">
        <v>0</v>
      </c>
    </row>
    <row r="122" spans="1:7" ht="15">
      <c r="A122" s="84" t="s">
        <v>1026</v>
      </c>
      <c r="B122" s="80">
        <v>2</v>
      </c>
      <c r="C122" s="109">
        <v>0.0024365479429396875</v>
      </c>
      <c r="D122" s="80" t="s">
        <v>1154</v>
      </c>
      <c r="E122" s="80" t="b">
        <v>0</v>
      </c>
      <c r="F122" s="80" t="b">
        <v>0</v>
      </c>
      <c r="G122" s="80" t="b">
        <v>0</v>
      </c>
    </row>
    <row r="123" spans="1:7" ht="15">
      <c r="A123" s="84" t="s">
        <v>1027</v>
      </c>
      <c r="B123" s="80">
        <v>2</v>
      </c>
      <c r="C123" s="109">
        <v>0.0024365479429396875</v>
      </c>
      <c r="D123" s="80" t="s">
        <v>1154</v>
      </c>
      <c r="E123" s="80" t="b">
        <v>1</v>
      </c>
      <c r="F123" s="80" t="b">
        <v>0</v>
      </c>
      <c r="G123" s="80" t="b">
        <v>0</v>
      </c>
    </row>
    <row r="124" spans="1:7" ht="15">
      <c r="A124" s="84" t="s">
        <v>1028</v>
      </c>
      <c r="B124" s="80">
        <v>2</v>
      </c>
      <c r="C124" s="109">
        <v>0.0024365479429396875</v>
      </c>
      <c r="D124" s="80" t="s">
        <v>1154</v>
      </c>
      <c r="E124" s="80" t="b">
        <v>0</v>
      </c>
      <c r="F124" s="80" t="b">
        <v>0</v>
      </c>
      <c r="G124" s="80" t="b">
        <v>0</v>
      </c>
    </row>
    <row r="125" spans="1:7" ht="15">
      <c r="A125" s="84" t="s">
        <v>1029</v>
      </c>
      <c r="B125" s="80">
        <v>2</v>
      </c>
      <c r="C125" s="109">
        <v>0.0024365479429396875</v>
      </c>
      <c r="D125" s="80" t="s">
        <v>1154</v>
      </c>
      <c r="E125" s="80" t="b">
        <v>0</v>
      </c>
      <c r="F125" s="80" t="b">
        <v>0</v>
      </c>
      <c r="G125" s="80" t="b">
        <v>0</v>
      </c>
    </row>
    <row r="126" spans="1:7" ht="15">
      <c r="A126" s="84" t="s">
        <v>1030</v>
      </c>
      <c r="B126" s="80">
        <v>2</v>
      </c>
      <c r="C126" s="109">
        <v>0.0024365479429396875</v>
      </c>
      <c r="D126" s="80" t="s">
        <v>1154</v>
      </c>
      <c r="E126" s="80" t="b">
        <v>0</v>
      </c>
      <c r="F126" s="80" t="b">
        <v>0</v>
      </c>
      <c r="G126" s="80" t="b">
        <v>0</v>
      </c>
    </row>
    <row r="127" spans="1:7" ht="15">
      <c r="A127" s="84" t="s">
        <v>1031</v>
      </c>
      <c r="B127" s="80">
        <v>2</v>
      </c>
      <c r="C127" s="109">
        <v>0.0024365479429396875</v>
      </c>
      <c r="D127" s="80" t="s">
        <v>1154</v>
      </c>
      <c r="E127" s="80" t="b">
        <v>0</v>
      </c>
      <c r="F127" s="80" t="b">
        <v>0</v>
      </c>
      <c r="G127" s="80" t="b">
        <v>0</v>
      </c>
    </row>
    <row r="128" spans="1:7" ht="15">
      <c r="A128" s="84" t="s">
        <v>1032</v>
      </c>
      <c r="B128" s="80">
        <v>2</v>
      </c>
      <c r="C128" s="109">
        <v>0.0024365479429396875</v>
      </c>
      <c r="D128" s="80" t="s">
        <v>1154</v>
      </c>
      <c r="E128" s="80" t="b">
        <v>0</v>
      </c>
      <c r="F128" s="80" t="b">
        <v>1</v>
      </c>
      <c r="G128" s="80" t="b">
        <v>0</v>
      </c>
    </row>
    <row r="129" spans="1:7" ht="15">
      <c r="A129" s="84" t="s">
        <v>1033</v>
      </c>
      <c r="B129" s="80">
        <v>2</v>
      </c>
      <c r="C129" s="109">
        <v>0.0024365479429396875</v>
      </c>
      <c r="D129" s="80" t="s">
        <v>1154</v>
      </c>
      <c r="E129" s="80" t="b">
        <v>0</v>
      </c>
      <c r="F129" s="80" t="b">
        <v>0</v>
      </c>
      <c r="G129" s="80" t="b">
        <v>0</v>
      </c>
    </row>
    <row r="130" spans="1:7" ht="15">
      <c r="A130" s="84" t="s">
        <v>1034</v>
      </c>
      <c r="B130" s="80">
        <v>2</v>
      </c>
      <c r="C130" s="109">
        <v>0.0024365479429396875</v>
      </c>
      <c r="D130" s="80" t="s">
        <v>1154</v>
      </c>
      <c r="E130" s="80" t="b">
        <v>0</v>
      </c>
      <c r="F130" s="80" t="b">
        <v>0</v>
      </c>
      <c r="G130" s="80" t="b">
        <v>0</v>
      </c>
    </row>
    <row r="131" spans="1:7" ht="15">
      <c r="A131" s="84" t="s">
        <v>1035</v>
      </c>
      <c r="B131" s="80">
        <v>2</v>
      </c>
      <c r="C131" s="109">
        <v>0.0024365479429396875</v>
      </c>
      <c r="D131" s="80" t="s">
        <v>1154</v>
      </c>
      <c r="E131" s="80" t="b">
        <v>0</v>
      </c>
      <c r="F131" s="80" t="b">
        <v>0</v>
      </c>
      <c r="G131" s="80" t="b">
        <v>0</v>
      </c>
    </row>
    <row r="132" spans="1:7" ht="15">
      <c r="A132" s="84" t="s">
        <v>1036</v>
      </c>
      <c r="B132" s="80">
        <v>2</v>
      </c>
      <c r="C132" s="109">
        <v>0.0024365479429396875</v>
      </c>
      <c r="D132" s="80" t="s">
        <v>1154</v>
      </c>
      <c r="E132" s="80" t="b">
        <v>0</v>
      </c>
      <c r="F132" s="80" t="b">
        <v>0</v>
      </c>
      <c r="G132" s="80" t="b">
        <v>0</v>
      </c>
    </row>
    <row r="133" spans="1:7" ht="15">
      <c r="A133" s="84" t="s">
        <v>1037</v>
      </c>
      <c r="B133" s="80">
        <v>2</v>
      </c>
      <c r="C133" s="109">
        <v>0.0024365479429396875</v>
      </c>
      <c r="D133" s="80" t="s">
        <v>1154</v>
      </c>
      <c r="E133" s="80" t="b">
        <v>0</v>
      </c>
      <c r="F133" s="80" t="b">
        <v>0</v>
      </c>
      <c r="G133" s="80" t="b">
        <v>0</v>
      </c>
    </row>
    <row r="134" spans="1:7" ht="15">
      <c r="A134" s="84" t="s">
        <v>1038</v>
      </c>
      <c r="B134" s="80">
        <v>2</v>
      </c>
      <c r="C134" s="109">
        <v>0.0024365479429396875</v>
      </c>
      <c r="D134" s="80" t="s">
        <v>1154</v>
      </c>
      <c r="E134" s="80" t="b">
        <v>0</v>
      </c>
      <c r="F134" s="80" t="b">
        <v>0</v>
      </c>
      <c r="G134" s="80" t="b">
        <v>0</v>
      </c>
    </row>
    <row r="135" spans="1:7" ht="15">
      <c r="A135" s="84" t="s">
        <v>1039</v>
      </c>
      <c r="B135" s="80">
        <v>2</v>
      </c>
      <c r="C135" s="109">
        <v>0.0024365479429396875</v>
      </c>
      <c r="D135" s="80" t="s">
        <v>1154</v>
      </c>
      <c r="E135" s="80" t="b">
        <v>0</v>
      </c>
      <c r="F135" s="80" t="b">
        <v>0</v>
      </c>
      <c r="G135" s="80" t="b">
        <v>0</v>
      </c>
    </row>
    <row r="136" spans="1:7" ht="15">
      <c r="A136" s="84" t="s">
        <v>1040</v>
      </c>
      <c r="B136" s="80">
        <v>2</v>
      </c>
      <c r="C136" s="109">
        <v>0.0024365479429396875</v>
      </c>
      <c r="D136" s="80" t="s">
        <v>1154</v>
      </c>
      <c r="E136" s="80" t="b">
        <v>0</v>
      </c>
      <c r="F136" s="80" t="b">
        <v>0</v>
      </c>
      <c r="G136" s="80" t="b">
        <v>0</v>
      </c>
    </row>
    <row r="137" spans="1:7" ht="15">
      <c r="A137" s="84" t="s">
        <v>1041</v>
      </c>
      <c r="B137" s="80">
        <v>2</v>
      </c>
      <c r="C137" s="109">
        <v>0.0024365479429396875</v>
      </c>
      <c r="D137" s="80" t="s">
        <v>1154</v>
      </c>
      <c r="E137" s="80" t="b">
        <v>0</v>
      </c>
      <c r="F137" s="80" t="b">
        <v>0</v>
      </c>
      <c r="G137" s="80" t="b">
        <v>0</v>
      </c>
    </row>
    <row r="138" spans="1:7" ht="15">
      <c r="A138" s="84" t="s">
        <v>1042</v>
      </c>
      <c r="B138" s="80">
        <v>2</v>
      </c>
      <c r="C138" s="109">
        <v>0.0024365479429396875</v>
      </c>
      <c r="D138" s="80" t="s">
        <v>1154</v>
      </c>
      <c r="E138" s="80" t="b">
        <v>0</v>
      </c>
      <c r="F138" s="80" t="b">
        <v>0</v>
      </c>
      <c r="G138" s="80" t="b">
        <v>0</v>
      </c>
    </row>
    <row r="139" spans="1:7" ht="15">
      <c r="A139" s="84" t="s">
        <v>1043</v>
      </c>
      <c r="B139" s="80">
        <v>2</v>
      </c>
      <c r="C139" s="109">
        <v>0.0024365479429396875</v>
      </c>
      <c r="D139" s="80" t="s">
        <v>1154</v>
      </c>
      <c r="E139" s="80" t="b">
        <v>1</v>
      </c>
      <c r="F139" s="80" t="b">
        <v>0</v>
      </c>
      <c r="G139" s="80" t="b">
        <v>0</v>
      </c>
    </row>
    <row r="140" spans="1:7" ht="15">
      <c r="A140" s="84" t="s">
        <v>1044</v>
      </c>
      <c r="B140" s="80">
        <v>2</v>
      </c>
      <c r="C140" s="109">
        <v>0.0024365479429396875</v>
      </c>
      <c r="D140" s="80" t="s">
        <v>1154</v>
      </c>
      <c r="E140" s="80" t="b">
        <v>0</v>
      </c>
      <c r="F140" s="80" t="b">
        <v>0</v>
      </c>
      <c r="G140" s="80" t="b">
        <v>0</v>
      </c>
    </row>
    <row r="141" spans="1:7" ht="15">
      <c r="A141" s="84" t="s">
        <v>1045</v>
      </c>
      <c r="B141" s="80">
        <v>2</v>
      </c>
      <c r="C141" s="109">
        <v>0.0024365479429396875</v>
      </c>
      <c r="D141" s="80" t="s">
        <v>1154</v>
      </c>
      <c r="E141" s="80" t="b">
        <v>0</v>
      </c>
      <c r="F141" s="80" t="b">
        <v>0</v>
      </c>
      <c r="G141" s="80" t="b">
        <v>0</v>
      </c>
    </row>
    <row r="142" spans="1:7" ht="15">
      <c r="A142" s="84" t="s">
        <v>1046</v>
      </c>
      <c r="B142" s="80">
        <v>2</v>
      </c>
      <c r="C142" s="109">
        <v>0.0028104982481123347</v>
      </c>
      <c r="D142" s="80" t="s">
        <v>1154</v>
      </c>
      <c r="E142" s="80" t="b">
        <v>0</v>
      </c>
      <c r="F142" s="80" t="b">
        <v>0</v>
      </c>
      <c r="G142" s="80" t="b">
        <v>0</v>
      </c>
    </row>
    <row r="143" spans="1:7" ht="15">
      <c r="A143" s="84" t="s">
        <v>1047</v>
      </c>
      <c r="B143" s="80">
        <v>2</v>
      </c>
      <c r="C143" s="109">
        <v>0.0024365479429396875</v>
      </c>
      <c r="D143" s="80" t="s">
        <v>1154</v>
      </c>
      <c r="E143" s="80" t="b">
        <v>1</v>
      </c>
      <c r="F143" s="80" t="b">
        <v>1</v>
      </c>
      <c r="G143" s="80" t="b">
        <v>0</v>
      </c>
    </row>
    <row r="144" spans="1:7" ht="15">
      <c r="A144" s="84" t="s">
        <v>1048</v>
      </c>
      <c r="B144" s="80">
        <v>2</v>
      </c>
      <c r="C144" s="109">
        <v>0.0028104982481123347</v>
      </c>
      <c r="D144" s="80" t="s">
        <v>1154</v>
      </c>
      <c r="E144" s="80" t="b">
        <v>0</v>
      </c>
      <c r="F144" s="80" t="b">
        <v>0</v>
      </c>
      <c r="G144" s="80" t="b">
        <v>0</v>
      </c>
    </row>
    <row r="145" spans="1:7" ht="15">
      <c r="A145" s="84" t="s">
        <v>1049</v>
      </c>
      <c r="B145" s="80">
        <v>2</v>
      </c>
      <c r="C145" s="109">
        <v>0.0028104982481123347</v>
      </c>
      <c r="D145" s="80" t="s">
        <v>1154</v>
      </c>
      <c r="E145" s="80" t="b">
        <v>0</v>
      </c>
      <c r="F145" s="80" t="b">
        <v>0</v>
      </c>
      <c r="G145" s="80" t="b">
        <v>0</v>
      </c>
    </row>
    <row r="146" spans="1:7" ht="15">
      <c r="A146" s="84" t="s">
        <v>1050</v>
      </c>
      <c r="B146" s="80">
        <v>2</v>
      </c>
      <c r="C146" s="109">
        <v>0.0028104982481123347</v>
      </c>
      <c r="D146" s="80" t="s">
        <v>1154</v>
      </c>
      <c r="E146" s="80" t="b">
        <v>0</v>
      </c>
      <c r="F146" s="80" t="b">
        <v>0</v>
      </c>
      <c r="G146" s="80" t="b">
        <v>0</v>
      </c>
    </row>
    <row r="147" spans="1:7" ht="15">
      <c r="A147" s="84" t="s">
        <v>1051</v>
      </c>
      <c r="B147" s="80">
        <v>2</v>
      </c>
      <c r="C147" s="109">
        <v>0.0024365479429396875</v>
      </c>
      <c r="D147" s="80" t="s">
        <v>1154</v>
      </c>
      <c r="E147" s="80" t="b">
        <v>0</v>
      </c>
      <c r="F147" s="80" t="b">
        <v>1</v>
      </c>
      <c r="G147" s="80" t="b">
        <v>0</v>
      </c>
    </row>
    <row r="148" spans="1:7" ht="15">
      <c r="A148" s="84" t="s">
        <v>1052</v>
      </c>
      <c r="B148" s="80">
        <v>2</v>
      </c>
      <c r="C148" s="109">
        <v>0.0024365479429396875</v>
      </c>
      <c r="D148" s="80" t="s">
        <v>1154</v>
      </c>
      <c r="E148" s="80" t="b">
        <v>0</v>
      </c>
      <c r="F148" s="80" t="b">
        <v>0</v>
      </c>
      <c r="G148" s="80" t="b">
        <v>0</v>
      </c>
    </row>
    <row r="149" spans="1:7" ht="15">
      <c r="A149" s="84" t="s">
        <v>1053</v>
      </c>
      <c r="B149" s="80">
        <v>2</v>
      </c>
      <c r="C149" s="109">
        <v>0.0028104982481123347</v>
      </c>
      <c r="D149" s="80" t="s">
        <v>1154</v>
      </c>
      <c r="E149" s="80" t="b">
        <v>0</v>
      </c>
      <c r="F149" s="80" t="b">
        <v>1</v>
      </c>
      <c r="G149" s="80" t="b">
        <v>0</v>
      </c>
    </row>
    <row r="150" spans="1:7" ht="15">
      <c r="A150" s="84" t="s">
        <v>1054</v>
      </c>
      <c r="B150" s="80">
        <v>2</v>
      </c>
      <c r="C150" s="109">
        <v>0.0024365479429396875</v>
      </c>
      <c r="D150" s="80" t="s">
        <v>1154</v>
      </c>
      <c r="E150" s="80" t="b">
        <v>0</v>
      </c>
      <c r="F150" s="80" t="b">
        <v>1</v>
      </c>
      <c r="G150" s="80" t="b">
        <v>0</v>
      </c>
    </row>
    <row r="151" spans="1:7" ht="15">
      <c r="A151" s="84" t="s">
        <v>1055</v>
      </c>
      <c r="B151" s="80">
        <v>2</v>
      </c>
      <c r="C151" s="109">
        <v>0.0024365479429396875</v>
      </c>
      <c r="D151" s="80" t="s">
        <v>1154</v>
      </c>
      <c r="E151" s="80" t="b">
        <v>0</v>
      </c>
      <c r="F151" s="80" t="b">
        <v>0</v>
      </c>
      <c r="G151" s="80" t="b">
        <v>0</v>
      </c>
    </row>
    <row r="152" spans="1:7" ht="15">
      <c r="A152" s="84" t="s">
        <v>1056</v>
      </c>
      <c r="B152" s="80">
        <v>2</v>
      </c>
      <c r="C152" s="109">
        <v>0.0024365479429396875</v>
      </c>
      <c r="D152" s="80" t="s">
        <v>1154</v>
      </c>
      <c r="E152" s="80" t="b">
        <v>0</v>
      </c>
      <c r="F152" s="80" t="b">
        <v>0</v>
      </c>
      <c r="G152" s="80" t="b">
        <v>0</v>
      </c>
    </row>
    <row r="153" spans="1:7" ht="15">
      <c r="A153" s="84" t="s">
        <v>1057</v>
      </c>
      <c r="B153" s="80">
        <v>2</v>
      </c>
      <c r="C153" s="109">
        <v>0.0024365479429396875</v>
      </c>
      <c r="D153" s="80" t="s">
        <v>1154</v>
      </c>
      <c r="E153" s="80" t="b">
        <v>0</v>
      </c>
      <c r="F153" s="80" t="b">
        <v>0</v>
      </c>
      <c r="G153" s="80" t="b">
        <v>0</v>
      </c>
    </row>
    <row r="154" spans="1:7" ht="15">
      <c r="A154" s="84" t="s">
        <v>1058</v>
      </c>
      <c r="B154" s="80">
        <v>2</v>
      </c>
      <c r="C154" s="109">
        <v>0.0024365479429396875</v>
      </c>
      <c r="D154" s="80" t="s">
        <v>1154</v>
      </c>
      <c r="E154" s="80" t="b">
        <v>0</v>
      </c>
      <c r="F154" s="80" t="b">
        <v>0</v>
      </c>
      <c r="G154" s="80" t="b">
        <v>0</v>
      </c>
    </row>
    <row r="155" spans="1:7" ht="15">
      <c r="A155" s="84" t="s">
        <v>1059</v>
      </c>
      <c r="B155" s="80">
        <v>2</v>
      </c>
      <c r="C155" s="109">
        <v>0.0024365479429396875</v>
      </c>
      <c r="D155" s="80" t="s">
        <v>1154</v>
      </c>
      <c r="E155" s="80" t="b">
        <v>0</v>
      </c>
      <c r="F155" s="80" t="b">
        <v>0</v>
      </c>
      <c r="G155" s="80" t="b">
        <v>0</v>
      </c>
    </row>
    <row r="156" spans="1:7" ht="15">
      <c r="A156" s="84" t="s">
        <v>1060</v>
      </c>
      <c r="B156" s="80">
        <v>2</v>
      </c>
      <c r="C156" s="109">
        <v>0.0028104982481123347</v>
      </c>
      <c r="D156" s="80" t="s">
        <v>1154</v>
      </c>
      <c r="E156" s="80" t="b">
        <v>0</v>
      </c>
      <c r="F156" s="80" t="b">
        <v>0</v>
      </c>
      <c r="G156" s="80" t="b">
        <v>0</v>
      </c>
    </row>
    <row r="157" spans="1:7" ht="15">
      <c r="A157" s="84" t="s">
        <v>1061</v>
      </c>
      <c r="B157" s="80">
        <v>2</v>
      </c>
      <c r="C157" s="109">
        <v>0.0024365479429396875</v>
      </c>
      <c r="D157" s="80" t="s">
        <v>1154</v>
      </c>
      <c r="E157" s="80" t="b">
        <v>0</v>
      </c>
      <c r="F157" s="80" t="b">
        <v>0</v>
      </c>
      <c r="G157" s="80" t="b">
        <v>0</v>
      </c>
    </row>
    <row r="158" spans="1:7" ht="15">
      <c r="A158" s="84" t="s">
        <v>1062</v>
      </c>
      <c r="B158" s="80">
        <v>2</v>
      </c>
      <c r="C158" s="109">
        <v>0.0024365479429396875</v>
      </c>
      <c r="D158" s="80" t="s">
        <v>1154</v>
      </c>
      <c r="E158" s="80" t="b">
        <v>0</v>
      </c>
      <c r="F158" s="80" t="b">
        <v>1</v>
      </c>
      <c r="G158" s="80" t="b">
        <v>0</v>
      </c>
    </row>
    <row r="159" spans="1:7" ht="15">
      <c r="A159" s="84" t="s">
        <v>1063</v>
      </c>
      <c r="B159" s="80">
        <v>2</v>
      </c>
      <c r="C159" s="109">
        <v>0.0028104982481123347</v>
      </c>
      <c r="D159" s="80" t="s">
        <v>1154</v>
      </c>
      <c r="E159" s="80" t="b">
        <v>0</v>
      </c>
      <c r="F159" s="80" t="b">
        <v>0</v>
      </c>
      <c r="G159" s="80" t="b">
        <v>0</v>
      </c>
    </row>
    <row r="160" spans="1:7" ht="15">
      <c r="A160" s="84" t="s">
        <v>1064</v>
      </c>
      <c r="B160" s="80">
        <v>2</v>
      </c>
      <c r="C160" s="109">
        <v>0.0028104982481123347</v>
      </c>
      <c r="D160" s="80" t="s">
        <v>1154</v>
      </c>
      <c r="E160" s="80" t="b">
        <v>0</v>
      </c>
      <c r="F160" s="80" t="b">
        <v>0</v>
      </c>
      <c r="G160" s="80" t="b">
        <v>0</v>
      </c>
    </row>
    <row r="161" spans="1:7" ht="15">
      <c r="A161" s="84" t="s">
        <v>1065</v>
      </c>
      <c r="B161" s="80">
        <v>2</v>
      </c>
      <c r="C161" s="109">
        <v>0.0028104982481123347</v>
      </c>
      <c r="D161" s="80" t="s">
        <v>1154</v>
      </c>
      <c r="E161" s="80" t="b">
        <v>0</v>
      </c>
      <c r="F161" s="80" t="b">
        <v>0</v>
      </c>
      <c r="G161" s="80" t="b">
        <v>0</v>
      </c>
    </row>
    <row r="162" spans="1:7" ht="15">
      <c r="A162" s="84" t="s">
        <v>1066</v>
      </c>
      <c r="B162" s="80">
        <v>2</v>
      </c>
      <c r="C162" s="109">
        <v>0.0028104982481123347</v>
      </c>
      <c r="D162" s="80" t="s">
        <v>1154</v>
      </c>
      <c r="E162" s="80" t="b">
        <v>0</v>
      </c>
      <c r="F162" s="80" t="b">
        <v>0</v>
      </c>
      <c r="G162" s="80" t="b">
        <v>0</v>
      </c>
    </row>
    <row r="163" spans="1:7" ht="15">
      <c r="A163" s="84" t="s">
        <v>1067</v>
      </c>
      <c r="B163" s="80">
        <v>2</v>
      </c>
      <c r="C163" s="109">
        <v>0.0024365479429396875</v>
      </c>
      <c r="D163" s="80" t="s">
        <v>1154</v>
      </c>
      <c r="E163" s="80" t="b">
        <v>0</v>
      </c>
      <c r="F163" s="80" t="b">
        <v>0</v>
      </c>
      <c r="G163" s="80" t="b">
        <v>0</v>
      </c>
    </row>
    <row r="164" spans="1:7" ht="15">
      <c r="A164" s="84" t="s">
        <v>1068</v>
      </c>
      <c r="B164" s="80">
        <v>2</v>
      </c>
      <c r="C164" s="109">
        <v>0.0024365479429396875</v>
      </c>
      <c r="D164" s="80" t="s">
        <v>1154</v>
      </c>
      <c r="E164" s="80" t="b">
        <v>0</v>
      </c>
      <c r="F164" s="80" t="b">
        <v>0</v>
      </c>
      <c r="G164" s="80" t="b">
        <v>0</v>
      </c>
    </row>
    <row r="165" spans="1:7" ht="15">
      <c r="A165" s="84" t="s">
        <v>1069</v>
      </c>
      <c r="B165" s="80">
        <v>2</v>
      </c>
      <c r="C165" s="109">
        <v>0.0024365479429396875</v>
      </c>
      <c r="D165" s="80" t="s">
        <v>1154</v>
      </c>
      <c r="E165" s="80" t="b">
        <v>0</v>
      </c>
      <c r="F165" s="80" t="b">
        <v>0</v>
      </c>
      <c r="G165" s="80" t="b">
        <v>0</v>
      </c>
    </row>
    <row r="166" spans="1:7" ht="15">
      <c r="A166" s="84" t="s">
        <v>1070</v>
      </c>
      <c r="B166" s="80">
        <v>2</v>
      </c>
      <c r="C166" s="109">
        <v>0.0024365479429396875</v>
      </c>
      <c r="D166" s="80" t="s">
        <v>1154</v>
      </c>
      <c r="E166" s="80" t="b">
        <v>0</v>
      </c>
      <c r="F166" s="80" t="b">
        <v>0</v>
      </c>
      <c r="G166" s="80" t="b">
        <v>0</v>
      </c>
    </row>
    <row r="167" spans="1:7" ht="15">
      <c r="A167" s="84" t="s">
        <v>1071</v>
      </c>
      <c r="B167" s="80">
        <v>2</v>
      </c>
      <c r="C167" s="109">
        <v>0.0024365479429396875</v>
      </c>
      <c r="D167" s="80" t="s">
        <v>1154</v>
      </c>
      <c r="E167" s="80" t="b">
        <v>0</v>
      </c>
      <c r="F167" s="80" t="b">
        <v>0</v>
      </c>
      <c r="G167" s="80" t="b">
        <v>0</v>
      </c>
    </row>
    <row r="168" spans="1:7" ht="15">
      <c r="A168" s="84" t="s">
        <v>1072</v>
      </c>
      <c r="B168" s="80">
        <v>2</v>
      </c>
      <c r="C168" s="109">
        <v>0.0024365479429396875</v>
      </c>
      <c r="D168" s="80" t="s">
        <v>1154</v>
      </c>
      <c r="E168" s="80" t="b">
        <v>0</v>
      </c>
      <c r="F168" s="80" t="b">
        <v>0</v>
      </c>
      <c r="G168" s="80" t="b">
        <v>0</v>
      </c>
    </row>
    <row r="169" spans="1:7" ht="15">
      <c r="A169" s="84" t="s">
        <v>1073</v>
      </c>
      <c r="B169" s="80">
        <v>2</v>
      </c>
      <c r="C169" s="109">
        <v>0.0028104982481123347</v>
      </c>
      <c r="D169" s="80" t="s">
        <v>1154</v>
      </c>
      <c r="E169" s="80" t="b">
        <v>0</v>
      </c>
      <c r="F169" s="80" t="b">
        <v>1</v>
      </c>
      <c r="G169" s="80" t="b">
        <v>0</v>
      </c>
    </row>
    <row r="170" spans="1:7" ht="15">
      <c r="A170" s="84" t="s">
        <v>1074</v>
      </c>
      <c r="B170" s="80">
        <v>2</v>
      </c>
      <c r="C170" s="109">
        <v>0.0024365479429396875</v>
      </c>
      <c r="D170" s="80" t="s">
        <v>1154</v>
      </c>
      <c r="E170" s="80" t="b">
        <v>0</v>
      </c>
      <c r="F170" s="80" t="b">
        <v>0</v>
      </c>
      <c r="G170" s="80" t="b">
        <v>0</v>
      </c>
    </row>
    <row r="171" spans="1:7" ht="15">
      <c r="A171" s="84" t="s">
        <v>1075</v>
      </c>
      <c r="B171" s="80">
        <v>2</v>
      </c>
      <c r="C171" s="109">
        <v>0.0028104982481123347</v>
      </c>
      <c r="D171" s="80" t="s">
        <v>1154</v>
      </c>
      <c r="E171" s="80" t="b">
        <v>0</v>
      </c>
      <c r="F171" s="80" t="b">
        <v>0</v>
      </c>
      <c r="G171" s="80" t="b">
        <v>0</v>
      </c>
    </row>
    <row r="172" spans="1:7" ht="15">
      <c r="A172" s="84" t="s">
        <v>1076</v>
      </c>
      <c r="B172" s="80">
        <v>2</v>
      </c>
      <c r="C172" s="109">
        <v>0.0028104982481123347</v>
      </c>
      <c r="D172" s="80" t="s">
        <v>1154</v>
      </c>
      <c r="E172" s="80" t="b">
        <v>0</v>
      </c>
      <c r="F172" s="80" t="b">
        <v>1</v>
      </c>
      <c r="G172" s="80" t="b">
        <v>0</v>
      </c>
    </row>
    <row r="173" spans="1:7" ht="15">
      <c r="A173" s="84" t="s">
        <v>1077</v>
      </c>
      <c r="B173" s="80">
        <v>2</v>
      </c>
      <c r="C173" s="109">
        <v>0.0024365479429396875</v>
      </c>
      <c r="D173" s="80" t="s">
        <v>1154</v>
      </c>
      <c r="E173" s="80" t="b">
        <v>0</v>
      </c>
      <c r="F173" s="80" t="b">
        <v>0</v>
      </c>
      <c r="G173" s="80" t="b">
        <v>0</v>
      </c>
    </row>
    <row r="174" spans="1:7" ht="15">
      <c r="A174" s="84" t="s">
        <v>1078</v>
      </c>
      <c r="B174" s="80">
        <v>2</v>
      </c>
      <c r="C174" s="109">
        <v>0.0024365479429396875</v>
      </c>
      <c r="D174" s="80" t="s">
        <v>1154</v>
      </c>
      <c r="E174" s="80" t="b">
        <v>0</v>
      </c>
      <c r="F174" s="80" t="b">
        <v>0</v>
      </c>
      <c r="G174" s="80" t="b">
        <v>0</v>
      </c>
    </row>
    <row r="175" spans="1:7" ht="15">
      <c r="A175" s="84" t="s">
        <v>1079</v>
      </c>
      <c r="B175" s="80">
        <v>2</v>
      </c>
      <c r="C175" s="109">
        <v>0.0028104982481123347</v>
      </c>
      <c r="D175" s="80" t="s">
        <v>1154</v>
      </c>
      <c r="E175" s="80" t="b">
        <v>0</v>
      </c>
      <c r="F175" s="80" t="b">
        <v>0</v>
      </c>
      <c r="G175" s="80" t="b">
        <v>0</v>
      </c>
    </row>
    <row r="176" spans="1:7" ht="15">
      <c r="A176" s="84" t="s">
        <v>1080</v>
      </c>
      <c r="B176" s="80">
        <v>2</v>
      </c>
      <c r="C176" s="109">
        <v>0.0024365479429396875</v>
      </c>
      <c r="D176" s="80" t="s">
        <v>1154</v>
      </c>
      <c r="E176" s="80" t="b">
        <v>0</v>
      </c>
      <c r="F176" s="80" t="b">
        <v>0</v>
      </c>
      <c r="G176" s="80" t="b">
        <v>0</v>
      </c>
    </row>
    <row r="177" spans="1:7" ht="15">
      <c r="A177" s="84" t="s">
        <v>1081</v>
      </c>
      <c r="B177" s="80">
        <v>2</v>
      </c>
      <c r="C177" s="109">
        <v>0.0024365479429396875</v>
      </c>
      <c r="D177" s="80" t="s">
        <v>1154</v>
      </c>
      <c r="E177" s="80" t="b">
        <v>0</v>
      </c>
      <c r="F177" s="80" t="b">
        <v>0</v>
      </c>
      <c r="G177" s="80" t="b">
        <v>0</v>
      </c>
    </row>
    <row r="178" spans="1:7" ht="15">
      <c r="A178" s="84" t="s">
        <v>1082</v>
      </c>
      <c r="B178" s="80">
        <v>2</v>
      </c>
      <c r="C178" s="109">
        <v>0.0024365479429396875</v>
      </c>
      <c r="D178" s="80" t="s">
        <v>1154</v>
      </c>
      <c r="E178" s="80" t="b">
        <v>0</v>
      </c>
      <c r="F178" s="80" t="b">
        <v>0</v>
      </c>
      <c r="G178" s="80" t="b">
        <v>0</v>
      </c>
    </row>
    <row r="179" spans="1:7" ht="15">
      <c r="A179" s="84" t="s">
        <v>1083</v>
      </c>
      <c r="B179" s="80">
        <v>2</v>
      </c>
      <c r="C179" s="109">
        <v>0.0024365479429396875</v>
      </c>
      <c r="D179" s="80" t="s">
        <v>1154</v>
      </c>
      <c r="E179" s="80" t="b">
        <v>0</v>
      </c>
      <c r="F179" s="80" t="b">
        <v>0</v>
      </c>
      <c r="G179" s="80" t="b">
        <v>0</v>
      </c>
    </row>
    <row r="180" spans="1:7" ht="15">
      <c r="A180" s="84" t="s">
        <v>1084</v>
      </c>
      <c r="B180" s="80">
        <v>2</v>
      </c>
      <c r="C180" s="109">
        <v>0.0024365479429396875</v>
      </c>
      <c r="D180" s="80" t="s">
        <v>1154</v>
      </c>
      <c r="E180" s="80" t="b">
        <v>1</v>
      </c>
      <c r="F180" s="80" t="b">
        <v>0</v>
      </c>
      <c r="G180" s="80" t="b">
        <v>0</v>
      </c>
    </row>
    <row r="181" spans="1:7" ht="15">
      <c r="A181" s="84" t="s">
        <v>1085</v>
      </c>
      <c r="B181" s="80">
        <v>2</v>
      </c>
      <c r="C181" s="109">
        <v>0.0024365479429396875</v>
      </c>
      <c r="D181" s="80" t="s">
        <v>1154</v>
      </c>
      <c r="E181" s="80" t="b">
        <v>0</v>
      </c>
      <c r="F181" s="80" t="b">
        <v>0</v>
      </c>
      <c r="G181" s="80" t="b">
        <v>0</v>
      </c>
    </row>
    <row r="182" spans="1:7" ht="15">
      <c r="A182" s="84" t="s">
        <v>1086</v>
      </c>
      <c r="B182" s="80">
        <v>2</v>
      </c>
      <c r="C182" s="109">
        <v>0.0024365479429396875</v>
      </c>
      <c r="D182" s="80" t="s">
        <v>1154</v>
      </c>
      <c r="E182" s="80" t="b">
        <v>0</v>
      </c>
      <c r="F182" s="80" t="b">
        <v>0</v>
      </c>
      <c r="G182" s="80" t="b">
        <v>0</v>
      </c>
    </row>
    <row r="183" spans="1:7" ht="15">
      <c r="A183" s="84" t="s">
        <v>1087</v>
      </c>
      <c r="B183" s="80">
        <v>2</v>
      </c>
      <c r="C183" s="109">
        <v>0.0024365479429396875</v>
      </c>
      <c r="D183" s="80" t="s">
        <v>1154</v>
      </c>
      <c r="E183" s="80" t="b">
        <v>0</v>
      </c>
      <c r="F183" s="80" t="b">
        <v>0</v>
      </c>
      <c r="G183" s="80" t="b">
        <v>0</v>
      </c>
    </row>
    <row r="184" spans="1:7" ht="15">
      <c r="A184" s="84" t="s">
        <v>1088</v>
      </c>
      <c r="B184" s="80">
        <v>2</v>
      </c>
      <c r="C184" s="109">
        <v>0.0024365479429396875</v>
      </c>
      <c r="D184" s="80" t="s">
        <v>1154</v>
      </c>
      <c r="E184" s="80" t="b">
        <v>0</v>
      </c>
      <c r="F184" s="80" t="b">
        <v>0</v>
      </c>
      <c r="G184" s="80" t="b">
        <v>0</v>
      </c>
    </row>
    <row r="185" spans="1:7" ht="15">
      <c r="A185" s="84" t="s">
        <v>1089</v>
      </c>
      <c r="B185" s="80">
        <v>2</v>
      </c>
      <c r="C185" s="109">
        <v>0.0024365479429396875</v>
      </c>
      <c r="D185" s="80" t="s">
        <v>1154</v>
      </c>
      <c r="E185" s="80" t="b">
        <v>0</v>
      </c>
      <c r="F185" s="80" t="b">
        <v>0</v>
      </c>
      <c r="G185" s="80" t="b">
        <v>0</v>
      </c>
    </row>
    <row r="186" spans="1:7" ht="15">
      <c r="A186" s="84" t="s">
        <v>1090</v>
      </c>
      <c r="B186" s="80">
        <v>2</v>
      </c>
      <c r="C186" s="109">
        <v>0.0024365479429396875</v>
      </c>
      <c r="D186" s="80" t="s">
        <v>1154</v>
      </c>
      <c r="E186" s="80" t="b">
        <v>0</v>
      </c>
      <c r="F186" s="80" t="b">
        <v>0</v>
      </c>
      <c r="G186" s="80" t="b">
        <v>0</v>
      </c>
    </row>
    <row r="187" spans="1:7" ht="15">
      <c r="A187" s="84" t="s">
        <v>1091</v>
      </c>
      <c r="B187" s="80">
        <v>2</v>
      </c>
      <c r="C187" s="109">
        <v>0.0024365479429396875</v>
      </c>
      <c r="D187" s="80" t="s">
        <v>1154</v>
      </c>
      <c r="E187" s="80" t="b">
        <v>0</v>
      </c>
      <c r="F187" s="80" t="b">
        <v>1</v>
      </c>
      <c r="G187" s="80" t="b">
        <v>0</v>
      </c>
    </row>
    <row r="188" spans="1:7" ht="15">
      <c r="A188" s="84" t="s">
        <v>1092</v>
      </c>
      <c r="B188" s="80">
        <v>2</v>
      </c>
      <c r="C188" s="109">
        <v>0.0024365479429396875</v>
      </c>
      <c r="D188" s="80" t="s">
        <v>1154</v>
      </c>
      <c r="E188" s="80" t="b">
        <v>0</v>
      </c>
      <c r="F188" s="80" t="b">
        <v>0</v>
      </c>
      <c r="G188" s="80" t="b">
        <v>0</v>
      </c>
    </row>
    <row r="189" spans="1:7" ht="15">
      <c r="A189" s="84" t="s">
        <v>1093</v>
      </c>
      <c r="B189" s="80">
        <v>2</v>
      </c>
      <c r="C189" s="109">
        <v>0.0024365479429396875</v>
      </c>
      <c r="D189" s="80" t="s">
        <v>1154</v>
      </c>
      <c r="E189" s="80" t="b">
        <v>0</v>
      </c>
      <c r="F189" s="80" t="b">
        <v>0</v>
      </c>
      <c r="G189" s="80" t="b">
        <v>0</v>
      </c>
    </row>
    <row r="190" spans="1:7" ht="15">
      <c r="A190" s="84" t="s">
        <v>1094</v>
      </c>
      <c r="B190" s="80">
        <v>2</v>
      </c>
      <c r="C190" s="109">
        <v>0.0024365479429396875</v>
      </c>
      <c r="D190" s="80" t="s">
        <v>1154</v>
      </c>
      <c r="E190" s="80" t="b">
        <v>0</v>
      </c>
      <c r="F190" s="80" t="b">
        <v>0</v>
      </c>
      <c r="G190" s="80" t="b">
        <v>0</v>
      </c>
    </row>
    <row r="191" spans="1:7" ht="15">
      <c r="A191" s="84" t="s">
        <v>1095</v>
      </c>
      <c r="B191" s="80">
        <v>2</v>
      </c>
      <c r="C191" s="109">
        <v>0.0024365479429396875</v>
      </c>
      <c r="D191" s="80" t="s">
        <v>1154</v>
      </c>
      <c r="E191" s="80" t="b">
        <v>1</v>
      </c>
      <c r="F191" s="80" t="b">
        <v>0</v>
      </c>
      <c r="G191" s="80" t="b">
        <v>0</v>
      </c>
    </row>
    <row r="192" spans="1:7" ht="15">
      <c r="A192" s="84" t="s">
        <v>1096</v>
      </c>
      <c r="B192" s="80">
        <v>2</v>
      </c>
      <c r="C192" s="109">
        <v>0.0024365479429396875</v>
      </c>
      <c r="D192" s="80" t="s">
        <v>1154</v>
      </c>
      <c r="E192" s="80" t="b">
        <v>0</v>
      </c>
      <c r="F192" s="80" t="b">
        <v>0</v>
      </c>
      <c r="G192" s="80" t="b">
        <v>0</v>
      </c>
    </row>
    <row r="193" spans="1:7" ht="15">
      <c r="A193" s="84" t="s">
        <v>1097</v>
      </c>
      <c r="B193" s="80">
        <v>2</v>
      </c>
      <c r="C193" s="109">
        <v>0.0024365479429396875</v>
      </c>
      <c r="D193" s="80" t="s">
        <v>1154</v>
      </c>
      <c r="E193" s="80" t="b">
        <v>0</v>
      </c>
      <c r="F193" s="80" t="b">
        <v>0</v>
      </c>
      <c r="G193" s="80" t="b">
        <v>0</v>
      </c>
    </row>
    <row r="194" spans="1:7" ht="15">
      <c r="A194" s="84" t="s">
        <v>1098</v>
      </c>
      <c r="B194" s="80">
        <v>2</v>
      </c>
      <c r="C194" s="109">
        <v>0.0024365479429396875</v>
      </c>
      <c r="D194" s="80" t="s">
        <v>1154</v>
      </c>
      <c r="E194" s="80" t="b">
        <v>0</v>
      </c>
      <c r="F194" s="80" t="b">
        <v>0</v>
      </c>
      <c r="G194" s="80" t="b">
        <v>0</v>
      </c>
    </row>
    <row r="195" spans="1:7" ht="15">
      <c r="A195" s="84" t="s">
        <v>1099</v>
      </c>
      <c r="B195" s="80">
        <v>2</v>
      </c>
      <c r="C195" s="109">
        <v>0.0024365479429396875</v>
      </c>
      <c r="D195" s="80" t="s">
        <v>1154</v>
      </c>
      <c r="E195" s="80" t="b">
        <v>0</v>
      </c>
      <c r="F195" s="80" t="b">
        <v>0</v>
      </c>
      <c r="G195" s="80" t="b">
        <v>0</v>
      </c>
    </row>
    <row r="196" spans="1:7" ht="15">
      <c r="A196" s="84" t="s">
        <v>1100</v>
      </c>
      <c r="B196" s="80">
        <v>2</v>
      </c>
      <c r="C196" s="109">
        <v>0.0024365479429396875</v>
      </c>
      <c r="D196" s="80" t="s">
        <v>1154</v>
      </c>
      <c r="E196" s="80" t="b">
        <v>0</v>
      </c>
      <c r="F196" s="80" t="b">
        <v>0</v>
      </c>
      <c r="G196" s="80" t="b">
        <v>0</v>
      </c>
    </row>
    <row r="197" spans="1:7" ht="15">
      <c r="A197" s="84" t="s">
        <v>1101</v>
      </c>
      <c r="B197" s="80">
        <v>2</v>
      </c>
      <c r="C197" s="109">
        <v>0.0024365479429396875</v>
      </c>
      <c r="D197" s="80" t="s">
        <v>1154</v>
      </c>
      <c r="E197" s="80" t="b">
        <v>0</v>
      </c>
      <c r="F197" s="80" t="b">
        <v>0</v>
      </c>
      <c r="G197" s="80" t="b">
        <v>0</v>
      </c>
    </row>
    <row r="198" spans="1:7" ht="15">
      <c r="A198" s="84" t="s">
        <v>1102</v>
      </c>
      <c r="B198" s="80">
        <v>2</v>
      </c>
      <c r="C198" s="109">
        <v>0.0028104982481123347</v>
      </c>
      <c r="D198" s="80" t="s">
        <v>1154</v>
      </c>
      <c r="E198" s="80" t="b">
        <v>0</v>
      </c>
      <c r="F198" s="80" t="b">
        <v>0</v>
      </c>
      <c r="G198" s="80" t="b">
        <v>0</v>
      </c>
    </row>
    <row r="199" spans="1:7" ht="15">
      <c r="A199" s="84" t="s">
        <v>1103</v>
      </c>
      <c r="B199" s="80">
        <v>2</v>
      </c>
      <c r="C199" s="109">
        <v>0.0024365479429396875</v>
      </c>
      <c r="D199" s="80" t="s">
        <v>1154</v>
      </c>
      <c r="E199" s="80" t="b">
        <v>0</v>
      </c>
      <c r="F199" s="80" t="b">
        <v>0</v>
      </c>
      <c r="G199" s="80" t="b">
        <v>0</v>
      </c>
    </row>
    <row r="200" spans="1:7" ht="15">
      <c r="A200" s="84" t="s">
        <v>1104</v>
      </c>
      <c r="B200" s="80">
        <v>2</v>
      </c>
      <c r="C200" s="109">
        <v>0.0024365479429396875</v>
      </c>
      <c r="D200" s="80" t="s">
        <v>1154</v>
      </c>
      <c r="E200" s="80" t="b">
        <v>0</v>
      </c>
      <c r="F200" s="80" t="b">
        <v>0</v>
      </c>
      <c r="G200" s="80" t="b">
        <v>0</v>
      </c>
    </row>
    <row r="201" spans="1:7" ht="15">
      <c r="A201" s="84" t="s">
        <v>1105</v>
      </c>
      <c r="B201" s="80">
        <v>2</v>
      </c>
      <c r="C201" s="109">
        <v>0.0028104982481123347</v>
      </c>
      <c r="D201" s="80" t="s">
        <v>1154</v>
      </c>
      <c r="E201" s="80" t="b">
        <v>0</v>
      </c>
      <c r="F201" s="80" t="b">
        <v>0</v>
      </c>
      <c r="G201" s="80" t="b">
        <v>0</v>
      </c>
    </row>
    <row r="202" spans="1:7" ht="15">
      <c r="A202" s="84" t="s">
        <v>1106</v>
      </c>
      <c r="B202" s="80">
        <v>2</v>
      </c>
      <c r="C202" s="109">
        <v>0.0024365479429396875</v>
      </c>
      <c r="D202" s="80" t="s">
        <v>1154</v>
      </c>
      <c r="E202" s="80" t="b">
        <v>0</v>
      </c>
      <c r="F202" s="80" t="b">
        <v>0</v>
      </c>
      <c r="G202" s="80" t="b">
        <v>0</v>
      </c>
    </row>
    <row r="203" spans="1:7" ht="15">
      <c r="A203" s="84" t="s">
        <v>1107</v>
      </c>
      <c r="B203" s="80">
        <v>2</v>
      </c>
      <c r="C203" s="109">
        <v>0.0028104982481123347</v>
      </c>
      <c r="D203" s="80" t="s">
        <v>1154</v>
      </c>
      <c r="E203" s="80" t="b">
        <v>1</v>
      </c>
      <c r="F203" s="80" t="b">
        <v>1</v>
      </c>
      <c r="G203" s="80" t="b">
        <v>0</v>
      </c>
    </row>
    <row r="204" spans="1:7" ht="15">
      <c r="A204" s="84" t="s">
        <v>1108</v>
      </c>
      <c r="B204" s="80">
        <v>2</v>
      </c>
      <c r="C204" s="109">
        <v>0.0028104982481123347</v>
      </c>
      <c r="D204" s="80" t="s">
        <v>1154</v>
      </c>
      <c r="E204" s="80" t="b">
        <v>1</v>
      </c>
      <c r="F204" s="80" t="b">
        <v>1</v>
      </c>
      <c r="G204" s="80" t="b">
        <v>0</v>
      </c>
    </row>
    <row r="205" spans="1:7" ht="15">
      <c r="A205" s="84" t="s">
        <v>1109</v>
      </c>
      <c r="B205" s="80">
        <v>2</v>
      </c>
      <c r="C205" s="109">
        <v>0.0024365479429396875</v>
      </c>
      <c r="D205" s="80" t="s">
        <v>1154</v>
      </c>
      <c r="E205" s="80" t="b">
        <v>0</v>
      </c>
      <c r="F205" s="80" t="b">
        <v>0</v>
      </c>
      <c r="G205" s="80" t="b">
        <v>0</v>
      </c>
    </row>
    <row r="206" spans="1:7" ht="15">
      <c r="A206" s="84" t="s">
        <v>1110</v>
      </c>
      <c r="B206" s="80">
        <v>2</v>
      </c>
      <c r="C206" s="109">
        <v>0.0024365479429396875</v>
      </c>
      <c r="D206" s="80" t="s">
        <v>1154</v>
      </c>
      <c r="E206" s="80" t="b">
        <v>0</v>
      </c>
      <c r="F206" s="80" t="b">
        <v>0</v>
      </c>
      <c r="G206" s="80" t="b">
        <v>0</v>
      </c>
    </row>
    <row r="207" spans="1:7" ht="15">
      <c r="A207" s="84" t="s">
        <v>1111</v>
      </c>
      <c r="B207" s="80">
        <v>2</v>
      </c>
      <c r="C207" s="109">
        <v>0.0024365479429396875</v>
      </c>
      <c r="D207" s="80" t="s">
        <v>1154</v>
      </c>
      <c r="E207" s="80" t="b">
        <v>0</v>
      </c>
      <c r="F207" s="80" t="b">
        <v>0</v>
      </c>
      <c r="G207" s="80" t="b">
        <v>0</v>
      </c>
    </row>
    <row r="208" spans="1:7" ht="15">
      <c r="A208" s="84" t="s">
        <v>1112</v>
      </c>
      <c r="B208" s="80">
        <v>2</v>
      </c>
      <c r="C208" s="109">
        <v>0.0028104982481123347</v>
      </c>
      <c r="D208" s="80" t="s">
        <v>1154</v>
      </c>
      <c r="E208" s="80" t="b">
        <v>0</v>
      </c>
      <c r="F208" s="80" t="b">
        <v>0</v>
      </c>
      <c r="G208" s="80" t="b">
        <v>0</v>
      </c>
    </row>
    <row r="209" spans="1:7" ht="15">
      <c r="A209" s="84" t="s">
        <v>1113</v>
      </c>
      <c r="B209" s="80">
        <v>2</v>
      </c>
      <c r="C209" s="109">
        <v>0.0028104982481123347</v>
      </c>
      <c r="D209" s="80" t="s">
        <v>1154</v>
      </c>
      <c r="E209" s="80" t="b">
        <v>0</v>
      </c>
      <c r="F209" s="80" t="b">
        <v>0</v>
      </c>
      <c r="G209" s="80" t="b">
        <v>0</v>
      </c>
    </row>
    <row r="210" spans="1:7" ht="15">
      <c r="A210" s="84" t="s">
        <v>1114</v>
      </c>
      <c r="B210" s="80">
        <v>2</v>
      </c>
      <c r="C210" s="109">
        <v>0.0024365479429396875</v>
      </c>
      <c r="D210" s="80" t="s">
        <v>1154</v>
      </c>
      <c r="E210" s="80" t="b">
        <v>0</v>
      </c>
      <c r="F210" s="80" t="b">
        <v>0</v>
      </c>
      <c r="G210" s="80" t="b">
        <v>0</v>
      </c>
    </row>
    <row r="211" spans="1:7" ht="15">
      <c r="A211" s="84" t="s">
        <v>1115</v>
      </c>
      <c r="B211" s="80">
        <v>2</v>
      </c>
      <c r="C211" s="109">
        <v>0.0024365479429396875</v>
      </c>
      <c r="D211" s="80" t="s">
        <v>1154</v>
      </c>
      <c r="E211" s="80" t="b">
        <v>0</v>
      </c>
      <c r="F211" s="80" t="b">
        <v>0</v>
      </c>
      <c r="G211" s="80" t="b">
        <v>0</v>
      </c>
    </row>
    <row r="212" spans="1:7" ht="15">
      <c r="A212" s="84" t="s">
        <v>1116</v>
      </c>
      <c r="B212" s="80">
        <v>2</v>
      </c>
      <c r="C212" s="109">
        <v>0.0024365479429396875</v>
      </c>
      <c r="D212" s="80" t="s">
        <v>1154</v>
      </c>
      <c r="E212" s="80" t="b">
        <v>0</v>
      </c>
      <c r="F212" s="80" t="b">
        <v>0</v>
      </c>
      <c r="G212" s="80" t="b">
        <v>0</v>
      </c>
    </row>
    <row r="213" spans="1:7" ht="15">
      <c r="A213" s="84" t="s">
        <v>1117</v>
      </c>
      <c r="B213" s="80">
        <v>2</v>
      </c>
      <c r="C213" s="109">
        <v>0.0024365479429396875</v>
      </c>
      <c r="D213" s="80" t="s">
        <v>1154</v>
      </c>
      <c r="E213" s="80" t="b">
        <v>0</v>
      </c>
      <c r="F213" s="80" t="b">
        <v>0</v>
      </c>
      <c r="G213" s="80" t="b">
        <v>0</v>
      </c>
    </row>
    <row r="214" spans="1:7" ht="15">
      <c r="A214" s="84" t="s">
        <v>1118</v>
      </c>
      <c r="B214" s="80">
        <v>2</v>
      </c>
      <c r="C214" s="109">
        <v>0.0024365479429396875</v>
      </c>
      <c r="D214" s="80" t="s">
        <v>1154</v>
      </c>
      <c r="E214" s="80" t="b">
        <v>0</v>
      </c>
      <c r="F214" s="80" t="b">
        <v>0</v>
      </c>
      <c r="G214" s="80" t="b">
        <v>0</v>
      </c>
    </row>
    <row r="215" spans="1:7" ht="15">
      <c r="A215" s="84" t="s">
        <v>1119</v>
      </c>
      <c r="B215" s="80">
        <v>2</v>
      </c>
      <c r="C215" s="109">
        <v>0.0024365479429396875</v>
      </c>
      <c r="D215" s="80" t="s">
        <v>1154</v>
      </c>
      <c r="E215" s="80" t="b">
        <v>1</v>
      </c>
      <c r="F215" s="80" t="b">
        <v>1</v>
      </c>
      <c r="G215" s="80" t="b">
        <v>0</v>
      </c>
    </row>
    <row r="216" spans="1:7" ht="15">
      <c r="A216" s="84" t="s">
        <v>1120</v>
      </c>
      <c r="B216" s="80">
        <v>2</v>
      </c>
      <c r="C216" s="109">
        <v>0.0024365479429396875</v>
      </c>
      <c r="D216" s="80" t="s">
        <v>1154</v>
      </c>
      <c r="E216" s="80" t="b">
        <v>1</v>
      </c>
      <c r="F216" s="80" t="b">
        <v>0</v>
      </c>
      <c r="G216" s="80" t="b">
        <v>0</v>
      </c>
    </row>
    <row r="217" spans="1:7" ht="15">
      <c r="A217" s="84" t="s">
        <v>1121</v>
      </c>
      <c r="B217" s="80">
        <v>2</v>
      </c>
      <c r="C217" s="109">
        <v>0.0024365479429396875</v>
      </c>
      <c r="D217" s="80" t="s">
        <v>1154</v>
      </c>
      <c r="E217" s="80" t="b">
        <v>0</v>
      </c>
      <c r="F217" s="80" t="b">
        <v>0</v>
      </c>
      <c r="G217" s="80" t="b">
        <v>0</v>
      </c>
    </row>
    <row r="218" spans="1:7" ht="15">
      <c r="A218" s="84" t="s">
        <v>1122</v>
      </c>
      <c r="B218" s="80">
        <v>2</v>
      </c>
      <c r="C218" s="109">
        <v>0.0024365479429396875</v>
      </c>
      <c r="D218" s="80" t="s">
        <v>1154</v>
      </c>
      <c r="E218" s="80" t="b">
        <v>0</v>
      </c>
      <c r="F218" s="80" t="b">
        <v>1</v>
      </c>
      <c r="G218" s="80" t="b">
        <v>0</v>
      </c>
    </row>
    <row r="219" spans="1:7" ht="15">
      <c r="A219" s="84" t="s">
        <v>1123</v>
      </c>
      <c r="B219" s="80">
        <v>2</v>
      </c>
      <c r="C219" s="109">
        <v>0.0024365479429396875</v>
      </c>
      <c r="D219" s="80" t="s">
        <v>1154</v>
      </c>
      <c r="E219" s="80" t="b">
        <v>0</v>
      </c>
      <c r="F219" s="80" t="b">
        <v>0</v>
      </c>
      <c r="G219" s="80" t="b">
        <v>0</v>
      </c>
    </row>
    <row r="220" spans="1:7" ht="15">
      <c r="A220" s="84" t="s">
        <v>1124</v>
      </c>
      <c r="B220" s="80">
        <v>2</v>
      </c>
      <c r="C220" s="109">
        <v>0.0024365479429396875</v>
      </c>
      <c r="D220" s="80" t="s">
        <v>1154</v>
      </c>
      <c r="E220" s="80" t="b">
        <v>0</v>
      </c>
      <c r="F220" s="80" t="b">
        <v>0</v>
      </c>
      <c r="G220" s="80" t="b">
        <v>0</v>
      </c>
    </row>
    <row r="221" spans="1:7" ht="15">
      <c r="A221" s="84" t="s">
        <v>1125</v>
      </c>
      <c r="B221" s="80">
        <v>2</v>
      </c>
      <c r="C221" s="109">
        <v>0.0024365479429396875</v>
      </c>
      <c r="D221" s="80" t="s">
        <v>1154</v>
      </c>
      <c r="E221" s="80" t="b">
        <v>1</v>
      </c>
      <c r="F221" s="80" t="b">
        <v>1</v>
      </c>
      <c r="G221" s="80" t="b">
        <v>0</v>
      </c>
    </row>
    <row r="222" spans="1:7" ht="15">
      <c r="A222" s="84" t="s">
        <v>1126</v>
      </c>
      <c r="B222" s="80">
        <v>2</v>
      </c>
      <c r="C222" s="109">
        <v>0.0024365479429396875</v>
      </c>
      <c r="D222" s="80" t="s">
        <v>1154</v>
      </c>
      <c r="E222" s="80" t="b">
        <v>0</v>
      </c>
      <c r="F222" s="80" t="b">
        <v>0</v>
      </c>
      <c r="G222" s="80" t="b">
        <v>0</v>
      </c>
    </row>
    <row r="223" spans="1:7" ht="15">
      <c r="A223" s="84" t="s">
        <v>1127</v>
      </c>
      <c r="B223" s="80">
        <v>2</v>
      </c>
      <c r="C223" s="109">
        <v>0.0024365479429396875</v>
      </c>
      <c r="D223" s="80" t="s">
        <v>1154</v>
      </c>
      <c r="E223" s="80" t="b">
        <v>0</v>
      </c>
      <c r="F223" s="80" t="b">
        <v>0</v>
      </c>
      <c r="G223" s="80" t="b">
        <v>0</v>
      </c>
    </row>
    <row r="224" spans="1:7" ht="15">
      <c r="A224" s="84" t="s">
        <v>1128</v>
      </c>
      <c r="B224" s="80">
        <v>2</v>
      </c>
      <c r="C224" s="109">
        <v>0.0024365479429396875</v>
      </c>
      <c r="D224" s="80" t="s">
        <v>1154</v>
      </c>
      <c r="E224" s="80" t="b">
        <v>0</v>
      </c>
      <c r="F224" s="80" t="b">
        <v>0</v>
      </c>
      <c r="G224" s="80" t="b">
        <v>0</v>
      </c>
    </row>
    <row r="225" spans="1:7" ht="15">
      <c r="A225" s="84" t="s">
        <v>1129</v>
      </c>
      <c r="B225" s="80">
        <v>2</v>
      </c>
      <c r="C225" s="109">
        <v>0.0024365479429396875</v>
      </c>
      <c r="D225" s="80" t="s">
        <v>1154</v>
      </c>
      <c r="E225" s="80" t="b">
        <v>0</v>
      </c>
      <c r="F225" s="80" t="b">
        <v>0</v>
      </c>
      <c r="G225" s="80" t="b">
        <v>0</v>
      </c>
    </row>
    <row r="226" spans="1:7" ht="15">
      <c r="A226" s="84" t="s">
        <v>1130</v>
      </c>
      <c r="B226" s="80">
        <v>2</v>
      </c>
      <c r="C226" s="109">
        <v>0.0024365479429396875</v>
      </c>
      <c r="D226" s="80" t="s">
        <v>1154</v>
      </c>
      <c r="E226" s="80" t="b">
        <v>0</v>
      </c>
      <c r="F226" s="80" t="b">
        <v>0</v>
      </c>
      <c r="G226" s="80" t="b">
        <v>0</v>
      </c>
    </row>
    <row r="227" spans="1:7" ht="15">
      <c r="A227" s="84" t="s">
        <v>1131</v>
      </c>
      <c r="B227" s="80">
        <v>2</v>
      </c>
      <c r="C227" s="109">
        <v>0.0024365479429396875</v>
      </c>
      <c r="D227" s="80" t="s">
        <v>1154</v>
      </c>
      <c r="E227" s="80" t="b">
        <v>0</v>
      </c>
      <c r="F227" s="80" t="b">
        <v>0</v>
      </c>
      <c r="G227" s="80" t="b">
        <v>0</v>
      </c>
    </row>
    <row r="228" spans="1:7" ht="15">
      <c r="A228" s="84" t="s">
        <v>1132</v>
      </c>
      <c r="B228" s="80">
        <v>2</v>
      </c>
      <c r="C228" s="109">
        <v>0.0024365479429396875</v>
      </c>
      <c r="D228" s="80" t="s">
        <v>1154</v>
      </c>
      <c r="E228" s="80" t="b">
        <v>0</v>
      </c>
      <c r="F228" s="80" t="b">
        <v>0</v>
      </c>
      <c r="G228" s="80" t="b">
        <v>0</v>
      </c>
    </row>
    <row r="229" spans="1:7" ht="15">
      <c r="A229" s="84" t="s">
        <v>1133</v>
      </c>
      <c r="B229" s="80">
        <v>2</v>
      </c>
      <c r="C229" s="109">
        <v>0.0028104982481123347</v>
      </c>
      <c r="D229" s="80" t="s">
        <v>1154</v>
      </c>
      <c r="E229" s="80" t="b">
        <v>0</v>
      </c>
      <c r="F229" s="80" t="b">
        <v>0</v>
      </c>
      <c r="G229" s="80" t="b">
        <v>0</v>
      </c>
    </row>
    <row r="230" spans="1:7" ht="15">
      <c r="A230" s="84" t="s">
        <v>1134</v>
      </c>
      <c r="B230" s="80">
        <v>2</v>
      </c>
      <c r="C230" s="109">
        <v>0.0028104982481123347</v>
      </c>
      <c r="D230" s="80" t="s">
        <v>1154</v>
      </c>
      <c r="E230" s="80" t="b">
        <v>0</v>
      </c>
      <c r="F230" s="80" t="b">
        <v>0</v>
      </c>
      <c r="G230" s="80" t="b">
        <v>0</v>
      </c>
    </row>
    <row r="231" spans="1:7" ht="15">
      <c r="A231" s="84" t="s">
        <v>1135</v>
      </c>
      <c r="B231" s="80">
        <v>2</v>
      </c>
      <c r="C231" s="109">
        <v>0.0024365479429396875</v>
      </c>
      <c r="D231" s="80" t="s">
        <v>1154</v>
      </c>
      <c r="E231" s="80" t="b">
        <v>0</v>
      </c>
      <c r="F231" s="80" t="b">
        <v>0</v>
      </c>
      <c r="G231" s="80" t="b">
        <v>0</v>
      </c>
    </row>
    <row r="232" spans="1:7" ht="15">
      <c r="A232" s="84" t="s">
        <v>1136</v>
      </c>
      <c r="B232" s="80">
        <v>2</v>
      </c>
      <c r="C232" s="109">
        <v>0.0024365479429396875</v>
      </c>
      <c r="D232" s="80" t="s">
        <v>1154</v>
      </c>
      <c r="E232" s="80" t="b">
        <v>0</v>
      </c>
      <c r="F232" s="80" t="b">
        <v>0</v>
      </c>
      <c r="G232" s="80" t="b">
        <v>0</v>
      </c>
    </row>
    <row r="233" spans="1:7" ht="15">
      <c r="A233" s="84" t="s">
        <v>1137</v>
      </c>
      <c r="B233" s="80">
        <v>2</v>
      </c>
      <c r="C233" s="109">
        <v>0.0024365479429396875</v>
      </c>
      <c r="D233" s="80" t="s">
        <v>1154</v>
      </c>
      <c r="E233" s="80" t="b">
        <v>0</v>
      </c>
      <c r="F233" s="80" t="b">
        <v>0</v>
      </c>
      <c r="G233" s="80" t="b">
        <v>0</v>
      </c>
    </row>
    <row r="234" spans="1:7" ht="15">
      <c r="A234" s="84" t="s">
        <v>1138</v>
      </c>
      <c r="B234" s="80">
        <v>2</v>
      </c>
      <c r="C234" s="109">
        <v>0.0024365479429396875</v>
      </c>
      <c r="D234" s="80" t="s">
        <v>1154</v>
      </c>
      <c r="E234" s="80" t="b">
        <v>1</v>
      </c>
      <c r="F234" s="80" t="b">
        <v>1</v>
      </c>
      <c r="G234" s="80" t="b">
        <v>0</v>
      </c>
    </row>
    <row r="235" spans="1:7" ht="15">
      <c r="A235" s="84" t="s">
        <v>1139</v>
      </c>
      <c r="B235" s="80">
        <v>2</v>
      </c>
      <c r="C235" s="109">
        <v>0.0028104982481123347</v>
      </c>
      <c r="D235" s="80" t="s">
        <v>1154</v>
      </c>
      <c r="E235" s="80" t="b">
        <v>0</v>
      </c>
      <c r="F235" s="80" t="b">
        <v>0</v>
      </c>
      <c r="G235" s="80" t="b">
        <v>0</v>
      </c>
    </row>
    <row r="236" spans="1:7" ht="15">
      <c r="A236" s="84" t="s">
        <v>1140</v>
      </c>
      <c r="B236" s="80">
        <v>2</v>
      </c>
      <c r="C236" s="109">
        <v>0.0024365479429396875</v>
      </c>
      <c r="D236" s="80" t="s">
        <v>1154</v>
      </c>
      <c r="E236" s="80" t="b">
        <v>0</v>
      </c>
      <c r="F236" s="80" t="b">
        <v>0</v>
      </c>
      <c r="G236" s="80" t="b">
        <v>0</v>
      </c>
    </row>
    <row r="237" spans="1:7" ht="15">
      <c r="A237" s="84" t="s">
        <v>1141</v>
      </c>
      <c r="B237" s="80">
        <v>2</v>
      </c>
      <c r="C237" s="109">
        <v>0.0024365479429396875</v>
      </c>
      <c r="D237" s="80" t="s">
        <v>1154</v>
      </c>
      <c r="E237" s="80" t="b">
        <v>0</v>
      </c>
      <c r="F237" s="80" t="b">
        <v>0</v>
      </c>
      <c r="G237" s="80" t="b">
        <v>0</v>
      </c>
    </row>
    <row r="238" spans="1:7" ht="15">
      <c r="A238" s="84" t="s">
        <v>1142</v>
      </c>
      <c r="B238" s="80">
        <v>2</v>
      </c>
      <c r="C238" s="109">
        <v>0.0024365479429396875</v>
      </c>
      <c r="D238" s="80" t="s">
        <v>1154</v>
      </c>
      <c r="E238" s="80" t="b">
        <v>0</v>
      </c>
      <c r="F238" s="80" t="b">
        <v>0</v>
      </c>
      <c r="G238" s="80" t="b">
        <v>0</v>
      </c>
    </row>
    <row r="239" spans="1:7" ht="15">
      <c r="A239" s="84" t="s">
        <v>1143</v>
      </c>
      <c r="B239" s="80">
        <v>2</v>
      </c>
      <c r="C239" s="109">
        <v>0.0024365479429396875</v>
      </c>
      <c r="D239" s="80" t="s">
        <v>1154</v>
      </c>
      <c r="E239" s="80" t="b">
        <v>0</v>
      </c>
      <c r="F239" s="80" t="b">
        <v>1</v>
      </c>
      <c r="G239" s="80" t="b">
        <v>0</v>
      </c>
    </row>
    <row r="240" spans="1:7" ht="15">
      <c r="A240" s="84" t="s">
        <v>1144</v>
      </c>
      <c r="B240" s="80">
        <v>2</v>
      </c>
      <c r="C240" s="109">
        <v>0.0024365479429396875</v>
      </c>
      <c r="D240" s="80" t="s">
        <v>1154</v>
      </c>
      <c r="E240" s="80" t="b">
        <v>1</v>
      </c>
      <c r="F240" s="80" t="b">
        <v>1</v>
      </c>
      <c r="G240" s="80" t="b">
        <v>0</v>
      </c>
    </row>
    <row r="241" spans="1:7" ht="15">
      <c r="A241" s="84" t="s">
        <v>1145</v>
      </c>
      <c r="B241" s="80">
        <v>2</v>
      </c>
      <c r="C241" s="109">
        <v>0.0024365479429396875</v>
      </c>
      <c r="D241" s="80" t="s">
        <v>1154</v>
      </c>
      <c r="E241" s="80" t="b">
        <v>0</v>
      </c>
      <c r="F241" s="80" t="b">
        <v>0</v>
      </c>
      <c r="G241" s="80" t="b">
        <v>0</v>
      </c>
    </row>
    <row r="242" spans="1:7" ht="15">
      <c r="A242" s="84" t="s">
        <v>1146</v>
      </c>
      <c r="B242" s="80">
        <v>2</v>
      </c>
      <c r="C242" s="109">
        <v>0.0028104982481123347</v>
      </c>
      <c r="D242" s="80" t="s">
        <v>1154</v>
      </c>
      <c r="E242" s="80" t="b">
        <v>0</v>
      </c>
      <c r="F242" s="80" t="b">
        <v>0</v>
      </c>
      <c r="G242" s="80" t="b">
        <v>0</v>
      </c>
    </row>
    <row r="243" spans="1:7" ht="15">
      <c r="A243" s="84" t="s">
        <v>1147</v>
      </c>
      <c r="B243" s="80">
        <v>2</v>
      </c>
      <c r="C243" s="109">
        <v>0.0028104982481123347</v>
      </c>
      <c r="D243" s="80" t="s">
        <v>1154</v>
      </c>
      <c r="E243" s="80" t="b">
        <v>0</v>
      </c>
      <c r="F243" s="80" t="b">
        <v>0</v>
      </c>
      <c r="G243" s="80" t="b">
        <v>0</v>
      </c>
    </row>
    <row r="244" spans="1:7" ht="15">
      <c r="A244" s="84" t="s">
        <v>1148</v>
      </c>
      <c r="B244" s="80">
        <v>2</v>
      </c>
      <c r="C244" s="109">
        <v>0.0028104982481123347</v>
      </c>
      <c r="D244" s="80" t="s">
        <v>1154</v>
      </c>
      <c r="E244" s="80" t="b">
        <v>0</v>
      </c>
      <c r="F244" s="80" t="b">
        <v>0</v>
      </c>
      <c r="G244" s="80" t="b">
        <v>0</v>
      </c>
    </row>
    <row r="245" spans="1:7" ht="15">
      <c r="A245" s="84" t="s">
        <v>914</v>
      </c>
      <c r="B245" s="80">
        <v>33</v>
      </c>
      <c r="C245" s="109">
        <v>0.019697757401603993</v>
      </c>
      <c r="D245" s="80" t="s">
        <v>873</v>
      </c>
      <c r="E245" s="80" t="b">
        <v>0</v>
      </c>
      <c r="F245" s="80" t="b">
        <v>0</v>
      </c>
      <c r="G245" s="80" t="b">
        <v>0</v>
      </c>
    </row>
    <row r="246" spans="1:7" ht="15">
      <c r="A246" s="84" t="s">
        <v>915</v>
      </c>
      <c r="B246" s="80">
        <v>26</v>
      </c>
      <c r="C246" s="109">
        <v>0.018217820698614884</v>
      </c>
      <c r="D246" s="80" t="s">
        <v>873</v>
      </c>
      <c r="E246" s="80" t="b">
        <v>0</v>
      </c>
      <c r="F246" s="80" t="b">
        <v>0</v>
      </c>
      <c r="G246" s="80" t="b">
        <v>0</v>
      </c>
    </row>
    <row r="247" spans="1:7" ht="15">
      <c r="A247" s="84" t="s">
        <v>919</v>
      </c>
      <c r="B247" s="80">
        <v>12</v>
      </c>
      <c r="C247" s="109">
        <v>0.011903646669409487</v>
      </c>
      <c r="D247" s="80" t="s">
        <v>873</v>
      </c>
      <c r="E247" s="80" t="b">
        <v>0</v>
      </c>
      <c r="F247" s="80" t="b">
        <v>0</v>
      </c>
      <c r="G247" s="80" t="b">
        <v>0</v>
      </c>
    </row>
    <row r="248" spans="1:7" ht="15">
      <c r="A248" s="84" t="s">
        <v>916</v>
      </c>
      <c r="B248" s="80">
        <v>12</v>
      </c>
      <c r="C248" s="109">
        <v>0.011903646669409487</v>
      </c>
      <c r="D248" s="80" t="s">
        <v>873</v>
      </c>
      <c r="E248" s="80" t="b">
        <v>0</v>
      </c>
      <c r="F248" s="80" t="b">
        <v>0</v>
      </c>
      <c r="G248" s="80" t="b">
        <v>0</v>
      </c>
    </row>
    <row r="249" spans="1:7" ht="15">
      <c r="A249" s="84" t="s">
        <v>920</v>
      </c>
      <c r="B249" s="80">
        <v>8</v>
      </c>
      <c r="C249" s="109">
        <v>0.011870785103754744</v>
      </c>
      <c r="D249" s="80" t="s">
        <v>873</v>
      </c>
      <c r="E249" s="80" t="b">
        <v>0</v>
      </c>
      <c r="F249" s="80" t="b">
        <v>0</v>
      </c>
      <c r="G249" s="80" t="b">
        <v>0</v>
      </c>
    </row>
    <row r="250" spans="1:7" ht="15">
      <c r="A250" s="84" t="s">
        <v>924</v>
      </c>
      <c r="B250" s="80">
        <v>7</v>
      </c>
      <c r="C250" s="109">
        <v>0.009687586356448912</v>
      </c>
      <c r="D250" s="80" t="s">
        <v>873</v>
      </c>
      <c r="E250" s="80" t="b">
        <v>0</v>
      </c>
      <c r="F250" s="80" t="b">
        <v>0</v>
      </c>
      <c r="G250" s="80" t="b">
        <v>0</v>
      </c>
    </row>
    <row r="251" spans="1:7" ht="15">
      <c r="A251" s="84" t="s">
        <v>928</v>
      </c>
      <c r="B251" s="80">
        <v>7</v>
      </c>
      <c r="C251" s="109">
        <v>0.008633054140214204</v>
      </c>
      <c r="D251" s="80" t="s">
        <v>873</v>
      </c>
      <c r="E251" s="80" t="b">
        <v>0</v>
      </c>
      <c r="F251" s="80" t="b">
        <v>0</v>
      </c>
      <c r="G251" s="80" t="b">
        <v>0</v>
      </c>
    </row>
    <row r="252" spans="1:7" ht="15">
      <c r="A252" s="84" t="s">
        <v>933</v>
      </c>
      <c r="B252" s="80">
        <v>7</v>
      </c>
      <c r="C252" s="109">
        <v>0.008633054140214204</v>
      </c>
      <c r="D252" s="80" t="s">
        <v>873</v>
      </c>
      <c r="E252" s="80" t="b">
        <v>0</v>
      </c>
      <c r="F252" s="80" t="b">
        <v>0</v>
      </c>
      <c r="G252" s="80" t="b">
        <v>0</v>
      </c>
    </row>
    <row r="253" spans="1:7" ht="15">
      <c r="A253" s="84" t="s">
        <v>921</v>
      </c>
      <c r="B253" s="80">
        <v>7</v>
      </c>
      <c r="C253" s="109">
        <v>0.00911617530249698</v>
      </c>
      <c r="D253" s="80" t="s">
        <v>873</v>
      </c>
      <c r="E253" s="80" t="b">
        <v>0</v>
      </c>
      <c r="F253" s="80" t="b">
        <v>0</v>
      </c>
      <c r="G253" s="80" t="b">
        <v>0</v>
      </c>
    </row>
    <row r="254" spans="1:7" ht="15">
      <c r="A254" s="84" t="s">
        <v>922</v>
      </c>
      <c r="B254" s="80">
        <v>7</v>
      </c>
      <c r="C254" s="109">
        <v>0.01128855671450509</v>
      </c>
      <c r="D254" s="80" t="s">
        <v>873</v>
      </c>
      <c r="E254" s="80" t="b">
        <v>0</v>
      </c>
      <c r="F254" s="80" t="b">
        <v>0</v>
      </c>
      <c r="G254" s="80" t="b">
        <v>0</v>
      </c>
    </row>
    <row r="255" spans="1:7" ht="15">
      <c r="A255" s="84" t="s">
        <v>927</v>
      </c>
      <c r="B255" s="80">
        <v>6</v>
      </c>
      <c r="C255" s="109">
        <v>0.00781386454499741</v>
      </c>
      <c r="D255" s="80" t="s">
        <v>873</v>
      </c>
      <c r="E255" s="80" t="b">
        <v>0</v>
      </c>
      <c r="F255" s="80" t="b">
        <v>0</v>
      </c>
      <c r="G255" s="80" t="b">
        <v>0</v>
      </c>
    </row>
    <row r="256" spans="1:7" ht="15">
      <c r="A256" s="84" t="s">
        <v>918</v>
      </c>
      <c r="B256" s="80">
        <v>6</v>
      </c>
      <c r="C256" s="109">
        <v>0.00830364544838478</v>
      </c>
      <c r="D256" s="80" t="s">
        <v>873</v>
      </c>
      <c r="E256" s="80" t="b">
        <v>0</v>
      </c>
      <c r="F256" s="80" t="b">
        <v>0</v>
      </c>
      <c r="G256" s="80" t="b">
        <v>0</v>
      </c>
    </row>
    <row r="257" spans="1:7" ht="15">
      <c r="A257" s="84" t="s">
        <v>942</v>
      </c>
      <c r="B257" s="80">
        <v>6</v>
      </c>
      <c r="C257" s="109">
        <v>0.00781386454499741</v>
      </c>
      <c r="D257" s="80" t="s">
        <v>873</v>
      </c>
      <c r="E257" s="80" t="b">
        <v>0</v>
      </c>
      <c r="F257" s="80" t="b">
        <v>0</v>
      </c>
      <c r="G257" s="80" t="b">
        <v>0</v>
      </c>
    </row>
    <row r="258" spans="1:7" ht="15">
      <c r="A258" s="84" t="s">
        <v>936</v>
      </c>
      <c r="B258" s="80">
        <v>6</v>
      </c>
      <c r="C258" s="109">
        <v>0.008903088827816057</v>
      </c>
      <c r="D258" s="80" t="s">
        <v>873</v>
      </c>
      <c r="E258" s="80" t="b">
        <v>0</v>
      </c>
      <c r="F258" s="80" t="b">
        <v>0</v>
      </c>
      <c r="G258" s="80" t="b">
        <v>0</v>
      </c>
    </row>
    <row r="259" spans="1:7" ht="15">
      <c r="A259" s="84" t="s">
        <v>944</v>
      </c>
      <c r="B259" s="80">
        <v>6</v>
      </c>
      <c r="C259" s="109">
        <v>0.010765130038108724</v>
      </c>
      <c r="D259" s="80" t="s">
        <v>873</v>
      </c>
      <c r="E259" s="80" t="b">
        <v>0</v>
      </c>
      <c r="F259" s="80" t="b">
        <v>0</v>
      </c>
      <c r="G259" s="80" t="b">
        <v>0</v>
      </c>
    </row>
    <row r="260" spans="1:7" ht="15">
      <c r="A260" s="84" t="s">
        <v>923</v>
      </c>
      <c r="B260" s="80">
        <v>5</v>
      </c>
      <c r="C260" s="109">
        <v>0.00691970454032065</v>
      </c>
      <c r="D260" s="80" t="s">
        <v>873</v>
      </c>
      <c r="E260" s="80" t="b">
        <v>1</v>
      </c>
      <c r="F260" s="80" t="b">
        <v>0</v>
      </c>
      <c r="G260" s="80" t="b">
        <v>0</v>
      </c>
    </row>
    <row r="261" spans="1:7" ht="15">
      <c r="A261" s="84" t="s">
        <v>937</v>
      </c>
      <c r="B261" s="80">
        <v>5</v>
      </c>
      <c r="C261" s="109">
        <v>0.00691970454032065</v>
      </c>
      <c r="D261" s="80" t="s">
        <v>873</v>
      </c>
      <c r="E261" s="80" t="b">
        <v>0</v>
      </c>
      <c r="F261" s="80" t="b">
        <v>0</v>
      </c>
      <c r="G261" s="80" t="b">
        <v>0</v>
      </c>
    </row>
    <row r="262" spans="1:7" ht="15">
      <c r="A262" s="84" t="s">
        <v>925</v>
      </c>
      <c r="B262" s="80">
        <v>5</v>
      </c>
      <c r="C262" s="109">
        <v>0.007419240689846714</v>
      </c>
      <c r="D262" s="80" t="s">
        <v>873</v>
      </c>
      <c r="E262" s="80" t="b">
        <v>0</v>
      </c>
      <c r="F262" s="80" t="b">
        <v>0</v>
      </c>
      <c r="G262" s="80" t="b">
        <v>0</v>
      </c>
    </row>
    <row r="263" spans="1:7" ht="15">
      <c r="A263" s="84" t="s">
        <v>947</v>
      </c>
      <c r="B263" s="80">
        <v>5</v>
      </c>
      <c r="C263" s="109">
        <v>0.00691970454032065</v>
      </c>
      <c r="D263" s="80" t="s">
        <v>873</v>
      </c>
      <c r="E263" s="80" t="b">
        <v>0</v>
      </c>
      <c r="F263" s="80" t="b">
        <v>0</v>
      </c>
      <c r="G263" s="80" t="b">
        <v>0</v>
      </c>
    </row>
    <row r="264" spans="1:7" ht="15">
      <c r="A264" s="84" t="s">
        <v>948</v>
      </c>
      <c r="B264" s="80">
        <v>5</v>
      </c>
      <c r="C264" s="109">
        <v>0.007419240689846714</v>
      </c>
      <c r="D264" s="80" t="s">
        <v>873</v>
      </c>
      <c r="E264" s="80" t="b">
        <v>0</v>
      </c>
      <c r="F264" s="80" t="b">
        <v>0</v>
      </c>
      <c r="G264" s="80" t="b">
        <v>0</v>
      </c>
    </row>
    <row r="265" spans="1:7" ht="15">
      <c r="A265" s="84" t="s">
        <v>953</v>
      </c>
      <c r="B265" s="80">
        <v>5</v>
      </c>
      <c r="C265" s="109">
        <v>0.007419240689846714</v>
      </c>
      <c r="D265" s="80" t="s">
        <v>873</v>
      </c>
      <c r="E265" s="80" t="b">
        <v>0</v>
      </c>
      <c r="F265" s="80" t="b">
        <v>0</v>
      </c>
      <c r="G265" s="80" t="b">
        <v>0</v>
      </c>
    </row>
    <row r="266" spans="1:7" ht="15">
      <c r="A266" s="84" t="s">
        <v>930</v>
      </c>
      <c r="B266" s="80">
        <v>5</v>
      </c>
      <c r="C266" s="109">
        <v>0.007419240689846714</v>
      </c>
      <c r="D266" s="80" t="s">
        <v>873</v>
      </c>
      <c r="E266" s="80" t="b">
        <v>0</v>
      </c>
      <c r="F266" s="80" t="b">
        <v>0</v>
      </c>
      <c r="G266" s="80" t="b">
        <v>0</v>
      </c>
    </row>
    <row r="267" spans="1:7" ht="15">
      <c r="A267" s="84" t="s">
        <v>917</v>
      </c>
      <c r="B267" s="80">
        <v>4</v>
      </c>
      <c r="C267" s="109">
        <v>0.005935392551877372</v>
      </c>
      <c r="D267" s="80" t="s">
        <v>873</v>
      </c>
      <c r="E267" s="80" t="b">
        <v>0</v>
      </c>
      <c r="F267" s="80" t="b">
        <v>0</v>
      </c>
      <c r="G267" s="80" t="b">
        <v>0</v>
      </c>
    </row>
    <row r="268" spans="1:7" ht="15">
      <c r="A268" s="84" t="s">
        <v>941</v>
      </c>
      <c r="B268" s="80">
        <v>4</v>
      </c>
      <c r="C268" s="109">
        <v>0.005935392551877372</v>
      </c>
      <c r="D268" s="80" t="s">
        <v>873</v>
      </c>
      <c r="E268" s="80" t="b">
        <v>0</v>
      </c>
      <c r="F268" s="80" t="b">
        <v>0</v>
      </c>
      <c r="G268" s="80" t="b">
        <v>0</v>
      </c>
    </row>
    <row r="269" spans="1:7" ht="15">
      <c r="A269" s="84" t="s">
        <v>929</v>
      </c>
      <c r="B269" s="80">
        <v>4</v>
      </c>
      <c r="C269" s="109">
        <v>0.005935392551877372</v>
      </c>
      <c r="D269" s="80" t="s">
        <v>873</v>
      </c>
      <c r="E269" s="80" t="b">
        <v>0</v>
      </c>
      <c r="F269" s="80" t="b">
        <v>1</v>
      </c>
      <c r="G269" s="80" t="b">
        <v>0</v>
      </c>
    </row>
    <row r="270" spans="1:7" ht="15">
      <c r="A270" s="84" t="s">
        <v>938</v>
      </c>
      <c r="B270" s="80">
        <v>4</v>
      </c>
      <c r="C270" s="109">
        <v>0.006450603836860052</v>
      </c>
      <c r="D270" s="80" t="s">
        <v>873</v>
      </c>
      <c r="E270" s="80" t="b">
        <v>0</v>
      </c>
      <c r="F270" s="80" t="b">
        <v>0</v>
      </c>
      <c r="G270" s="80" t="b">
        <v>0</v>
      </c>
    </row>
    <row r="271" spans="1:7" ht="15">
      <c r="A271" s="84" t="s">
        <v>943</v>
      </c>
      <c r="B271" s="80">
        <v>4</v>
      </c>
      <c r="C271" s="109">
        <v>0.005935392551877372</v>
      </c>
      <c r="D271" s="80" t="s">
        <v>873</v>
      </c>
      <c r="E271" s="80" t="b">
        <v>0</v>
      </c>
      <c r="F271" s="80" t="b">
        <v>0</v>
      </c>
      <c r="G271" s="80" t="b">
        <v>0</v>
      </c>
    </row>
    <row r="272" spans="1:7" ht="15">
      <c r="A272" s="84" t="s">
        <v>960</v>
      </c>
      <c r="B272" s="80">
        <v>4</v>
      </c>
      <c r="C272" s="109">
        <v>0.005935392551877372</v>
      </c>
      <c r="D272" s="80" t="s">
        <v>873</v>
      </c>
      <c r="E272" s="80" t="b">
        <v>0</v>
      </c>
      <c r="F272" s="80" t="b">
        <v>0</v>
      </c>
      <c r="G272" s="80" t="b">
        <v>0</v>
      </c>
    </row>
    <row r="273" spans="1:7" ht="15">
      <c r="A273" s="84" t="s">
        <v>939</v>
      </c>
      <c r="B273" s="80">
        <v>4</v>
      </c>
      <c r="C273" s="109">
        <v>0.005935392551877372</v>
      </c>
      <c r="D273" s="80" t="s">
        <v>873</v>
      </c>
      <c r="E273" s="80" t="b">
        <v>0</v>
      </c>
      <c r="F273" s="80" t="b">
        <v>0</v>
      </c>
      <c r="G273" s="80" t="b">
        <v>0</v>
      </c>
    </row>
    <row r="274" spans="1:7" ht="15">
      <c r="A274" s="84" t="s">
        <v>963</v>
      </c>
      <c r="B274" s="80">
        <v>4</v>
      </c>
      <c r="C274" s="109">
        <v>0.0071767533587391505</v>
      </c>
      <c r="D274" s="80" t="s">
        <v>873</v>
      </c>
      <c r="E274" s="80" t="b">
        <v>0</v>
      </c>
      <c r="F274" s="80" t="b">
        <v>0</v>
      </c>
      <c r="G274" s="80" t="b">
        <v>0</v>
      </c>
    </row>
    <row r="275" spans="1:7" ht="15">
      <c r="A275" s="84" t="s">
        <v>970</v>
      </c>
      <c r="B275" s="80">
        <v>4</v>
      </c>
      <c r="C275" s="109">
        <v>0.0071767533587391505</v>
      </c>
      <c r="D275" s="80" t="s">
        <v>873</v>
      </c>
      <c r="E275" s="80" t="b">
        <v>1</v>
      </c>
      <c r="F275" s="80" t="b">
        <v>1</v>
      </c>
      <c r="G275" s="80" t="b">
        <v>0</v>
      </c>
    </row>
    <row r="276" spans="1:7" ht="15">
      <c r="A276" s="84" t="s">
        <v>946</v>
      </c>
      <c r="B276" s="80">
        <v>3</v>
      </c>
      <c r="C276" s="109">
        <v>0.004837952877645039</v>
      </c>
      <c r="D276" s="80" t="s">
        <v>873</v>
      </c>
      <c r="E276" s="80" t="b">
        <v>0</v>
      </c>
      <c r="F276" s="80" t="b">
        <v>0</v>
      </c>
      <c r="G276" s="80" t="b">
        <v>0</v>
      </c>
    </row>
    <row r="277" spans="1:7" ht="15">
      <c r="A277" s="84" t="s">
        <v>954</v>
      </c>
      <c r="B277" s="80">
        <v>3</v>
      </c>
      <c r="C277" s="109">
        <v>0.004837952877645039</v>
      </c>
      <c r="D277" s="80" t="s">
        <v>873</v>
      </c>
      <c r="E277" s="80" t="b">
        <v>0</v>
      </c>
      <c r="F277" s="80" t="b">
        <v>0</v>
      </c>
      <c r="G277" s="80" t="b">
        <v>0</v>
      </c>
    </row>
    <row r="278" spans="1:7" ht="15">
      <c r="A278" s="84" t="s">
        <v>955</v>
      </c>
      <c r="B278" s="80">
        <v>3</v>
      </c>
      <c r="C278" s="109">
        <v>0.004837952877645039</v>
      </c>
      <c r="D278" s="80" t="s">
        <v>873</v>
      </c>
      <c r="E278" s="80" t="b">
        <v>0</v>
      </c>
      <c r="F278" s="80" t="b">
        <v>0</v>
      </c>
      <c r="G278" s="80" t="b">
        <v>0</v>
      </c>
    </row>
    <row r="279" spans="1:7" ht="15">
      <c r="A279" s="84" t="s">
        <v>975</v>
      </c>
      <c r="B279" s="80">
        <v>3</v>
      </c>
      <c r="C279" s="109">
        <v>0.004837952877645039</v>
      </c>
      <c r="D279" s="80" t="s">
        <v>873</v>
      </c>
      <c r="E279" s="80" t="b">
        <v>0</v>
      </c>
      <c r="F279" s="80" t="b">
        <v>0</v>
      </c>
      <c r="G279" s="80" t="b">
        <v>0</v>
      </c>
    </row>
    <row r="280" spans="1:7" ht="15">
      <c r="A280" s="84" t="s">
        <v>976</v>
      </c>
      <c r="B280" s="80">
        <v>3</v>
      </c>
      <c r="C280" s="109">
        <v>0.004837952877645039</v>
      </c>
      <c r="D280" s="80" t="s">
        <v>873</v>
      </c>
      <c r="E280" s="80" t="b">
        <v>0</v>
      </c>
      <c r="F280" s="80" t="b">
        <v>0</v>
      </c>
      <c r="G280" s="80" t="b">
        <v>0</v>
      </c>
    </row>
    <row r="281" spans="1:7" ht="15">
      <c r="A281" s="84" t="s">
        <v>977</v>
      </c>
      <c r="B281" s="80">
        <v>3</v>
      </c>
      <c r="C281" s="109">
        <v>0.004837952877645039</v>
      </c>
      <c r="D281" s="80" t="s">
        <v>873</v>
      </c>
      <c r="E281" s="80" t="b">
        <v>0</v>
      </c>
      <c r="F281" s="80" t="b">
        <v>0</v>
      </c>
      <c r="G281" s="80" t="b">
        <v>0</v>
      </c>
    </row>
    <row r="282" spans="1:7" ht="15">
      <c r="A282" s="84" t="s">
        <v>980</v>
      </c>
      <c r="B282" s="80">
        <v>3</v>
      </c>
      <c r="C282" s="109">
        <v>0.004837952877645039</v>
      </c>
      <c r="D282" s="80" t="s">
        <v>873</v>
      </c>
      <c r="E282" s="80" t="b">
        <v>0</v>
      </c>
      <c r="F282" s="80" t="b">
        <v>0</v>
      </c>
      <c r="G282" s="80" t="b">
        <v>0</v>
      </c>
    </row>
    <row r="283" spans="1:7" ht="15">
      <c r="A283" s="84" t="s">
        <v>981</v>
      </c>
      <c r="B283" s="80">
        <v>3</v>
      </c>
      <c r="C283" s="109">
        <v>0.004837952877645039</v>
      </c>
      <c r="D283" s="80" t="s">
        <v>873</v>
      </c>
      <c r="E283" s="80" t="b">
        <v>1</v>
      </c>
      <c r="F283" s="80" t="b">
        <v>0</v>
      </c>
      <c r="G283" s="80" t="b">
        <v>0</v>
      </c>
    </row>
    <row r="284" spans="1:7" ht="15">
      <c r="A284" s="84" t="s">
        <v>983</v>
      </c>
      <c r="B284" s="80">
        <v>3</v>
      </c>
      <c r="C284" s="109">
        <v>0.004837952877645039</v>
      </c>
      <c r="D284" s="80" t="s">
        <v>873</v>
      </c>
      <c r="E284" s="80" t="b">
        <v>0</v>
      </c>
      <c r="F284" s="80" t="b">
        <v>0</v>
      </c>
      <c r="G284" s="80" t="b">
        <v>0</v>
      </c>
    </row>
    <row r="285" spans="1:7" ht="15">
      <c r="A285" s="84" t="s">
        <v>935</v>
      </c>
      <c r="B285" s="80">
        <v>3</v>
      </c>
      <c r="C285" s="109">
        <v>0.004837952877645039</v>
      </c>
      <c r="D285" s="80" t="s">
        <v>873</v>
      </c>
      <c r="E285" s="80" t="b">
        <v>0</v>
      </c>
      <c r="F285" s="80" t="b">
        <v>0</v>
      </c>
      <c r="G285" s="80" t="b">
        <v>0</v>
      </c>
    </row>
    <row r="286" spans="1:7" ht="15">
      <c r="A286" s="84" t="s">
        <v>984</v>
      </c>
      <c r="B286" s="80">
        <v>3</v>
      </c>
      <c r="C286" s="109">
        <v>0.004837952877645039</v>
      </c>
      <c r="D286" s="80" t="s">
        <v>873</v>
      </c>
      <c r="E286" s="80" t="b">
        <v>1</v>
      </c>
      <c r="F286" s="80" t="b">
        <v>1</v>
      </c>
      <c r="G286" s="80" t="b">
        <v>0</v>
      </c>
    </row>
    <row r="287" spans="1:7" ht="15">
      <c r="A287" s="84" t="s">
        <v>986</v>
      </c>
      <c r="B287" s="80">
        <v>3</v>
      </c>
      <c r="C287" s="109">
        <v>0.004837952877645039</v>
      </c>
      <c r="D287" s="80" t="s">
        <v>873</v>
      </c>
      <c r="E287" s="80" t="b">
        <v>0</v>
      </c>
      <c r="F287" s="80" t="b">
        <v>0</v>
      </c>
      <c r="G287" s="80" t="b">
        <v>0</v>
      </c>
    </row>
    <row r="288" spans="1:7" ht="15">
      <c r="A288" s="84" t="s">
        <v>987</v>
      </c>
      <c r="B288" s="80">
        <v>3</v>
      </c>
      <c r="C288" s="109">
        <v>0.004837952877645039</v>
      </c>
      <c r="D288" s="80" t="s">
        <v>873</v>
      </c>
      <c r="E288" s="80" t="b">
        <v>0</v>
      </c>
      <c r="F288" s="80" t="b">
        <v>0</v>
      </c>
      <c r="G288" s="80" t="b">
        <v>0</v>
      </c>
    </row>
    <row r="289" spans="1:7" ht="15">
      <c r="A289" s="84" t="s">
        <v>958</v>
      </c>
      <c r="B289" s="80">
        <v>3</v>
      </c>
      <c r="C289" s="109">
        <v>0.0063135856242006955</v>
      </c>
      <c r="D289" s="80" t="s">
        <v>873</v>
      </c>
      <c r="E289" s="80" t="b">
        <v>0</v>
      </c>
      <c r="F289" s="80" t="b">
        <v>0</v>
      </c>
      <c r="G289" s="80" t="b">
        <v>0</v>
      </c>
    </row>
    <row r="290" spans="1:7" ht="15">
      <c r="A290" s="84" t="s">
        <v>989</v>
      </c>
      <c r="B290" s="80">
        <v>3</v>
      </c>
      <c r="C290" s="109">
        <v>0.005382565019054362</v>
      </c>
      <c r="D290" s="80" t="s">
        <v>873</v>
      </c>
      <c r="E290" s="80" t="b">
        <v>0</v>
      </c>
      <c r="F290" s="80" t="b">
        <v>0</v>
      </c>
      <c r="G290" s="80" t="b">
        <v>0</v>
      </c>
    </row>
    <row r="291" spans="1:7" ht="15">
      <c r="A291" s="84" t="s">
        <v>990</v>
      </c>
      <c r="B291" s="80">
        <v>3</v>
      </c>
      <c r="C291" s="109">
        <v>0.004837952877645039</v>
      </c>
      <c r="D291" s="80" t="s">
        <v>873</v>
      </c>
      <c r="E291" s="80" t="b">
        <v>1</v>
      </c>
      <c r="F291" s="80" t="b">
        <v>1</v>
      </c>
      <c r="G291" s="80" t="b">
        <v>0</v>
      </c>
    </row>
    <row r="292" spans="1:7" ht="15">
      <c r="A292" s="84" t="s">
        <v>992</v>
      </c>
      <c r="B292" s="80">
        <v>3</v>
      </c>
      <c r="C292" s="109">
        <v>0.0063135856242006955</v>
      </c>
      <c r="D292" s="80" t="s">
        <v>873</v>
      </c>
      <c r="E292" s="80" t="b">
        <v>0</v>
      </c>
      <c r="F292" s="80" t="b">
        <v>0</v>
      </c>
      <c r="G292" s="80" t="b">
        <v>0</v>
      </c>
    </row>
    <row r="293" spans="1:7" ht="15">
      <c r="A293" s="84" t="s">
        <v>962</v>
      </c>
      <c r="B293" s="80">
        <v>3</v>
      </c>
      <c r="C293" s="109">
        <v>0.004837952877645039</v>
      </c>
      <c r="D293" s="80" t="s">
        <v>873</v>
      </c>
      <c r="E293" s="80" t="b">
        <v>1</v>
      </c>
      <c r="F293" s="80" t="b">
        <v>1</v>
      </c>
      <c r="G293" s="80" t="b">
        <v>0</v>
      </c>
    </row>
    <row r="294" spans="1:7" ht="15">
      <c r="A294" s="84" t="s">
        <v>996</v>
      </c>
      <c r="B294" s="80">
        <v>3</v>
      </c>
      <c r="C294" s="109">
        <v>0.0063135856242006955</v>
      </c>
      <c r="D294" s="80" t="s">
        <v>873</v>
      </c>
      <c r="E294" s="80" t="b">
        <v>0</v>
      </c>
      <c r="F294" s="80" t="b">
        <v>0</v>
      </c>
      <c r="G294" s="80" t="b">
        <v>0</v>
      </c>
    </row>
    <row r="295" spans="1:7" ht="15">
      <c r="A295" s="84" t="s">
        <v>997</v>
      </c>
      <c r="B295" s="80">
        <v>3</v>
      </c>
      <c r="C295" s="109">
        <v>0.0063135856242006955</v>
      </c>
      <c r="D295" s="80" t="s">
        <v>873</v>
      </c>
      <c r="E295" s="80" t="b">
        <v>0</v>
      </c>
      <c r="F295" s="80" t="b">
        <v>0</v>
      </c>
      <c r="G295" s="80" t="b">
        <v>0</v>
      </c>
    </row>
    <row r="296" spans="1:7" ht="15">
      <c r="A296" s="84" t="s">
        <v>949</v>
      </c>
      <c r="B296" s="80">
        <v>3</v>
      </c>
      <c r="C296" s="109">
        <v>0.0063135856242006955</v>
      </c>
      <c r="D296" s="80" t="s">
        <v>873</v>
      </c>
      <c r="E296" s="80" t="b">
        <v>0</v>
      </c>
      <c r="F296" s="80" t="b">
        <v>0</v>
      </c>
      <c r="G296" s="80" t="b">
        <v>0</v>
      </c>
    </row>
    <row r="297" spans="1:7" ht="15">
      <c r="A297" s="84" t="s">
        <v>950</v>
      </c>
      <c r="B297" s="80">
        <v>3</v>
      </c>
      <c r="C297" s="109">
        <v>0.004837952877645039</v>
      </c>
      <c r="D297" s="80" t="s">
        <v>873</v>
      </c>
      <c r="E297" s="80" t="b">
        <v>0</v>
      </c>
      <c r="F297" s="80" t="b">
        <v>1</v>
      </c>
      <c r="G297" s="80" t="b">
        <v>0</v>
      </c>
    </row>
    <row r="298" spans="1:7" ht="15">
      <c r="A298" s="84" t="s">
        <v>998</v>
      </c>
      <c r="B298" s="80">
        <v>3</v>
      </c>
      <c r="C298" s="109">
        <v>0.004837952877645039</v>
      </c>
      <c r="D298" s="80" t="s">
        <v>873</v>
      </c>
      <c r="E298" s="80" t="b">
        <v>0</v>
      </c>
      <c r="F298" s="80" t="b">
        <v>1</v>
      </c>
      <c r="G298" s="80" t="b">
        <v>0</v>
      </c>
    </row>
    <row r="299" spans="1:7" ht="15">
      <c r="A299" s="84" t="s">
        <v>1004</v>
      </c>
      <c r="B299" s="80">
        <v>3</v>
      </c>
      <c r="C299" s="109">
        <v>0.005382565019054362</v>
      </c>
      <c r="D299" s="80" t="s">
        <v>873</v>
      </c>
      <c r="E299" s="80" t="b">
        <v>0</v>
      </c>
      <c r="F299" s="80" t="b">
        <v>0</v>
      </c>
      <c r="G299" s="80" t="b">
        <v>0</v>
      </c>
    </row>
    <row r="300" spans="1:7" ht="15">
      <c r="A300" s="84" t="s">
        <v>1006</v>
      </c>
      <c r="B300" s="80">
        <v>3</v>
      </c>
      <c r="C300" s="109">
        <v>0.004837952877645039</v>
      </c>
      <c r="D300" s="80" t="s">
        <v>873</v>
      </c>
      <c r="E300" s="80" t="b">
        <v>0</v>
      </c>
      <c r="F300" s="80" t="b">
        <v>0</v>
      </c>
      <c r="G300" s="80" t="b">
        <v>0</v>
      </c>
    </row>
    <row r="301" spans="1:7" ht="15">
      <c r="A301" s="84" t="s">
        <v>965</v>
      </c>
      <c r="B301" s="80">
        <v>3</v>
      </c>
      <c r="C301" s="109">
        <v>0.0063135856242006955</v>
      </c>
      <c r="D301" s="80" t="s">
        <v>873</v>
      </c>
      <c r="E301" s="80" t="b">
        <v>0</v>
      </c>
      <c r="F301" s="80" t="b">
        <v>0</v>
      </c>
      <c r="G301" s="80" t="b">
        <v>0</v>
      </c>
    </row>
    <row r="302" spans="1:7" ht="15">
      <c r="A302" s="84" t="s">
        <v>973</v>
      </c>
      <c r="B302" s="80">
        <v>2</v>
      </c>
      <c r="C302" s="109">
        <v>0.0035883766793695752</v>
      </c>
      <c r="D302" s="80" t="s">
        <v>873</v>
      </c>
      <c r="E302" s="80" t="b">
        <v>1</v>
      </c>
      <c r="F302" s="80" t="b">
        <v>1</v>
      </c>
      <c r="G302" s="80" t="b">
        <v>0</v>
      </c>
    </row>
    <row r="303" spans="1:7" ht="15">
      <c r="A303" s="84" t="s">
        <v>1022</v>
      </c>
      <c r="B303" s="80">
        <v>2</v>
      </c>
      <c r="C303" s="109">
        <v>0.0035883766793695752</v>
      </c>
      <c r="D303" s="80" t="s">
        <v>873</v>
      </c>
      <c r="E303" s="80" t="b">
        <v>0</v>
      </c>
      <c r="F303" s="80" t="b">
        <v>0</v>
      </c>
      <c r="G303" s="80" t="b">
        <v>0</v>
      </c>
    </row>
    <row r="304" spans="1:7" ht="15">
      <c r="A304" s="84" t="s">
        <v>1023</v>
      </c>
      <c r="B304" s="80">
        <v>2</v>
      </c>
      <c r="C304" s="109">
        <v>0.0035883766793695752</v>
      </c>
      <c r="D304" s="80" t="s">
        <v>873</v>
      </c>
      <c r="E304" s="80" t="b">
        <v>0</v>
      </c>
      <c r="F304" s="80" t="b">
        <v>1</v>
      </c>
      <c r="G304" s="80" t="b">
        <v>0</v>
      </c>
    </row>
    <row r="305" spans="1:7" ht="15">
      <c r="A305" s="84" t="s">
        <v>1024</v>
      </c>
      <c r="B305" s="80">
        <v>2</v>
      </c>
      <c r="C305" s="109">
        <v>0.0035883766793695752</v>
      </c>
      <c r="D305" s="80" t="s">
        <v>873</v>
      </c>
      <c r="E305" s="80" t="b">
        <v>0</v>
      </c>
      <c r="F305" s="80" t="b">
        <v>1</v>
      </c>
      <c r="G305" s="80" t="b">
        <v>0</v>
      </c>
    </row>
    <row r="306" spans="1:7" ht="15">
      <c r="A306" s="84" t="s">
        <v>1025</v>
      </c>
      <c r="B306" s="80">
        <v>2</v>
      </c>
      <c r="C306" s="109">
        <v>0.0035883766793695752</v>
      </c>
      <c r="D306" s="80" t="s">
        <v>873</v>
      </c>
      <c r="E306" s="80" t="b">
        <v>1</v>
      </c>
      <c r="F306" s="80" t="b">
        <v>1</v>
      </c>
      <c r="G306" s="80" t="b">
        <v>0</v>
      </c>
    </row>
    <row r="307" spans="1:7" ht="15">
      <c r="A307" s="84" t="s">
        <v>1027</v>
      </c>
      <c r="B307" s="80">
        <v>2</v>
      </c>
      <c r="C307" s="109">
        <v>0.0035883766793695752</v>
      </c>
      <c r="D307" s="80" t="s">
        <v>873</v>
      </c>
      <c r="E307" s="80" t="b">
        <v>1</v>
      </c>
      <c r="F307" s="80" t="b">
        <v>0</v>
      </c>
      <c r="G307" s="80" t="b">
        <v>0</v>
      </c>
    </row>
    <row r="308" spans="1:7" ht="15">
      <c r="A308" s="84" t="s">
        <v>1029</v>
      </c>
      <c r="B308" s="80">
        <v>2</v>
      </c>
      <c r="C308" s="109">
        <v>0.0035883766793695752</v>
      </c>
      <c r="D308" s="80" t="s">
        <v>873</v>
      </c>
      <c r="E308" s="80" t="b">
        <v>0</v>
      </c>
      <c r="F308" s="80" t="b">
        <v>0</v>
      </c>
      <c r="G308" s="80" t="b">
        <v>0</v>
      </c>
    </row>
    <row r="309" spans="1:7" ht="15">
      <c r="A309" s="84" t="s">
        <v>1030</v>
      </c>
      <c r="B309" s="80">
        <v>2</v>
      </c>
      <c r="C309" s="109">
        <v>0.0035883766793695752</v>
      </c>
      <c r="D309" s="80" t="s">
        <v>873</v>
      </c>
      <c r="E309" s="80" t="b">
        <v>0</v>
      </c>
      <c r="F309" s="80" t="b">
        <v>0</v>
      </c>
      <c r="G309" s="80" t="b">
        <v>0</v>
      </c>
    </row>
    <row r="310" spans="1:7" ht="15">
      <c r="A310" s="84" t="s">
        <v>1032</v>
      </c>
      <c r="B310" s="80">
        <v>2</v>
      </c>
      <c r="C310" s="109">
        <v>0.0035883766793695752</v>
      </c>
      <c r="D310" s="80" t="s">
        <v>873</v>
      </c>
      <c r="E310" s="80" t="b">
        <v>0</v>
      </c>
      <c r="F310" s="80" t="b">
        <v>1</v>
      </c>
      <c r="G310" s="80" t="b">
        <v>0</v>
      </c>
    </row>
    <row r="311" spans="1:7" ht="15">
      <c r="A311" s="84" t="s">
        <v>1033</v>
      </c>
      <c r="B311" s="80">
        <v>2</v>
      </c>
      <c r="C311" s="109">
        <v>0.0035883766793695752</v>
      </c>
      <c r="D311" s="80" t="s">
        <v>873</v>
      </c>
      <c r="E311" s="80" t="b">
        <v>0</v>
      </c>
      <c r="F311" s="80" t="b">
        <v>0</v>
      </c>
      <c r="G311" s="80" t="b">
        <v>0</v>
      </c>
    </row>
    <row r="312" spans="1:7" ht="15">
      <c r="A312" s="84" t="s">
        <v>978</v>
      </c>
      <c r="B312" s="80">
        <v>2</v>
      </c>
      <c r="C312" s="109">
        <v>0.0035883766793695752</v>
      </c>
      <c r="D312" s="80" t="s">
        <v>873</v>
      </c>
      <c r="E312" s="80" t="b">
        <v>0</v>
      </c>
      <c r="F312" s="80" t="b">
        <v>0</v>
      </c>
      <c r="G312" s="80" t="b">
        <v>0</v>
      </c>
    </row>
    <row r="313" spans="1:7" ht="15">
      <c r="A313" s="84" t="s">
        <v>979</v>
      </c>
      <c r="B313" s="80">
        <v>2</v>
      </c>
      <c r="C313" s="109">
        <v>0.0035883766793695752</v>
      </c>
      <c r="D313" s="80" t="s">
        <v>873</v>
      </c>
      <c r="E313" s="80" t="b">
        <v>0</v>
      </c>
      <c r="F313" s="80" t="b">
        <v>0</v>
      </c>
      <c r="G313" s="80" t="b">
        <v>0</v>
      </c>
    </row>
    <row r="314" spans="1:7" ht="15">
      <c r="A314" s="84" t="s">
        <v>956</v>
      </c>
      <c r="B314" s="80">
        <v>2</v>
      </c>
      <c r="C314" s="109">
        <v>0.0035883766793695752</v>
      </c>
      <c r="D314" s="80" t="s">
        <v>873</v>
      </c>
      <c r="E314" s="80" t="b">
        <v>0</v>
      </c>
      <c r="F314" s="80" t="b">
        <v>0</v>
      </c>
      <c r="G314" s="80" t="b">
        <v>0</v>
      </c>
    </row>
    <row r="315" spans="1:7" ht="15">
      <c r="A315" s="84" t="s">
        <v>1036</v>
      </c>
      <c r="B315" s="80">
        <v>2</v>
      </c>
      <c r="C315" s="109">
        <v>0.0035883766793695752</v>
      </c>
      <c r="D315" s="80" t="s">
        <v>873</v>
      </c>
      <c r="E315" s="80" t="b">
        <v>0</v>
      </c>
      <c r="F315" s="80" t="b">
        <v>0</v>
      </c>
      <c r="G315" s="80" t="b">
        <v>0</v>
      </c>
    </row>
    <row r="316" spans="1:7" ht="15">
      <c r="A316" s="84" t="s">
        <v>1039</v>
      </c>
      <c r="B316" s="80">
        <v>2</v>
      </c>
      <c r="C316" s="109">
        <v>0.0035883766793695752</v>
      </c>
      <c r="D316" s="80" t="s">
        <v>873</v>
      </c>
      <c r="E316" s="80" t="b">
        <v>0</v>
      </c>
      <c r="F316" s="80" t="b">
        <v>0</v>
      </c>
      <c r="G316" s="80" t="b">
        <v>0</v>
      </c>
    </row>
    <row r="317" spans="1:7" ht="15">
      <c r="A317" s="84" t="s">
        <v>1040</v>
      </c>
      <c r="B317" s="80">
        <v>2</v>
      </c>
      <c r="C317" s="109">
        <v>0.0035883766793695752</v>
      </c>
      <c r="D317" s="80" t="s">
        <v>873</v>
      </c>
      <c r="E317" s="80" t="b">
        <v>0</v>
      </c>
      <c r="F317" s="80" t="b">
        <v>0</v>
      </c>
      <c r="G317" s="80" t="b">
        <v>0</v>
      </c>
    </row>
    <row r="318" spans="1:7" ht="15">
      <c r="A318" s="84" t="s">
        <v>985</v>
      </c>
      <c r="B318" s="80">
        <v>2</v>
      </c>
      <c r="C318" s="109">
        <v>0.0035883766793695752</v>
      </c>
      <c r="D318" s="80" t="s">
        <v>873</v>
      </c>
      <c r="E318" s="80" t="b">
        <v>0</v>
      </c>
      <c r="F318" s="80" t="b">
        <v>0</v>
      </c>
      <c r="G318" s="80" t="b">
        <v>0</v>
      </c>
    </row>
    <row r="319" spans="1:7" ht="15">
      <c r="A319" s="84" t="s">
        <v>957</v>
      </c>
      <c r="B319" s="80">
        <v>2</v>
      </c>
      <c r="C319" s="109">
        <v>0.0035883766793695752</v>
      </c>
      <c r="D319" s="80" t="s">
        <v>873</v>
      </c>
      <c r="E319" s="80" t="b">
        <v>0</v>
      </c>
      <c r="F319" s="80" t="b">
        <v>0</v>
      </c>
      <c r="G319" s="80" t="b">
        <v>0</v>
      </c>
    </row>
    <row r="320" spans="1:7" ht="15">
      <c r="A320" s="84" t="s">
        <v>1043</v>
      </c>
      <c r="B320" s="80">
        <v>2</v>
      </c>
      <c r="C320" s="109">
        <v>0.0035883766793695752</v>
      </c>
      <c r="D320" s="80" t="s">
        <v>873</v>
      </c>
      <c r="E320" s="80" t="b">
        <v>1</v>
      </c>
      <c r="F320" s="80" t="b">
        <v>0</v>
      </c>
      <c r="G320" s="80" t="b">
        <v>0</v>
      </c>
    </row>
    <row r="321" spans="1:7" ht="15">
      <c r="A321" s="84" t="s">
        <v>1045</v>
      </c>
      <c r="B321" s="80">
        <v>2</v>
      </c>
      <c r="C321" s="109">
        <v>0.0035883766793695752</v>
      </c>
      <c r="D321" s="80" t="s">
        <v>873</v>
      </c>
      <c r="E321" s="80" t="b">
        <v>0</v>
      </c>
      <c r="F321" s="80" t="b">
        <v>0</v>
      </c>
      <c r="G321" s="80" t="b">
        <v>0</v>
      </c>
    </row>
    <row r="322" spans="1:7" ht="15">
      <c r="A322" s="84" t="s">
        <v>1046</v>
      </c>
      <c r="B322" s="80">
        <v>2</v>
      </c>
      <c r="C322" s="109">
        <v>0.004209057082800464</v>
      </c>
      <c r="D322" s="80" t="s">
        <v>873</v>
      </c>
      <c r="E322" s="80" t="b">
        <v>0</v>
      </c>
      <c r="F322" s="80" t="b">
        <v>0</v>
      </c>
      <c r="G322" s="80" t="b">
        <v>0</v>
      </c>
    </row>
    <row r="323" spans="1:7" ht="15">
      <c r="A323" s="84" t="s">
        <v>988</v>
      </c>
      <c r="B323" s="80">
        <v>2</v>
      </c>
      <c r="C323" s="109">
        <v>0.0035883766793695752</v>
      </c>
      <c r="D323" s="80" t="s">
        <v>873</v>
      </c>
      <c r="E323" s="80" t="b">
        <v>1</v>
      </c>
      <c r="F323" s="80" t="b">
        <v>1</v>
      </c>
      <c r="G323" s="80" t="b">
        <v>0</v>
      </c>
    </row>
    <row r="324" spans="1:7" ht="15">
      <c r="A324" s="84" t="s">
        <v>1047</v>
      </c>
      <c r="B324" s="80">
        <v>2</v>
      </c>
      <c r="C324" s="109">
        <v>0.0035883766793695752</v>
      </c>
      <c r="D324" s="80" t="s">
        <v>873</v>
      </c>
      <c r="E324" s="80" t="b">
        <v>1</v>
      </c>
      <c r="F324" s="80" t="b">
        <v>1</v>
      </c>
      <c r="G324" s="80" t="b">
        <v>0</v>
      </c>
    </row>
    <row r="325" spans="1:7" ht="15">
      <c r="A325" s="84" t="s">
        <v>1048</v>
      </c>
      <c r="B325" s="80">
        <v>2</v>
      </c>
      <c r="C325" s="109">
        <v>0.004209057082800464</v>
      </c>
      <c r="D325" s="80" t="s">
        <v>873</v>
      </c>
      <c r="E325" s="80" t="b">
        <v>0</v>
      </c>
      <c r="F325" s="80" t="b">
        <v>0</v>
      </c>
      <c r="G325" s="80" t="b">
        <v>0</v>
      </c>
    </row>
    <row r="326" spans="1:7" ht="15">
      <c r="A326" s="84" t="s">
        <v>1049</v>
      </c>
      <c r="B326" s="80">
        <v>2</v>
      </c>
      <c r="C326" s="109">
        <v>0.004209057082800464</v>
      </c>
      <c r="D326" s="80" t="s">
        <v>873</v>
      </c>
      <c r="E326" s="80" t="b">
        <v>0</v>
      </c>
      <c r="F326" s="80" t="b">
        <v>0</v>
      </c>
      <c r="G326" s="80" t="b">
        <v>0</v>
      </c>
    </row>
    <row r="327" spans="1:7" ht="15">
      <c r="A327" s="84" t="s">
        <v>1050</v>
      </c>
      <c r="B327" s="80">
        <v>2</v>
      </c>
      <c r="C327" s="109">
        <v>0.004209057082800464</v>
      </c>
      <c r="D327" s="80" t="s">
        <v>873</v>
      </c>
      <c r="E327" s="80" t="b">
        <v>0</v>
      </c>
      <c r="F327" s="80" t="b">
        <v>0</v>
      </c>
      <c r="G327" s="80" t="b">
        <v>0</v>
      </c>
    </row>
    <row r="328" spans="1:7" ht="15">
      <c r="A328" s="84" t="s">
        <v>1051</v>
      </c>
      <c r="B328" s="80">
        <v>2</v>
      </c>
      <c r="C328" s="109">
        <v>0.0035883766793695752</v>
      </c>
      <c r="D328" s="80" t="s">
        <v>873</v>
      </c>
      <c r="E328" s="80" t="b">
        <v>0</v>
      </c>
      <c r="F328" s="80" t="b">
        <v>1</v>
      </c>
      <c r="G328" s="80" t="b">
        <v>0</v>
      </c>
    </row>
    <row r="329" spans="1:7" ht="15">
      <c r="A329" s="84" t="s">
        <v>1053</v>
      </c>
      <c r="B329" s="80">
        <v>2</v>
      </c>
      <c r="C329" s="109">
        <v>0.004209057082800464</v>
      </c>
      <c r="D329" s="80" t="s">
        <v>873</v>
      </c>
      <c r="E329" s="80" t="b">
        <v>0</v>
      </c>
      <c r="F329" s="80" t="b">
        <v>1</v>
      </c>
      <c r="G329" s="80" t="b">
        <v>0</v>
      </c>
    </row>
    <row r="330" spans="1:7" ht="15">
      <c r="A330" s="84" t="s">
        <v>1057</v>
      </c>
      <c r="B330" s="80">
        <v>2</v>
      </c>
      <c r="C330" s="109">
        <v>0.0035883766793695752</v>
      </c>
      <c r="D330" s="80" t="s">
        <v>873</v>
      </c>
      <c r="E330" s="80" t="b">
        <v>0</v>
      </c>
      <c r="F330" s="80" t="b">
        <v>0</v>
      </c>
      <c r="G330" s="80" t="b">
        <v>0</v>
      </c>
    </row>
    <row r="331" spans="1:7" ht="15">
      <c r="A331" s="84" t="s">
        <v>1061</v>
      </c>
      <c r="B331" s="80">
        <v>2</v>
      </c>
      <c r="C331" s="109">
        <v>0.0035883766793695752</v>
      </c>
      <c r="D331" s="80" t="s">
        <v>873</v>
      </c>
      <c r="E331" s="80" t="b">
        <v>0</v>
      </c>
      <c r="F331" s="80" t="b">
        <v>0</v>
      </c>
      <c r="G331" s="80" t="b">
        <v>0</v>
      </c>
    </row>
    <row r="332" spans="1:7" ht="15">
      <c r="A332" s="84" t="s">
        <v>1062</v>
      </c>
      <c r="B332" s="80">
        <v>2</v>
      </c>
      <c r="C332" s="109">
        <v>0.0035883766793695752</v>
      </c>
      <c r="D332" s="80" t="s">
        <v>873</v>
      </c>
      <c r="E332" s="80" t="b">
        <v>0</v>
      </c>
      <c r="F332" s="80" t="b">
        <v>1</v>
      </c>
      <c r="G332" s="80" t="b">
        <v>0</v>
      </c>
    </row>
    <row r="333" spans="1:7" ht="15">
      <c r="A333" s="84" t="s">
        <v>991</v>
      </c>
      <c r="B333" s="80">
        <v>2</v>
      </c>
      <c r="C333" s="109">
        <v>0.0035883766793695752</v>
      </c>
      <c r="D333" s="80" t="s">
        <v>873</v>
      </c>
      <c r="E333" s="80" t="b">
        <v>0</v>
      </c>
      <c r="F333" s="80" t="b">
        <v>0</v>
      </c>
      <c r="G333" s="80" t="b">
        <v>0</v>
      </c>
    </row>
    <row r="334" spans="1:7" ht="15">
      <c r="A334" s="84" t="s">
        <v>931</v>
      </c>
      <c r="B334" s="80">
        <v>2</v>
      </c>
      <c r="C334" s="109">
        <v>0.0035883766793695752</v>
      </c>
      <c r="D334" s="80" t="s">
        <v>873</v>
      </c>
      <c r="E334" s="80" t="b">
        <v>0</v>
      </c>
      <c r="F334" s="80" t="b">
        <v>0</v>
      </c>
      <c r="G334" s="80" t="b">
        <v>0</v>
      </c>
    </row>
    <row r="335" spans="1:7" ht="15">
      <c r="A335" s="84" t="s">
        <v>1063</v>
      </c>
      <c r="B335" s="80">
        <v>2</v>
      </c>
      <c r="C335" s="109">
        <v>0.004209057082800464</v>
      </c>
      <c r="D335" s="80" t="s">
        <v>873</v>
      </c>
      <c r="E335" s="80" t="b">
        <v>0</v>
      </c>
      <c r="F335" s="80" t="b">
        <v>0</v>
      </c>
      <c r="G335" s="80" t="b">
        <v>0</v>
      </c>
    </row>
    <row r="336" spans="1:7" ht="15">
      <c r="A336" s="84" t="s">
        <v>1064</v>
      </c>
      <c r="B336" s="80">
        <v>2</v>
      </c>
      <c r="C336" s="109">
        <v>0.004209057082800464</v>
      </c>
      <c r="D336" s="80" t="s">
        <v>873</v>
      </c>
      <c r="E336" s="80" t="b">
        <v>0</v>
      </c>
      <c r="F336" s="80" t="b">
        <v>0</v>
      </c>
      <c r="G336" s="80" t="b">
        <v>0</v>
      </c>
    </row>
    <row r="337" spans="1:7" ht="15">
      <c r="A337" s="84" t="s">
        <v>993</v>
      </c>
      <c r="B337" s="80">
        <v>2</v>
      </c>
      <c r="C337" s="109">
        <v>0.0035883766793695752</v>
      </c>
      <c r="D337" s="80" t="s">
        <v>873</v>
      </c>
      <c r="E337" s="80" t="b">
        <v>0</v>
      </c>
      <c r="F337" s="80" t="b">
        <v>0</v>
      </c>
      <c r="G337" s="80" t="b">
        <v>0</v>
      </c>
    </row>
    <row r="338" spans="1:7" ht="15">
      <c r="A338" s="84" t="s">
        <v>1065</v>
      </c>
      <c r="B338" s="80">
        <v>2</v>
      </c>
      <c r="C338" s="109">
        <v>0.004209057082800464</v>
      </c>
      <c r="D338" s="80" t="s">
        <v>873</v>
      </c>
      <c r="E338" s="80" t="b">
        <v>0</v>
      </c>
      <c r="F338" s="80" t="b">
        <v>0</v>
      </c>
      <c r="G338" s="80" t="b">
        <v>0</v>
      </c>
    </row>
    <row r="339" spans="1:7" ht="15">
      <c r="A339" s="84" t="s">
        <v>1066</v>
      </c>
      <c r="B339" s="80">
        <v>2</v>
      </c>
      <c r="C339" s="109">
        <v>0.004209057082800464</v>
      </c>
      <c r="D339" s="80" t="s">
        <v>873</v>
      </c>
      <c r="E339" s="80" t="b">
        <v>0</v>
      </c>
      <c r="F339" s="80" t="b">
        <v>0</v>
      </c>
      <c r="G339" s="80" t="b">
        <v>0</v>
      </c>
    </row>
    <row r="340" spans="1:7" ht="15">
      <c r="A340" s="84" t="s">
        <v>994</v>
      </c>
      <c r="B340" s="80">
        <v>2</v>
      </c>
      <c r="C340" s="109">
        <v>0.0035883766793695752</v>
      </c>
      <c r="D340" s="80" t="s">
        <v>873</v>
      </c>
      <c r="E340" s="80" t="b">
        <v>0</v>
      </c>
      <c r="F340" s="80" t="b">
        <v>0</v>
      </c>
      <c r="G340" s="80" t="b">
        <v>0</v>
      </c>
    </row>
    <row r="341" spans="1:7" ht="15">
      <c r="A341" s="84" t="s">
        <v>995</v>
      </c>
      <c r="B341" s="80">
        <v>2</v>
      </c>
      <c r="C341" s="109">
        <v>0.0035883766793695752</v>
      </c>
      <c r="D341" s="80" t="s">
        <v>873</v>
      </c>
      <c r="E341" s="80" t="b">
        <v>0</v>
      </c>
      <c r="F341" s="80" t="b">
        <v>0</v>
      </c>
      <c r="G341" s="80" t="b">
        <v>0</v>
      </c>
    </row>
    <row r="342" spans="1:7" ht="15">
      <c r="A342" s="84" t="s">
        <v>1068</v>
      </c>
      <c r="B342" s="80">
        <v>2</v>
      </c>
      <c r="C342" s="109">
        <v>0.0035883766793695752</v>
      </c>
      <c r="D342" s="80" t="s">
        <v>873</v>
      </c>
      <c r="E342" s="80" t="b">
        <v>0</v>
      </c>
      <c r="F342" s="80" t="b">
        <v>0</v>
      </c>
      <c r="G342" s="80" t="b">
        <v>0</v>
      </c>
    </row>
    <row r="343" spans="1:7" ht="15">
      <c r="A343" s="84" t="s">
        <v>1073</v>
      </c>
      <c r="B343" s="80">
        <v>2</v>
      </c>
      <c r="C343" s="109">
        <v>0.004209057082800464</v>
      </c>
      <c r="D343" s="80" t="s">
        <v>873</v>
      </c>
      <c r="E343" s="80" t="b">
        <v>0</v>
      </c>
      <c r="F343" s="80" t="b">
        <v>1</v>
      </c>
      <c r="G343" s="80" t="b">
        <v>0</v>
      </c>
    </row>
    <row r="344" spans="1:7" ht="15">
      <c r="A344" s="84" t="s">
        <v>999</v>
      </c>
      <c r="B344" s="80">
        <v>2</v>
      </c>
      <c r="C344" s="109">
        <v>0.0035883766793695752</v>
      </c>
      <c r="D344" s="80" t="s">
        <v>873</v>
      </c>
      <c r="E344" s="80" t="b">
        <v>1</v>
      </c>
      <c r="F344" s="80" t="b">
        <v>1</v>
      </c>
      <c r="G344" s="80" t="b">
        <v>0</v>
      </c>
    </row>
    <row r="345" spans="1:7" ht="15">
      <c r="A345" s="84" t="s">
        <v>1000</v>
      </c>
      <c r="B345" s="80">
        <v>2</v>
      </c>
      <c r="C345" s="109">
        <v>0.0035883766793695752</v>
      </c>
      <c r="D345" s="80" t="s">
        <v>873</v>
      </c>
      <c r="E345" s="80" t="b">
        <v>0</v>
      </c>
      <c r="F345" s="80" t="b">
        <v>0</v>
      </c>
      <c r="G345" s="80" t="b">
        <v>0</v>
      </c>
    </row>
    <row r="346" spans="1:7" ht="15">
      <c r="A346" s="84" t="s">
        <v>1001</v>
      </c>
      <c r="B346" s="80">
        <v>2</v>
      </c>
      <c r="C346" s="109">
        <v>0.0035883766793695752</v>
      </c>
      <c r="D346" s="80" t="s">
        <v>873</v>
      </c>
      <c r="E346" s="80" t="b">
        <v>0</v>
      </c>
      <c r="F346" s="80" t="b">
        <v>0</v>
      </c>
      <c r="G346" s="80" t="b">
        <v>0</v>
      </c>
    </row>
    <row r="347" spans="1:7" ht="15">
      <c r="A347" s="84" t="s">
        <v>1075</v>
      </c>
      <c r="B347" s="80">
        <v>2</v>
      </c>
      <c r="C347" s="109">
        <v>0.004209057082800464</v>
      </c>
      <c r="D347" s="80" t="s">
        <v>873</v>
      </c>
      <c r="E347" s="80" t="b">
        <v>0</v>
      </c>
      <c r="F347" s="80" t="b">
        <v>0</v>
      </c>
      <c r="G347" s="80" t="b">
        <v>0</v>
      </c>
    </row>
    <row r="348" spans="1:7" ht="15">
      <c r="A348" s="84" t="s">
        <v>1076</v>
      </c>
      <c r="B348" s="80">
        <v>2</v>
      </c>
      <c r="C348" s="109">
        <v>0.004209057082800464</v>
      </c>
      <c r="D348" s="80" t="s">
        <v>873</v>
      </c>
      <c r="E348" s="80" t="b">
        <v>0</v>
      </c>
      <c r="F348" s="80" t="b">
        <v>1</v>
      </c>
      <c r="G348" s="80" t="b">
        <v>0</v>
      </c>
    </row>
    <row r="349" spans="1:7" ht="15">
      <c r="A349" s="84" t="s">
        <v>1079</v>
      </c>
      <c r="B349" s="80">
        <v>2</v>
      </c>
      <c r="C349" s="109">
        <v>0.004209057082800464</v>
      </c>
      <c r="D349" s="80" t="s">
        <v>873</v>
      </c>
      <c r="E349" s="80" t="b">
        <v>0</v>
      </c>
      <c r="F349" s="80" t="b">
        <v>0</v>
      </c>
      <c r="G349" s="80" t="b">
        <v>0</v>
      </c>
    </row>
    <row r="350" spans="1:7" ht="15">
      <c r="A350" s="84" t="s">
        <v>952</v>
      </c>
      <c r="B350" s="80">
        <v>2</v>
      </c>
      <c r="C350" s="109">
        <v>0.0035883766793695752</v>
      </c>
      <c r="D350" s="80" t="s">
        <v>873</v>
      </c>
      <c r="E350" s="80" t="b">
        <v>0</v>
      </c>
      <c r="F350" s="80" t="b">
        <v>0</v>
      </c>
      <c r="G350" s="80" t="b">
        <v>0</v>
      </c>
    </row>
    <row r="351" spans="1:7" ht="15">
      <c r="A351" s="84" t="s">
        <v>1083</v>
      </c>
      <c r="B351" s="80">
        <v>2</v>
      </c>
      <c r="C351" s="109">
        <v>0.0035883766793695752</v>
      </c>
      <c r="D351" s="80" t="s">
        <v>873</v>
      </c>
      <c r="E351" s="80" t="b">
        <v>0</v>
      </c>
      <c r="F351" s="80" t="b">
        <v>0</v>
      </c>
      <c r="G351" s="80" t="b">
        <v>0</v>
      </c>
    </row>
    <row r="352" spans="1:7" ht="15">
      <c r="A352" s="84" t="s">
        <v>1085</v>
      </c>
      <c r="B352" s="80">
        <v>2</v>
      </c>
      <c r="C352" s="109">
        <v>0.0035883766793695752</v>
      </c>
      <c r="D352" s="80" t="s">
        <v>873</v>
      </c>
      <c r="E352" s="80" t="b">
        <v>0</v>
      </c>
      <c r="F352" s="80" t="b">
        <v>0</v>
      </c>
      <c r="G352" s="80" t="b">
        <v>0</v>
      </c>
    </row>
    <row r="353" spans="1:7" ht="15">
      <c r="A353" s="84" t="s">
        <v>1086</v>
      </c>
      <c r="B353" s="80">
        <v>2</v>
      </c>
      <c r="C353" s="109">
        <v>0.0035883766793695752</v>
      </c>
      <c r="D353" s="80" t="s">
        <v>873</v>
      </c>
      <c r="E353" s="80" t="b">
        <v>0</v>
      </c>
      <c r="F353" s="80" t="b">
        <v>0</v>
      </c>
      <c r="G353" s="80" t="b">
        <v>0</v>
      </c>
    </row>
    <row r="354" spans="1:7" ht="15">
      <c r="A354" s="84" t="s">
        <v>1087</v>
      </c>
      <c r="B354" s="80">
        <v>2</v>
      </c>
      <c r="C354" s="109">
        <v>0.0035883766793695752</v>
      </c>
      <c r="D354" s="80" t="s">
        <v>873</v>
      </c>
      <c r="E354" s="80" t="b">
        <v>0</v>
      </c>
      <c r="F354" s="80" t="b">
        <v>0</v>
      </c>
      <c r="G354" s="80" t="b">
        <v>0</v>
      </c>
    </row>
    <row r="355" spans="1:7" ht="15">
      <c r="A355" s="84" t="s">
        <v>964</v>
      </c>
      <c r="B355" s="80">
        <v>2</v>
      </c>
      <c r="C355" s="109">
        <v>0.0035883766793695752</v>
      </c>
      <c r="D355" s="80" t="s">
        <v>873</v>
      </c>
      <c r="E355" s="80" t="b">
        <v>0</v>
      </c>
      <c r="F355" s="80" t="b">
        <v>0</v>
      </c>
      <c r="G355" s="80" t="b">
        <v>0</v>
      </c>
    </row>
    <row r="356" spans="1:7" ht="15">
      <c r="A356" s="84" t="s">
        <v>1088</v>
      </c>
      <c r="B356" s="80">
        <v>2</v>
      </c>
      <c r="C356" s="109">
        <v>0.0035883766793695752</v>
      </c>
      <c r="D356" s="80" t="s">
        <v>873</v>
      </c>
      <c r="E356" s="80" t="b">
        <v>0</v>
      </c>
      <c r="F356" s="80" t="b">
        <v>0</v>
      </c>
      <c r="G356" s="80" t="b">
        <v>0</v>
      </c>
    </row>
    <row r="357" spans="1:7" ht="15">
      <c r="A357" s="84" t="s">
        <v>926</v>
      </c>
      <c r="B357" s="80">
        <v>2</v>
      </c>
      <c r="C357" s="109">
        <v>0.0035883766793695752</v>
      </c>
      <c r="D357" s="80" t="s">
        <v>873</v>
      </c>
      <c r="E357" s="80" t="b">
        <v>0</v>
      </c>
      <c r="F357" s="80" t="b">
        <v>0</v>
      </c>
      <c r="G357" s="80" t="b">
        <v>0</v>
      </c>
    </row>
    <row r="358" spans="1:7" ht="15">
      <c r="A358" s="84" t="s">
        <v>1091</v>
      </c>
      <c r="B358" s="80">
        <v>2</v>
      </c>
      <c r="C358" s="109">
        <v>0.0035883766793695752</v>
      </c>
      <c r="D358" s="80" t="s">
        <v>873</v>
      </c>
      <c r="E358" s="80" t="b">
        <v>0</v>
      </c>
      <c r="F358" s="80" t="b">
        <v>1</v>
      </c>
      <c r="G358" s="80" t="b">
        <v>0</v>
      </c>
    </row>
    <row r="359" spans="1:7" ht="15">
      <c r="A359" s="84" t="s">
        <v>966</v>
      </c>
      <c r="B359" s="80">
        <v>2</v>
      </c>
      <c r="C359" s="109">
        <v>0.0035883766793695752</v>
      </c>
      <c r="D359" s="80" t="s">
        <v>873</v>
      </c>
      <c r="E359" s="80" t="b">
        <v>1</v>
      </c>
      <c r="F359" s="80" t="b">
        <v>1</v>
      </c>
      <c r="G359" s="80" t="b">
        <v>0</v>
      </c>
    </row>
    <row r="360" spans="1:7" ht="15">
      <c r="A360" s="84" t="s">
        <v>940</v>
      </c>
      <c r="B360" s="80">
        <v>2</v>
      </c>
      <c r="C360" s="109">
        <v>0.0035883766793695752</v>
      </c>
      <c r="D360" s="80" t="s">
        <v>873</v>
      </c>
      <c r="E360" s="80" t="b">
        <v>1</v>
      </c>
      <c r="F360" s="80" t="b">
        <v>1</v>
      </c>
      <c r="G360" s="80" t="b">
        <v>0</v>
      </c>
    </row>
    <row r="361" spans="1:7" ht="15">
      <c r="A361" s="84" t="s">
        <v>1093</v>
      </c>
      <c r="B361" s="80">
        <v>2</v>
      </c>
      <c r="C361" s="109">
        <v>0.0035883766793695752</v>
      </c>
      <c r="D361" s="80" t="s">
        <v>873</v>
      </c>
      <c r="E361" s="80" t="b">
        <v>0</v>
      </c>
      <c r="F361" s="80" t="b">
        <v>0</v>
      </c>
      <c r="G361" s="80" t="b">
        <v>0</v>
      </c>
    </row>
    <row r="362" spans="1:7" ht="15">
      <c r="A362" s="84" t="s">
        <v>932</v>
      </c>
      <c r="B362" s="80">
        <v>2</v>
      </c>
      <c r="C362" s="109">
        <v>0.004209057082800464</v>
      </c>
      <c r="D362" s="80" t="s">
        <v>873</v>
      </c>
      <c r="E362" s="80" t="b">
        <v>0</v>
      </c>
      <c r="F362" s="80" t="b">
        <v>0</v>
      </c>
      <c r="G362" s="80" t="b">
        <v>0</v>
      </c>
    </row>
    <row r="363" spans="1:7" ht="15">
      <c r="A363" s="84" t="s">
        <v>967</v>
      </c>
      <c r="B363" s="80">
        <v>2</v>
      </c>
      <c r="C363" s="109">
        <v>0.0035883766793695752</v>
      </c>
      <c r="D363" s="80" t="s">
        <v>873</v>
      </c>
      <c r="E363" s="80" t="b">
        <v>0</v>
      </c>
      <c r="F363" s="80" t="b">
        <v>0</v>
      </c>
      <c r="G363" s="80" t="b">
        <v>0</v>
      </c>
    </row>
    <row r="364" spans="1:7" ht="15">
      <c r="A364" s="84" t="s">
        <v>1095</v>
      </c>
      <c r="B364" s="80">
        <v>2</v>
      </c>
      <c r="C364" s="109">
        <v>0.0035883766793695752</v>
      </c>
      <c r="D364" s="80" t="s">
        <v>873</v>
      </c>
      <c r="E364" s="80" t="b">
        <v>1</v>
      </c>
      <c r="F364" s="80" t="b">
        <v>0</v>
      </c>
      <c r="G364" s="80" t="b">
        <v>0</v>
      </c>
    </row>
    <row r="365" spans="1:7" ht="15">
      <c r="A365" s="84" t="s">
        <v>1007</v>
      </c>
      <c r="B365" s="80">
        <v>2</v>
      </c>
      <c r="C365" s="109">
        <v>0.0035883766793695752</v>
      </c>
      <c r="D365" s="80" t="s">
        <v>873</v>
      </c>
      <c r="E365" s="80" t="b">
        <v>0</v>
      </c>
      <c r="F365" s="80" t="b">
        <v>0</v>
      </c>
      <c r="G365" s="80" t="b">
        <v>0</v>
      </c>
    </row>
    <row r="366" spans="1:7" ht="15">
      <c r="A366" s="84" t="s">
        <v>1126</v>
      </c>
      <c r="B366" s="80">
        <v>2</v>
      </c>
      <c r="C366" s="109">
        <v>0.0035883766793695752</v>
      </c>
      <c r="D366" s="80" t="s">
        <v>873</v>
      </c>
      <c r="E366" s="80" t="b">
        <v>0</v>
      </c>
      <c r="F366" s="80" t="b">
        <v>0</v>
      </c>
      <c r="G366" s="80" t="b">
        <v>0</v>
      </c>
    </row>
    <row r="367" spans="1:7" ht="15">
      <c r="A367" s="84" t="s">
        <v>1133</v>
      </c>
      <c r="B367" s="80">
        <v>2</v>
      </c>
      <c r="C367" s="109">
        <v>0.004209057082800464</v>
      </c>
      <c r="D367" s="80" t="s">
        <v>873</v>
      </c>
      <c r="E367" s="80" t="b">
        <v>0</v>
      </c>
      <c r="F367" s="80" t="b">
        <v>0</v>
      </c>
      <c r="G367" s="80" t="b">
        <v>0</v>
      </c>
    </row>
    <row r="368" spans="1:7" ht="15">
      <c r="A368" s="84" t="s">
        <v>1134</v>
      </c>
      <c r="B368" s="80">
        <v>2</v>
      </c>
      <c r="C368" s="109">
        <v>0.004209057082800464</v>
      </c>
      <c r="D368" s="80" t="s">
        <v>873</v>
      </c>
      <c r="E368" s="80" t="b">
        <v>0</v>
      </c>
      <c r="F368" s="80" t="b">
        <v>0</v>
      </c>
      <c r="G368" s="80" t="b">
        <v>0</v>
      </c>
    </row>
    <row r="369" spans="1:7" ht="15">
      <c r="A369" s="84" t="s">
        <v>1135</v>
      </c>
      <c r="B369" s="80">
        <v>2</v>
      </c>
      <c r="C369" s="109">
        <v>0.0035883766793695752</v>
      </c>
      <c r="D369" s="80" t="s">
        <v>873</v>
      </c>
      <c r="E369" s="80" t="b">
        <v>0</v>
      </c>
      <c r="F369" s="80" t="b">
        <v>0</v>
      </c>
      <c r="G369" s="80" t="b">
        <v>0</v>
      </c>
    </row>
    <row r="370" spans="1:7" ht="15">
      <c r="A370" s="84" t="s">
        <v>1138</v>
      </c>
      <c r="B370" s="80">
        <v>2</v>
      </c>
      <c r="C370" s="109">
        <v>0.0035883766793695752</v>
      </c>
      <c r="D370" s="80" t="s">
        <v>873</v>
      </c>
      <c r="E370" s="80" t="b">
        <v>1</v>
      </c>
      <c r="F370" s="80" t="b">
        <v>1</v>
      </c>
      <c r="G370" s="80" t="b">
        <v>0</v>
      </c>
    </row>
    <row r="371" spans="1:7" ht="15">
      <c r="A371" s="84" t="s">
        <v>1139</v>
      </c>
      <c r="B371" s="80">
        <v>2</v>
      </c>
      <c r="C371" s="109">
        <v>0.004209057082800464</v>
      </c>
      <c r="D371" s="80" t="s">
        <v>873</v>
      </c>
      <c r="E371" s="80" t="b">
        <v>0</v>
      </c>
      <c r="F371" s="80" t="b">
        <v>0</v>
      </c>
      <c r="G371" s="80" t="b">
        <v>0</v>
      </c>
    </row>
    <row r="372" spans="1:7" ht="15">
      <c r="A372" s="84" t="s">
        <v>1140</v>
      </c>
      <c r="B372" s="80">
        <v>2</v>
      </c>
      <c r="C372" s="109">
        <v>0.0035883766793695752</v>
      </c>
      <c r="D372" s="80" t="s">
        <v>873</v>
      </c>
      <c r="E372" s="80" t="b">
        <v>0</v>
      </c>
      <c r="F372" s="80" t="b">
        <v>0</v>
      </c>
      <c r="G372" s="80" t="b">
        <v>0</v>
      </c>
    </row>
    <row r="373" spans="1:7" ht="15">
      <c r="A373" s="84" t="s">
        <v>1142</v>
      </c>
      <c r="B373" s="80">
        <v>2</v>
      </c>
      <c r="C373" s="109">
        <v>0.0035883766793695752</v>
      </c>
      <c r="D373" s="80" t="s">
        <v>873</v>
      </c>
      <c r="E373" s="80" t="b">
        <v>0</v>
      </c>
      <c r="F373" s="80" t="b">
        <v>0</v>
      </c>
      <c r="G373" s="80" t="b">
        <v>0</v>
      </c>
    </row>
    <row r="374" spans="1:7" ht="15">
      <c r="A374" s="84" t="s">
        <v>1144</v>
      </c>
      <c r="B374" s="80">
        <v>2</v>
      </c>
      <c r="C374" s="109">
        <v>0.0035883766793695752</v>
      </c>
      <c r="D374" s="80" t="s">
        <v>873</v>
      </c>
      <c r="E374" s="80" t="b">
        <v>1</v>
      </c>
      <c r="F374" s="80" t="b">
        <v>1</v>
      </c>
      <c r="G374" s="80" t="b">
        <v>0</v>
      </c>
    </row>
    <row r="375" spans="1:7" ht="15">
      <c r="A375" s="84" t="s">
        <v>1148</v>
      </c>
      <c r="B375" s="80">
        <v>2</v>
      </c>
      <c r="C375" s="109">
        <v>0.004209057082800464</v>
      </c>
      <c r="D375" s="80" t="s">
        <v>873</v>
      </c>
      <c r="E375" s="80" t="b">
        <v>0</v>
      </c>
      <c r="F375" s="80" t="b">
        <v>0</v>
      </c>
      <c r="G375" s="80" t="b">
        <v>0</v>
      </c>
    </row>
    <row r="376" spans="1:7" ht="15">
      <c r="A376" s="84" t="s">
        <v>926</v>
      </c>
      <c r="B376" s="80">
        <v>8</v>
      </c>
      <c r="C376" s="109">
        <v>0.02699912151534168</v>
      </c>
      <c r="D376" s="80" t="s">
        <v>874</v>
      </c>
      <c r="E376" s="80" t="b">
        <v>0</v>
      </c>
      <c r="F376" s="80" t="b">
        <v>0</v>
      </c>
      <c r="G376" s="80" t="b">
        <v>0</v>
      </c>
    </row>
    <row r="377" spans="1:7" ht="15">
      <c r="A377" s="84" t="s">
        <v>932</v>
      </c>
      <c r="B377" s="80">
        <v>7</v>
      </c>
      <c r="C377" s="109">
        <v>0.030730240586608257</v>
      </c>
      <c r="D377" s="80" t="s">
        <v>874</v>
      </c>
      <c r="E377" s="80" t="b">
        <v>0</v>
      </c>
      <c r="F377" s="80" t="b">
        <v>0</v>
      </c>
      <c r="G377" s="80" t="b">
        <v>0</v>
      </c>
    </row>
    <row r="378" spans="1:7" ht="15">
      <c r="A378" s="84" t="s">
        <v>968</v>
      </c>
      <c r="B378" s="80">
        <v>3</v>
      </c>
      <c r="C378" s="109">
        <v>0.0217027473245601</v>
      </c>
      <c r="D378" s="80" t="s">
        <v>874</v>
      </c>
      <c r="E378" s="80" t="b">
        <v>0</v>
      </c>
      <c r="F378" s="80" t="b">
        <v>0</v>
      </c>
      <c r="G378" s="80" t="b">
        <v>0</v>
      </c>
    </row>
    <row r="379" spans="1:7" ht="15">
      <c r="A379" s="84" t="s">
        <v>931</v>
      </c>
      <c r="B379" s="80">
        <v>2</v>
      </c>
      <c r="C379" s="109">
        <v>0.018983658704980613</v>
      </c>
      <c r="D379" s="80" t="s">
        <v>874</v>
      </c>
      <c r="E379" s="80" t="b">
        <v>0</v>
      </c>
      <c r="F379" s="80" t="b">
        <v>0</v>
      </c>
      <c r="G379" s="80" t="b">
        <v>0</v>
      </c>
    </row>
    <row r="380" spans="1:7" ht="15">
      <c r="A380" s="84" t="s">
        <v>964</v>
      </c>
      <c r="B380" s="80">
        <v>2</v>
      </c>
      <c r="C380" s="109">
        <v>0.018983658704980613</v>
      </c>
      <c r="D380" s="80" t="s">
        <v>874</v>
      </c>
      <c r="E380" s="80" t="b">
        <v>0</v>
      </c>
      <c r="F380" s="80" t="b">
        <v>0</v>
      </c>
      <c r="G380" s="80" t="b">
        <v>0</v>
      </c>
    </row>
    <row r="381" spans="1:7" ht="15">
      <c r="A381" s="84" t="s">
        <v>967</v>
      </c>
      <c r="B381" s="80">
        <v>2</v>
      </c>
      <c r="C381" s="109">
        <v>0.018983658704980613</v>
      </c>
      <c r="D381" s="80" t="s">
        <v>874</v>
      </c>
      <c r="E381" s="80" t="b">
        <v>0</v>
      </c>
      <c r="F381" s="80" t="b">
        <v>0</v>
      </c>
      <c r="G381" s="80" t="b">
        <v>0</v>
      </c>
    </row>
    <row r="382" spans="1:7" ht="15">
      <c r="A382" s="84" t="s">
        <v>1146</v>
      </c>
      <c r="B382" s="80">
        <v>2</v>
      </c>
      <c r="C382" s="109">
        <v>0.026702376542518592</v>
      </c>
      <c r="D382" s="80" t="s">
        <v>874</v>
      </c>
      <c r="E382" s="80" t="b">
        <v>0</v>
      </c>
      <c r="F382" s="80" t="b">
        <v>0</v>
      </c>
      <c r="G382" s="80" t="b">
        <v>0</v>
      </c>
    </row>
    <row r="383" spans="1:7" ht="15">
      <c r="A383" s="84" t="s">
        <v>974</v>
      </c>
      <c r="B383" s="80">
        <v>2</v>
      </c>
      <c r="C383" s="109">
        <v>0.026702376542518592</v>
      </c>
      <c r="D383" s="80" t="s">
        <v>874</v>
      </c>
      <c r="E383" s="80" t="b">
        <v>0</v>
      </c>
      <c r="F383" s="80" t="b">
        <v>0</v>
      </c>
      <c r="G383" s="80" t="b">
        <v>0</v>
      </c>
    </row>
    <row r="384" spans="1:7" ht="15">
      <c r="A384" s="84" t="s">
        <v>1147</v>
      </c>
      <c r="B384" s="80">
        <v>2</v>
      </c>
      <c r="C384" s="109">
        <v>0.026702376542518592</v>
      </c>
      <c r="D384" s="80" t="s">
        <v>874</v>
      </c>
      <c r="E384" s="80" t="b">
        <v>0</v>
      </c>
      <c r="F384" s="80" t="b">
        <v>0</v>
      </c>
      <c r="G384" s="80" t="b">
        <v>0</v>
      </c>
    </row>
    <row r="385" spans="1:7" ht="15">
      <c r="A385" s="84" t="s">
        <v>917</v>
      </c>
      <c r="B385" s="80">
        <v>4</v>
      </c>
      <c r="C385" s="109">
        <v>0.015489772082628403</v>
      </c>
      <c r="D385" s="80" t="s">
        <v>875</v>
      </c>
      <c r="E385" s="80" t="b">
        <v>0</v>
      </c>
      <c r="F385" s="80" t="b">
        <v>0</v>
      </c>
      <c r="G385" s="80" t="b">
        <v>0</v>
      </c>
    </row>
    <row r="386" spans="1:7" ht="15">
      <c r="A386" s="84" t="s">
        <v>931</v>
      </c>
      <c r="B386" s="80">
        <v>3</v>
      </c>
      <c r="C386" s="109">
        <v>0.016419817945308064</v>
      </c>
      <c r="D386" s="80" t="s">
        <v>875</v>
      </c>
      <c r="E386" s="80" t="b">
        <v>0</v>
      </c>
      <c r="F386" s="80" t="b">
        <v>0</v>
      </c>
      <c r="G386" s="80" t="b">
        <v>0</v>
      </c>
    </row>
    <row r="387" spans="1:7" ht="15">
      <c r="A387" s="84" t="s">
        <v>1011</v>
      </c>
      <c r="B387" s="80">
        <v>3</v>
      </c>
      <c r="C387" s="109">
        <v>0.016419817945308064</v>
      </c>
      <c r="D387" s="80" t="s">
        <v>875</v>
      </c>
      <c r="E387" s="80" t="b">
        <v>0</v>
      </c>
      <c r="F387" s="80" t="b">
        <v>0</v>
      </c>
      <c r="G387" s="80" t="b">
        <v>0</v>
      </c>
    </row>
    <row r="388" spans="1:7" ht="15">
      <c r="A388" s="84" t="s">
        <v>918</v>
      </c>
      <c r="B388" s="80">
        <v>3</v>
      </c>
      <c r="C388" s="109">
        <v>0.016419817945308064</v>
      </c>
      <c r="D388" s="80" t="s">
        <v>875</v>
      </c>
      <c r="E388" s="80" t="b">
        <v>0</v>
      </c>
      <c r="F388" s="80" t="b">
        <v>0</v>
      </c>
      <c r="G388" s="80" t="b">
        <v>0</v>
      </c>
    </row>
    <row r="389" spans="1:7" ht="15">
      <c r="A389" s="84" t="s">
        <v>1119</v>
      </c>
      <c r="B389" s="80">
        <v>2</v>
      </c>
      <c r="C389" s="109">
        <v>0.010946545296872043</v>
      </c>
      <c r="D389" s="80" t="s">
        <v>875</v>
      </c>
      <c r="E389" s="80" t="b">
        <v>1</v>
      </c>
      <c r="F389" s="80" t="b">
        <v>1</v>
      </c>
      <c r="G389" s="80" t="b">
        <v>0</v>
      </c>
    </row>
    <row r="390" spans="1:7" ht="15">
      <c r="A390" s="84" t="s">
        <v>939</v>
      </c>
      <c r="B390" s="80">
        <v>2</v>
      </c>
      <c r="C390" s="109">
        <v>0.010946545296872043</v>
      </c>
      <c r="D390" s="80" t="s">
        <v>875</v>
      </c>
      <c r="E390" s="80" t="b">
        <v>0</v>
      </c>
      <c r="F390" s="80" t="b">
        <v>0</v>
      </c>
      <c r="G390" s="80" t="b">
        <v>0</v>
      </c>
    </row>
    <row r="391" spans="1:7" ht="15">
      <c r="A391" s="84" t="s">
        <v>1122</v>
      </c>
      <c r="B391" s="80">
        <v>2</v>
      </c>
      <c r="C391" s="109">
        <v>0.010946545296872043</v>
      </c>
      <c r="D391" s="80" t="s">
        <v>875</v>
      </c>
      <c r="E391" s="80" t="b">
        <v>0</v>
      </c>
      <c r="F391" s="80" t="b">
        <v>1</v>
      </c>
      <c r="G391" s="80" t="b">
        <v>0</v>
      </c>
    </row>
    <row r="392" spans="1:7" ht="15">
      <c r="A392" s="84" t="s">
        <v>921</v>
      </c>
      <c r="B392" s="80">
        <v>2</v>
      </c>
      <c r="C392" s="109">
        <v>0.010946545296872043</v>
      </c>
      <c r="D392" s="80" t="s">
        <v>875</v>
      </c>
      <c r="E392" s="80" t="b">
        <v>0</v>
      </c>
      <c r="F392" s="80" t="b">
        <v>0</v>
      </c>
      <c r="G392" s="80" t="b">
        <v>0</v>
      </c>
    </row>
    <row r="393" spans="1:7" ht="15">
      <c r="A393" s="84" t="s">
        <v>922</v>
      </c>
      <c r="B393" s="80">
        <v>2</v>
      </c>
      <c r="C393" s="109">
        <v>0.010946545296872043</v>
      </c>
      <c r="D393" s="80" t="s">
        <v>875</v>
      </c>
      <c r="E393" s="80" t="b">
        <v>0</v>
      </c>
      <c r="F393" s="80" t="b">
        <v>0</v>
      </c>
      <c r="G393" s="80" t="b">
        <v>0</v>
      </c>
    </row>
    <row r="394" spans="1:7" ht="15">
      <c r="A394" s="84" t="s">
        <v>923</v>
      </c>
      <c r="B394" s="80">
        <v>2</v>
      </c>
      <c r="C394" s="109">
        <v>0.010946545296872043</v>
      </c>
      <c r="D394" s="80" t="s">
        <v>875</v>
      </c>
      <c r="E394" s="80" t="b">
        <v>1</v>
      </c>
      <c r="F394" s="80" t="b">
        <v>0</v>
      </c>
      <c r="G394" s="80" t="b">
        <v>0</v>
      </c>
    </row>
    <row r="395" spans="1:7" ht="15">
      <c r="A395" s="84" t="s">
        <v>925</v>
      </c>
      <c r="B395" s="80">
        <v>2</v>
      </c>
      <c r="C395" s="109">
        <v>0.010946545296872043</v>
      </c>
      <c r="D395" s="80" t="s">
        <v>875</v>
      </c>
      <c r="E395" s="80" t="b">
        <v>0</v>
      </c>
      <c r="F395" s="80" t="b">
        <v>0</v>
      </c>
      <c r="G395" s="80" t="b">
        <v>0</v>
      </c>
    </row>
    <row r="396" spans="1:7" ht="15">
      <c r="A396" s="84" t="s">
        <v>937</v>
      </c>
      <c r="B396" s="80">
        <v>2</v>
      </c>
      <c r="C396" s="109">
        <v>0.016419817945308064</v>
      </c>
      <c r="D396" s="80" t="s">
        <v>875</v>
      </c>
      <c r="E396" s="80" t="b">
        <v>0</v>
      </c>
      <c r="F396" s="80" t="b">
        <v>0</v>
      </c>
      <c r="G396" s="80" t="b">
        <v>0</v>
      </c>
    </row>
    <row r="397" spans="1:7" ht="15">
      <c r="A397" s="84" t="s">
        <v>917</v>
      </c>
      <c r="B397" s="80">
        <v>6</v>
      </c>
      <c r="C397" s="109">
        <v>0.011165956983332814</v>
      </c>
      <c r="D397" s="80" t="s">
        <v>876</v>
      </c>
      <c r="E397" s="80" t="b">
        <v>0</v>
      </c>
      <c r="F397" s="80" t="b">
        <v>0</v>
      </c>
      <c r="G397" s="80" t="b">
        <v>0</v>
      </c>
    </row>
    <row r="398" spans="1:7" ht="15">
      <c r="A398" s="84" t="s">
        <v>945</v>
      </c>
      <c r="B398" s="80">
        <v>5</v>
      </c>
      <c r="C398" s="109">
        <v>0.011938388419300614</v>
      </c>
      <c r="D398" s="80" t="s">
        <v>876</v>
      </c>
      <c r="E398" s="80" t="b">
        <v>0</v>
      </c>
      <c r="F398" s="80" t="b">
        <v>0</v>
      </c>
      <c r="G398" s="80" t="b">
        <v>0</v>
      </c>
    </row>
    <row r="399" spans="1:7" ht="15">
      <c r="A399" s="84" t="s">
        <v>934</v>
      </c>
      <c r="B399" s="80">
        <v>5</v>
      </c>
      <c r="C399" s="109">
        <v>0.009304964152777345</v>
      </c>
      <c r="D399" s="80" t="s">
        <v>876</v>
      </c>
      <c r="E399" s="80" t="b">
        <v>0</v>
      </c>
      <c r="F399" s="80" t="b">
        <v>0</v>
      </c>
      <c r="G399" s="80" t="b">
        <v>0</v>
      </c>
    </row>
    <row r="400" spans="1:7" ht="15">
      <c r="A400" s="84" t="s">
        <v>918</v>
      </c>
      <c r="B400" s="80">
        <v>4</v>
      </c>
      <c r="C400" s="109">
        <v>0.012266770226925272</v>
      </c>
      <c r="D400" s="80" t="s">
        <v>876</v>
      </c>
      <c r="E400" s="80" t="b">
        <v>0</v>
      </c>
      <c r="F400" s="80" t="b">
        <v>0</v>
      </c>
      <c r="G400" s="80" t="b">
        <v>0</v>
      </c>
    </row>
    <row r="401" spans="1:7" ht="15">
      <c r="A401" s="84" t="s">
        <v>969</v>
      </c>
      <c r="B401" s="80">
        <v>4</v>
      </c>
      <c r="C401" s="109">
        <v>0.016094841075961822</v>
      </c>
      <c r="D401" s="80" t="s">
        <v>876</v>
      </c>
      <c r="E401" s="80" t="b">
        <v>0</v>
      </c>
      <c r="F401" s="80" t="b">
        <v>0</v>
      </c>
      <c r="G401" s="80" t="b">
        <v>0</v>
      </c>
    </row>
    <row r="402" spans="1:7" ht="15">
      <c r="A402" s="84" t="s">
        <v>920</v>
      </c>
      <c r="B402" s="80">
        <v>4</v>
      </c>
      <c r="C402" s="109">
        <v>0.009550710735440492</v>
      </c>
      <c r="D402" s="80" t="s">
        <v>876</v>
      </c>
      <c r="E402" s="80" t="b">
        <v>0</v>
      </c>
      <c r="F402" s="80" t="b">
        <v>0</v>
      </c>
      <c r="G402" s="80" t="b">
        <v>0</v>
      </c>
    </row>
    <row r="403" spans="1:7" ht="15">
      <c r="A403" s="84" t="s">
        <v>961</v>
      </c>
      <c r="B403" s="80">
        <v>3</v>
      </c>
      <c r="C403" s="109">
        <v>0.009200077670193953</v>
      </c>
      <c r="D403" s="80" t="s">
        <v>876</v>
      </c>
      <c r="E403" s="80" t="b">
        <v>0</v>
      </c>
      <c r="F403" s="80" t="b">
        <v>1</v>
      </c>
      <c r="G403" s="80" t="b">
        <v>0</v>
      </c>
    </row>
    <row r="404" spans="1:7" ht="15">
      <c r="A404" s="84" t="s">
        <v>1008</v>
      </c>
      <c r="B404" s="80">
        <v>3</v>
      </c>
      <c r="C404" s="109">
        <v>0.012071130806971368</v>
      </c>
      <c r="D404" s="80" t="s">
        <v>876</v>
      </c>
      <c r="E404" s="80" t="b">
        <v>0</v>
      </c>
      <c r="F404" s="80" t="b">
        <v>0</v>
      </c>
      <c r="G404" s="80" t="b">
        <v>0</v>
      </c>
    </row>
    <row r="405" spans="1:7" ht="15">
      <c r="A405" s="84" t="s">
        <v>1009</v>
      </c>
      <c r="B405" s="80">
        <v>3</v>
      </c>
      <c r="C405" s="109">
        <v>0.009200077670193953</v>
      </c>
      <c r="D405" s="80" t="s">
        <v>876</v>
      </c>
      <c r="E405" s="80" t="b">
        <v>0</v>
      </c>
      <c r="F405" s="80" t="b">
        <v>0</v>
      </c>
      <c r="G405" s="80" t="b">
        <v>0</v>
      </c>
    </row>
    <row r="406" spans="1:7" ht="15">
      <c r="A406" s="84" t="s">
        <v>1010</v>
      </c>
      <c r="B406" s="80">
        <v>3</v>
      </c>
      <c r="C406" s="109">
        <v>0.009200077670193953</v>
      </c>
      <c r="D406" s="80" t="s">
        <v>876</v>
      </c>
      <c r="E406" s="80" t="b">
        <v>0</v>
      </c>
      <c r="F406" s="80" t="b">
        <v>0</v>
      </c>
      <c r="G406" s="80" t="b">
        <v>0</v>
      </c>
    </row>
    <row r="407" spans="1:7" ht="15">
      <c r="A407" s="84" t="s">
        <v>1098</v>
      </c>
      <c r="B407" s="80">
        <v>2</v>
      </c>
      <c r="C407" s="109">
        <v>0.008047420537980911</v>
      </c>
      <c r="D407" s="80" t="s">
        <v>876</v>
      </c>
      <c r="E407" s="80" t="b">
        <v>0</v>
      </c>
      <c r="F407" s="80" t="b">
        <v>0</v>
      </c>
      <c r="G407" s="80" t="b">
        <v>0</v>
      </c>
    </row>
    <row r="408" spans="1:7" ht="15">
      <c r="A408" s="84" t="s">
        <v>1099</v>
      </c>
      <c r="B408" s="80">
        <v>2</v>
      </c>
      <c r="C408" s="109">
        <v>0.008047420537980911</v>
      </c>
      <c r="D408" s="80" t="s">
        <v>876</v>
      </c>
      <c r="E408" s="80" t="b">
        <v>0</v>
      </c>
      <c r="F408" s="80" t="b">
        <v>0</v>
      </c>
      <c r="G408" s="80" t="b">
        <v>0</v>
      </c>
    </row>
    <row r="409" spans="1:7" ht="15">
      <c r="A409" s="84" t="s">
        <v>1005</v>
      </c>
      <c r="B409" s="80">
        <v>2</v>
      </c>
      <c r="C409" s="109">
        <v>0.008047420537980911</v>
      </c>
      <c r="D409" s="80" t="s">
        <v>876</v>
      </c>
      <c r="E409" s="80" t="b">
        <v>0</v>
      </c>
      <c r="F409" s="80" t="b">
        <v>0</v>
      </c>
      <c r="G409" s="80" t="b">
        <v>0</v>
      </c>
    </row>
    <row r="410" spans="1:7" ht="15">
      <c r="A410" s="84" t="s">
        <v>1101</v>
      </c>
      <c r="B410" s="80">
        <v>2</v>
      </c>
      <c r="C410" s="109">
        <v>0.008047420537980911</v>
      </c>
      <c r="D410" s="80" t="s">
        <v>876</v>
      </c>
      <c r="E410" s="80" t="b">
        <v>0</v>
      </c>
      <c r="F410" s="80" t="b">
        <v>0</v>
      </c>
      <c r="G410" s="80" t="b">
        <v>0</v>
      </c>
    </row>
    <row r="411" spans="1:7" ht="15">
      <c r="A411" s="84" t="s">
        <v>1102</v>
      </c>
      <c r="B411" s="80">
        <v>2</v>
      </c>
      <c r="C411" s="109">
        <v>0.011319485708241577</v>
      </c>
      <c r="D411" s="80" t="s">
        <v>876</v>
      </c>
      <c r="E411" s="80" t="b">
        <v>0</v>
      </c>
      <c r="F411" s="80" t="b">
        <v>0</v>
      </c>
      <c r="G411" s="80" t="b">
        <v>0</v>
      </c>
    </row>
    <row r="412" spans="1:7" ht="15">
      <c r="A412" s="84" t="s">
        <v>927</v>
      </c>
      <c r="B412" s="80">
        <v>2</v>
      </c>
      <c r="C412" s="109">
        <v>0.008047420537980911</v>
      </c>
      <c r="D412" s="80" t="s">
        <v>876</v>
      </c>
      <c r="E412" s="80" t="b">
        <v>0</v>
      </c>
      <c r="F412" s="80" t="b">
        <v>0</v>
      </c>
      <c r="G412" s="80" t="b">
        <v>0</v>
      </c>
    </row>
    <row r="413" spans="1:7" ht="15">
      <c r="A413" s="84" t="s">
        <v>923</v>
      </c>
      <c r="B413" s="80">
        <v>2</v>
      </c>
      <c r="C413" s="109">
        <v>0.008047420537980911</v>
      </c>
      <c r="D413" s="80" t="s">
        <v>876</v>
      </c>
      <c r="E413" s="80" t="b">
        <v>1</v>
      </c>
      <c r="F413" s="80" t="b">
        <v>0</v>
      </c>
      <c r="G413" s="80" t="b">
        <v>0</v>
      </c>
    </row>
    <row r="414" spans="1:7" ht="15">
      <c r="A414" s="84" t="s">
        <v>943</v>
      </c>
      <c r="B414" s="80">
        <v>2</v>
      </c>
      <c r="C414" s="109">
        <v>0.008047420537980911</v>
      </c>
      <c r="D414" s="80" t="s">
        <v>876</v>
      </c>
      <c r="E414" s="80" t="b">
        <v>0</v>
      </c>
      <c r="F414" s="80" t="b">
        <v>0</v>
      </c>
      <c r="G414" s="80" t="b">
        <v>0</v>
      </c>
    </row>
    <row r="415" spans="1:7" ht="15">
      <c r="A415" s="84" t="s">
        <v>1105</v>
      </c>
      <c r="B415" s="80">
        <v>2</v>
      </c>
      <c r="C415" s="109">
        <v>0.011319485708241577</v>
      </c>
      <c r="D415" s="80" t="s">
        <v>876</v>
      </c>
      <c r="E415" s="80" t="b">
        <v>0</v>
      </c>
      <c r="F415" s="80" t="b">
        <v>0</v>
      </c>
      <c r="G415" s="80" t="b">
        <v>0</v>
      </c>
    </row>
    <row r="416" spans="1:7" ht="15">
      <c r="A416" s="84" t="s">
        <v>1107</v>
      </c>
      <c r="B416" s="80">
        <v>2</v>
      </c>
      <c r="C416" s="109">
        <v>0.011319485708241577</v>
      </c>
      <c r="D416" s="80" t="s">
        <v>876</v>
      </c>
      <c r="E416" s="80" t="b">
        <v>1</v>
      </c>
      <c r="F416" s="80" t="b">
        <v>1</v>
      </c>
      <c r="G416" s="80" t="b">
        <v>0</v>
      </c>
    </row>
    <row r="417" spans="1:7" ht="15">
      <c r="A417" s="84" t="s">
        <v>1108</v>
      </c>
      <c r="B417" s="80">
        <v>2</v>
      </c>
      <c r="C417" s="109">
        <v>0.011319485708241577</v>
      </c>
      <c r="D417" s="80" t="s">
        <v>876</v>
      </c>
      <c r="E417" s="80" t="b">
        <v>1</v>
      </c>
      <c r="F417" s="80" t="b">
        <v>1</v>
      </c>
      <c r="G417" s="80" t="b">
        <v>0</v>
      </c>
    </row>
    <row r="418" spans="1:7" ht="15">
      <c r="A418" s="84" t="s">
        <v>1109</v>
      </c>
      <c r="B418" s="80">
        <v>2</v>
      </c>
      <c r="C418" s="109">
        <v>0.008047420537980911</v>
      </c>
      <c r="D418" s="80" t="s">
        <v>876</v>
      </c>
      <c r="E418" s="80" t="b">
        <v>0</v>
      </c>
      <c r="F418" s="80" t="b">
        <v>0</v>
      </c>
      <c r="G418" s="80" t="b">
        <v>0</v>
      </c>
    </row>
    <row r="419" spans="1:7" ht="15">
      <c r="A419" s="84" t="s">
        <v>1111</v>
      </c>
      <c r="B419" s="80">
        <v>2</v>
      </c>
      <c r="C419" s="109">
        <v>0.008047420537980911</v>
      </c>
      <c r="D419" s="80" t="s">
        <v>876</v>
      </c>
      <c r="E419" s="80" t="b">
        <v>0</v>
      </c>
      <c r="F419" s="80" t="b">
        <v>0</v>
      </c>
      <c r="G419" s="80" t="b">
        <v>0</v>
      </c>
    </row>
    <row r="420" spans="1:7" ht="15">
      <c r="A420" s="84" t="s">
        <v>949</v>
      </c>
      <c r="B420" s="80">
        <v>2</v>
      </c>
      <c r="C420" s="109">
        <v>0.008047420537980911</v>
      </c>
      <c r="D420" s="80" t="s">
        <v>876</v>
      </c>
      <c r="E420" s="80" t="b">
        <v>0</v>
      </c>
      <c r="F420" s="80" t="b">
        <v>0</v>
      </c>
      <c r="G420" s="80" t="b">
        <v>0</v>
      </c>
    </row>
    <row r="421" spans="1:7" ht="15">
      <c r="A421" s="84" t="s">
        <v>1110</v>
      </c>
      <c r="B421" s="80">
        <v>2</v>
      </c>
      <c r="C421" s="109">
        <v>0.008047420537980911</v>
      </c>
      <c r="D421" s="80" t="s">
        <v>876</v>
      </c>
      <c r="E421" s="80" t="b">
        <v>0</v>
      </c>
      <c r="F421" s="80" t="b">
        <v>0</v>
      </c>
      <c r="G421" s="80" t="b">
        <v>0</v>
      </c>
    </row>
    <row r="422" spans="1:7" ht="15">
      <c r="A422" s="84" t="s">
        <v>957</v>
      </c>
      <c r="B422" s="80">
        <v>2</v>
      </c>
      <c r="C422" s="109">
        <v>0.008047420537980911</v>
      </c>
      <c r="D422" s="80" t="s">
        <v>876</v>
      </c>
      <c r="E422" s="80" t="b">
        <v>0</v>
      </c>
      <c r="F422" s="80" t="b">
        <v>0</v>
      </c>
      <c r="G422" s="80" t="b">
        <v>0</v>
      </c>
    </row>
    <row r="423" spans="1:7" ht="15">
      <c r="A423" s="84" t="s">
        <v>1112</v>
      </c>
      <c r="B423" s="80">
        <v>2</v>
      </c>
      <c r="C423" s="109">
        <v>0.011319485708241577</v>
      </c>
      <c r="D423" s="80" t="s">
        <v>876</v>
      </c>
      <c r="E423" s="80" t="b">
        <v>0</v>
      </c>
      <c r="F423" s="80" t="b">
        <v>0</v>
      </c>
      <c r="G423" s="80" t="b">
        <v>0</v>
      </c>
    </row>
    <row r="424" spans="1:7" ht="15">
      <c r="A424" s="84" t="s">
        <v>1113</v>
      </c>
      <c r="B424" s="80">
        <v>2</v>
      </c>
      <c r="C424" s="109">
        <v>0.011319485708241577</v>
      </c>
      <c r="D424" s="80" t="s">
        <v>876</v>
      </c>
      <c r="E424" s="80" t="b">
        <v>0</v>
      </c>
      <c r="F424" s="80" t="b">
        <v>0</v>
      </c>
      <c r="G424" s="80" t="b">
        <v>0</v>
      </c>
    </row>
    <row r="425" spans="1:7" ht="15">
      <c r="A425" s="84" t="s">
        <v>915</v>
      </c>
      <c r="B425" s="80">
        <v>2</v>
      </c>
      <c r="C425" s="109">
        <v>0.017609125905568124</v>
      </c>
      <c r="D425" s="80" t="s">
        <v>878</v>
      </c>
      <c r="E425" s="80" t="b">
        <v>0</v>
      </c>
      <c r="F425" s="80" t="b">
        <v>0</v>
      </c>
      <c r="G425" s="80" t="b">
        <v>0</v>
      </c>
    </row>
    <row r="426" spans="1:7" ht="15">
      <c r="A426" s="84" t="s">
        <v>914</v>
      </c>
      <c r="B426" s="80">
        <v>2</v>
      </c>
      <c r="C426" s="109">
        <v>0.017609125905568124</v>
      </c>
      <c r="D426" s="80" t="s">
        <v>878</v>
      </c>
      <c r="E426" s="80" t="b">
        <v>0</v>
      </c>
      <c r="F426" s="80" t="b">
        <v>0</v>
      </c>
      <c r="G426" s="80" t="b">
        <v>0</v>
      </c>
    </row>
    <row r="427" spans="1:7" ht="15">
      <c r="A427" s="84" t="s">
        <v>1013</v>
      </c>
      <c r="B427" s="80">
        <v>3</v>
      </c>
      <c r="C427" s="109">
        <v>0.03453800531937415</v>
      </c>
      <c r="D427" s="80" t="s">
        <v>879</v>
      </c>
      <c r="E427" s="80" t="b">
        <v>0</v>
      </c>
      <c r="F427" s="80" t="b">
        <v>0</v>
      </c>
      <c r="G427" s="80" t="b">
        <v>0</v>
      </c>
    </row>
    <row r="428" spans="1:7" ht="15">
      <c r="A428" s="84" t="s">
        <v>1014</v>
      </c>
      <c r="B428" s="80">
        <v>3</v>
      </c>
      <c r="C428" s="109">
        <v>0.03453800531937415</v>
      </c>
      <c r="D428" s="80" t="s">
        <v>879</v>
      </c>
      <c r="E428" s="80" t="b">
        <v>0</v>
      </c>
      <c r="F428" s="80" t="b">
        <v>0</v>
      </c>
      <c r="G428" s="80" t="b">
        <v>0</v>
      </c>
    </row>
    <row r="429" spans="1:7" ht="15">
      <c r="A429" s="84" t="s">
        <v>1129</v>
      </c>
      <c r="B429" s="80">
        <v>2</v>
      </c>
      <c r="C429" s="109">
        <v>0.032543783315025</v>
      </c>
      <c r="D429" s="80" t="s">
        <v>879</v>
      </c>
      <c r="E429" s="80" t="b">
        <v>0</v>
      </c>
      <c r="F429" s="80" t="b">
        <v>0</v>
      </c>
      <c r="G429" s="80" t="b">
        <v>0</v>
      </c>
    </row>
    <row r="430" spans="1:7" ht="15">
      <c r="A430" s="84" t="s">
        <v>1130</v>
      </c>
      <c r="B430" s="80">
        <v>2</v>
      </c>
      <c r="C430" s="109">
        <v>0.032543783315025</v>
      </c>
      <c r="D430" s="80" t="s">
        <v>879</v>
      </c>
      <c r="E430" s="80" t="b">
        <v>0</v>
      </c>
      <c r="F430" s="80" t="b">
        <v>0</v>
      </c>
      <c r="G430" s="80" t="b">
        <v>0</v>
      </c>
    </row>
    <row r="431" spans="1:7" ht="15">
      <c r="A431" s="84" t="s">
        <v>1131</v>
      </c>
      <c r="B431" s="80">
        <v>2</v>
      </c>
      <c r="C431" s="109">
        <v>0.032543783315025</v>
      </c>
      <c r="D431" s="80" t="s">
        <v>879</v>
      </c>
      <c r="E431" s="80" t="b">
        <v>0</v>
      </c>
      <c r="F431" s="80" t="b">
        <v>0</v>
      </c>
      <c r="G431" s="80" t="b">
        <v>0</v>
      </c>
    </row>
    <row r="432" spans="1:7" ht="15">
      <c r="A432" s="84" t="s">
        <v>1132</v>
      </c>
      <c r="B432" s="80">
        <v>2</v>
      </c>
      <c r="C432" s="109">
        <v>0.032543783315025</v>
      </c>
      <c r="D432" s="80" t="s">
        <v>879</v>
      </c>
      <c r="E432" s="80" t="b">
        <v>0</v>
      </c>
      <c r="F432" s="80" t="b">
        <v>0</v>
      </c>
      <c r="G432" s="80" t="b">
        <v>0</v>
      </c>
    </row>
    <row r="433" spans="1:7" ht="15">
      <c r="A433" s="84" t="s">
        <v>1145</v>
      </c>
      <c r="B433" s="80">
        <v>2</v>
      </c>
      <c r="C433" s="109">
        <v>0.01956569545063125</v>
      </c>
      <c r="D433" s="80" t="s">
        <v>880</v>
      </c>
      <c r="E433" s="80" t="b">
        <v>0</v>
      </c>
      <c r="F433" s="80" t="b">
        <v>0</v>
      </c>
      <c r="G433" s="80" t="b">
        <v>0</v>
      </c>
    </row>
    <row r="434" spans="1:7" ht="15">
      <c r="A434" s="84" t="s">
        <v>914</v>
      </c>
      <c r="B434" s="80">
        <v>2</v>
      </c>
      <c r="C434" s="109">
        <v>0.018814374728998825</v>
      </c>
      <c r="D434" s="80" t="s">
        <v>882</v>
      </c>
      <c r="E434" s="80" t="b">
        <v>0</v>
      </c>
      <c r="F434" s="80" t="b">
        <v>0</v>
      </c>
      <c r="G434" s="80" t="b">
        <v>0</v>
      </c>
    </row>
    <row r="435" spans="1:7" ht="15">
      <c r="A435" s="84" t="s">
        <v>917</v>
      </c>
      <c r="B435" s="80">
        <v>3</v>
      </c>
      <c r="C435" s="109">
        <v>0</v>
      </c>
      <c r="D435" s="80" t="s">
        <v>883</v>
      </c>
      <c r="E435" s="80" t="b">
        <v>0</v>
      </c>
      <c r="F435" s="80" t="b">
        <v>0</v>
      </c>
      <c r="G435" s="80" t="b">
        <v>0</v>
      </c>
    </row>
    <row r="436" spans="1:7" ht="15">
      <c r="A436" s="84" t="s">
        <v>935</v>
      </c>
      <c r="B436" s="80">
        <v>2</v>
      </c>
      <c r="C436" s="109">
        <v>0.020760689356136633</v>
      </c>
      <c r="D436" s="80" t="s">
        <v>883</v>
      </c>
      <c r="E436" s="80" t="b">
        <v>0</v>
      </c>
      <c r="F436" s="80" t="b">
        <v>0</v>
      </c>
      <c r="G436" s="80" t="b">
        <v>0</v>
      </c>
    </row>
    <row r="437" spans="1:7" ht="15">
      <c r="A437" s="84" t="s">
        <v>1055</v>
      </c>
      <c r="B437" s="80">
        <v>2</v>
      </c>
      <c r="C437" s="109">
        <v>0</v>
      </c>
      <c r="D437" s="80" t="s">
        <v>883</v>
      </c>
      <c r="E437" s="80" t="b">
        <v>0</v>
      </c>
      <c r="F437" s="80" t="b">
        <v>0</v>
      </c>
      <c r="G437" s="80" t="b">
        <v>0</v>
      </c>
    </row>
    <row r="438" spans="1:7" ht="15">
      <c r="A438" s="84" t="s">
        <v>914</v>
      </c>
      <c r="B438" s="80">
        <v>2</v>
      </c>
      <c r="C438" s="109">
        <v>0</v>
      </c>
      <c r="D438" s="80" t="s">
        <v>884</v>
      </c>
      <c r="E438" s="80" t="b">
        <v>0</v>
      </c>
      <c r="F438" s="80" t="b">
        <v>0</v>
      </c>
      <c r="G438" s="80" t="b">
        <v>0</v>
      </c>
    </row>
    <row r="439" spans="1:7" ht="15">
      <c r="A439" s="84" t="s">
        <v>1060</v>
      </c>
      <c r="B439" s="80">
        <v>2</v>
      </c>
      <c r="C439" s="109">
        <v>0.07340326995687114</v>
      </c>
      <c r="D439" s="80" t="s">
        <v>885</v>
      </c>
      <c r="E439" s="80" t="b">
        <v>0</v>
      </c>
      <c r="F439" s="80" t="b">
        <v>0</v>
      </c>
      <c r="G439" s="80" t="b">
        <v>0</v>
      </c>
    </row>
    <row r="440" spans="1:7" ht="15">
      <c r="A440" s="84" t="s">
        <v>951</v>
      </c>
      <c r="B440" s="80">
        <v>2</v>
      </c>
      <c r="C440" s="109">
        <v>0.02617652136208532</v>
      </c>
      <c r="D440" s="80" t="s">
        <v>886</v>
      </c>
      <c r="E440" s="80" t="b">
        <v>0</v>
      </c>
      <c r="F440" s="80" t="b">
        <v>0</v>
      </c>
      <c r="G440" s="80" t="b">
        <v>0</v>
      </c>
    </row>
    <row r="441" spans="1:7" ht="15">
      <c r="A441" s="84" t="s">
        <v>1125</v>
      </c>
      <c r="B441" s="80">
        <v>2</v>
      </c>
      <c r="C441" s="109">
        <v>0.02709096293164327</v>
      </c>
      <c r="D441" s="80" t="s">
        <v>887</v>
      </c>
      <c r="E441" s="80" t="b">
        <v>1</v>
      </c>
      <c r="F441" s="80" t="b">
        <v>1</v>
      </c>
      <c r="G441" s="80" t="b">
        <v>0</v>
      </c>
    </row>
    <row r="442" spans="1:7" ht="15">
      <c r="A442" s="84" t="s">
        <v>916</v>
      </c>
      <c r="B442" s="80">
        <v>3</v>
      </c>
      <c r="C442" s="109">
        <v>0.017609125905568124</v>
      </c>
      <c r="D442" s="80" t="s">
        <v>888</v>
      </c>
      <c r="E442" s="80" t="b">
        <v>0</v>
      </c>
      <c r="F442" s="80" t="b">
        <v>0</v>
      </c>
      <c r="G442" s="80" t="b">
        <v>0</v>
      </c>
    </row>
    <row r="443" spans="1:7" ht="15">
      <c r="A443" s="84" t="s">
        <v>1017</v>
      </c>
      <c r="B443" s="80">
        <v>3</v>
      </c>
      <c r="C443" s="109">
        <v>0.047712125471966245</v>
      </c>
      <c r="D443" s="80" t="s">
        <v>888</v>
      </c>
      <c r="E443" s="80" t="b">
        <v>0</v>
      </c>
      <c r="F443" s="80" t="b">
        <v>0</v>
      </c>
      <c r="G443" s="80" t="b">
        <v>0</v>
      </c>
    </row>
    <row r="444" spans="1:7" ht="15">
      <c r="A444" s="84" t="s">
        <v>938</v>
      </c>
      <c r="B444" s="80">
        <v>3</v>
      </c>
      <c r="C444" s="109">
        <v>0.047712125471966245</v>
      </c>
      <c r="D444" s="80" t="s">
        <v>888</v>
      </c>
      <c r="E444" s="80" t="b">
        <v>0</v>
      </c>
      <c r="F444" s="80" t="b">
        <v>0</v>
      </c>
      <c r="G444" s="80" t="b">
        <v>0</v>
      </c>
    </row>
    <row r="445" spans="1:7" ht="15">
      <c r="A445" s="84" t="s">
        <v>940</v>
      </c>
      <c r="B445" s="80">
        <v>2</v>
      </c>
      <c r="C445" s="109">
        <v>0.03180808364797749</v>
      </c>
      <c r="D445" s="80" t="s">
        <v>888</v>
      </c>
      <c r="E445" s="80" t="b">
        <v>1</v>
      </c>
      <c r="F445" s="80" t="b">
        <v>1</v>
      </c>
      <c r="G445" s="80" t="b">
        <v>0</v>
      </c>
    </row>
    <row r="446" spans="1:7" ht="15">
      <c r="A446" s="84" t="s">
        <v>923</v>
      </c>
      <c r="B446" s="80">
        <v>2</v>
      </c>
      <c r="C446" s="109">
        <v>0.028669523396569637</v>
      </c>
      <c r="D446" s="80" t="s">
        <v>889</v>
      </c>
      <c r="E446" s="80" t="b">
        <v>1</v>
      </c>
      <c r="F446" s="80" t="b">
        <v>0</v>
      </c>
      <c r="G446" s="80" t="b">
        <v>0</v>
      </c>
    </row>
    <row r="447" spans="1:7" ht="15">
      <c r="A447" s="84" t="s">
        <v>918</v>
      </c>
      <c r="B447" s="80">
        <v>2</v>
      </c>
      <c r="C447" s="109">
        <v>0.028669523396569637</v>
      </c>
      <c r="D447" s="80" t="s">
        <v>889</v>
      </c>
      <c r="E447" s="80" t="b">
        <v>0</v>
      </c>
      <c r="F447" s="80" t="b">
        <v>0</v>
      </c>
      <c r="G447" s="80" t="b">
        <v>0</v>
      </c>
    </row>
    <row r="448" spans="1:7" ht="15">
      <c r="A448" s="84" t="s">
        <v>925</v>
      </c>
      <c r="B448" s="80">
        <v>2</v>
      </c>
      <c r="C448" s="109">
        <v>0.028669523396569637</v>
      </c>
      <c r="D448" s="80" t="s">
        <v>889</v>
      </c>
      <c r="E448" s="80" t="b">
        <v>0</v>
      </c>
      <c r="F448" s="80" t="b">
        <v>0</v>
      </c>
      <c r="G448"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D19BF-7E9E-4CCD-8D49-07345E682468}">
  <dimension ref="A1:L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1158</v>
      </c>
      <c r="B1" s="13" t="s">
        <v>1159</v>
      </c>
      <c r="C1" s="13" t="s">
        <v>1149</v>
      </c>
      <c r="D1" s="13" t="s">
        <v>1153</v>
      </c>
      <c r="E1" s="13" t="s">
        <v>1160</v>
      </c>
      <c r="F1" s="13" t="s">
        <v>144</v>
      </c>
      <c r="G1" s="13" t="s">
        <v>1161</v>
      </c>
      <c r="H1" s="13" t="s">
        <v>1162</v>
      </c>
      <c r="I1" s="13" t="s">
        <v>1163</v>
      </c>
      <c r="J1" s="13" t="s">
        <v>1164</v>
      </c>
      <c r="K1" s="13" t="s">
        <v>1165</v>
      </c>
      <c r="L1" s="13" t="s">
        <v>1166</v>
      </c>
    </row>
    <row r="2" spans="1:12" ht="15">
      <c r="A2" s="83" t="s">
        <v>915</v>
      </c>
      <c r="B2" s="83" t="s">
        <v>914</v>
      </c>
      <c r="C2" s="83">
        <v>33</v>
      </c>
      <c r="D2" s="110">
        <v>0.01580493792830632</v>
      </c>
      <c r="E2" s="110">
        <v>1.4676629061492459</v>
      </c>
      <c r="F2" s="83" t="s">
        <v>1154</v>
      </c>
      <c r="G2" s="83" t="b">
        <v>0</v>
      </c>
      <c r="H2" s="83" t="b">
        <v>0</v>
      </c>
      <c r="I2" s="83" t="b">
        <v>0</v>
      </c>
      <c r="J2" s="83" t="b">
        <v>0</v>
      </c>
      <c r="K2" s="83" t="b">
        <v>0</v>
      </c>
      <c r="L2" s="83" t="b">
        <v>0</v>
      </c>
    </row>
    <row r="3" spans="1:12" ht="15">
      <c r="A3" s="84" t="s">
        <v>924</v>
      </c>
      <c r="B3" s="83" t="s">
        <v>914</v>
      </c>
      <c r="C3" s="80">
        <v>10</v>
      </c>
      <c r="D3" s="109">
        <v>0.008443236662971962</v>
      </c>
      <c r="E3" s="109">
        <v>1.5054514670386456</v>
      </c>
      <c r="F3" s="80" t="s">
        <v>1154</v>
      </c>
      <c r="G3" s="80" t="b">
        <v>0</v>
      </c>
      <c r="H3" s="80" t="b">
        <v>0</v>
      </c>
      <c r="I3" s="80" t="b">
        <v>0</v>
      </c>
      <c r="J3" s="80" t="b">
        <v>0</v>
      </c>
      <c r="K3" s="80" t="b">
        <v>0</v>
      </c>
      <c r="L3" s="80" t="b">
        <v>0</v>
      </c>
    </row>
    <row r="4" spans="1:12" ht="15">
      <c r="A4" s="84" t="s">
        <v>923</v>
      </c>
      <c r="B4" s="83" t="s">
        <v>918</v>
      </c>
      <c r="C4" s="80">
        <v>8</v>
      </c>
      <c r="D4" s="109">
        <v>0.00675458933037757</v>
      </c>
      <c r="E4" s="109">
        <v>1.8442700235920266</v>
      </c>
      <c r="F4" s="80" t="s">
        <v>1154</v>
      </c>
      <c r="G4" s="80" t="b">
        <v>1</v>
      </c>
      <c r="H4" s="80" t="b">
        <v>0</v>
      </c>
      <c r="I4" s="80" t="b">
        <v>0</v>
      </c>
      <c r="J4" s="80" t="b">
        <v>0</v>
      </c>
      <c r="K4" s="80" t="b">
        <v>0</v>
      </c>
      <c r="L4" s="80" t="b">
        <v>0</v>
      </c>
    </row>
    <row r="5" spans="1:12" ht="15">
      <c r="A5" s="84" t="s">
        <v>922</v>
      </c>
      <c r="B5" s="83" t="s">
        <v>920</v>
      </c>
      <c r="C5" s="80">
        <v>7</v>
      </c>
      <c r="D5" s="109">
        <v>0.0077623036304815965</v>
      </c>
      <c r="E5" s="109">
        <v>1.8106374224737845</v>
      </c>
      <c r="F5" s="80" t="s">
        <v>1154</v>
      </c>
      <c r="G5" s="80" t="b">
        <v>0</v>
      </c>
      <c r="H5" s="80" t="b">
        <v>0</v>
      </c>
      <c r="I5" s="80" t="b">
        <v>0</v>
      </c>
      <c r="J5" s="80" t="b">
        <v>0</v>
      </c>
      <c r="K5" s="80" t="b">
        <v>0</v>
      </c>
      <c r="L5" s="80" t="b">
        <v>0</v>
      </c>
    </row>
    <row r="6" spans="1:12" ht="15">
      <c r="A6" s="84" t="s">
        <v>917</v>
      </c>
      <c r="B6" s="83" t="s">
        <v>923</v>
      </c>
      <c r="C6" s="80">
        <v>6</v>
      </c>
      <c r="D6" s="109">
        <v>0.005531552196323426</v>
      </c>
      <c r="E6" s="109">
        <v>1.6401500409361018</v>
      </c>
      <c r="F6" s="80" t="s">
        <v>1154</v>
      </c>
      <c r="G6" s="80" t="b">
        <v>0</v>
      </c>
      <c r="H6" s="80" t="b">
        <v>0</v>
      </c>
      <c r="I6" s="80" t="b">
        <v>0</v>
      </c>
      <c r="J6" s="80" t="b">
        <v>1</v>
      </c>
      <c r="K6" s="80" t="b">
        <v>0</v>
      </c>
      <c r="L6" s="80" t="b">
        <v>0</v>
      </c>
    </row>
    <row r="7" spans="1:12" ht="15">
      <c r="A7" s="84" t="s">
        <v>941</v>
      </c>
      <c r="B7" s="83" t="s">
        <v>928</v>
      </c>
      <c r="C7" s="80">
        <v>6</v>
      </c>
      <c r="D7" s="109">
        <v>0.005531552196323426</v>
      </c>
      <c r="E7" s="109">
        <v>2.2044214713746646</v>
      </c>
      <c r="F7" s="80" t="s">
        <v>1154</v>
      </c>
      <c r="G7" s="80" t="b">
        <v>0</v>
      </c>
      <c r="H7" s="80" t="b">
        <v>0</v>
      </c>
      <c r="I7" s="80" t="b">
        <v>0</v>
      </c>
      <c r="J7" s="80" t="b">
        <v>0</v>
      </c>
      <c r="K7" s="80" t="b">
        <v>0</v>
      </c>
      <c r="L7" s="80" t="b">
        <v>0</v>
      </c>
    </row>
    <row r="8" spans="1:12" ht="15">
      <c r="A8" s="84" t="s">
        <v>946</v>
      </c>
      <c r="B8" s="83" t="s">
        <v>917</v>
      </c>
      <c r="C8" s="80">
        <v>5</v>
      </c>
      <c r="D8" s="109">
        <v>0.0048555313211006545</v>
      </c>
      <c r="E8" s="109">
        <v>1.9545439981580646</v>
      </c>
      <c r="F8" s="80" t="s">
        <v>1154</v>
      </c>
      <c r="G8" s="80" t="b">
        <v>0</v>
      </c>
      <c r="H8" s="80" t="b">
        <v>0</v>
      </c>
      <c r="I8" s="80" t="b">
        <v>0</v>
      </c>
      <c r="J8" s="80" t="b">
        <v>0</v>
      </c>
      <c r="K8" s="80" t="b">
        <v>0</v>
      </c>
      <c r="L8" s="80" t="b">
        <v>0</v>
      </c>
    </row>
    <row r="9" spans="1:12" ht="15">
      <c r="A9" s="84" t="s">
        <v>944</v>
      </c>
      <c r="B9" s="83" t="s">
        <v>922</v>
      </c>
      <c r="C9" s="80">
        <v>5</v>
      </c>
      <c r="D9" s="109">
        <v>0.007026245620280836</v>
      </c>
      <c r="E9" s="109">
        <v>2.0003014887187396</v>
      </c>
      <c r="F9" s="80" t="s">
        <v>1154</v>
      </c>
      <c r="G9" s="80" t="b">
        <v>0</v>
      </c>
      <c r="H9" s="80" t="b">
        <v>0</v>
      </c>
      <c r="I9" s="80" t="b">
        <v>0</v>
      </c>
      <c r="J9" s="80" t="b">
        <v>0</v>
      </c>
      <c r="K9" s="80" t="b">
        <v>0</v>
      </c>
      <c r="L9" s="80" t="b">
        <v>0</v>
      </c>
    </row>
    <row r="10" spans="1:12" ht="15">
      <c r="A10" s="84" t="s">
        <v>918</v>
      </c>
      <c r="B10" s="83" t="s">
        <v>925</v>
      </c>
      <c r="C10" s="80">
        <v>4</v>
      </c>
      <c r="D10" s="109">
        <v>0.00412519527553408</v>
      </c>
      <c r="E10" s="109">
        <v>1.646780619835115</v>
      </c>
      <c r="F10" s="80" t="s">
        <v>1154</v>
      </c>
      <c r="G10" s="80" t="b">
        <v>0</v>
      </c>
      <c r="H10" s="80" t="b">
        <v>0</v>
      </c>
      <c r="I10" s="80" t="b">
        <v>0</v>
      </c>
      <c r="J10" s="80" t="b">
        <v>0</v>
      </c>
      <c r="K10" s="80" t="b">
        <v>0</v>
      </c>
      <c r="L10" s="80" t="b">
        <v>0</v>
      </c>
    </row>
    <row r="11" spans="1:12" ht="15">
      <c r="A11" s="84" t="s">
        <v>970</v>
      </c>
      <c r="B11" s="83" t="s">
        <v>924</v>
      </c>
      <c r="C11" s="80">
        <v>4</v>
      </c>
      <c r="D11" s="109">
        <v>0.004873095885879375</v>
      </c>
      <c r="E11" s="109">
        <v>2.2044214713746646</v>
      </c>
      <c r="F11" s="80" t="s">
        <v>1154</v>
      </c>
      <c r="G11" s="80" t="b">
        <v>1</v>
      </c>
      <c r="H11" s="80" t="b">
        <v>1</v>
      </c>
      <c r="I11" s="80" t="b">
        <v>0</v>
      </c>
      <c r="J11" s="80" t="b">
        <v>0</v>
      </c>
      <c r="K11" s="80" t="b">
        <v>0</v>
      </c>
      <c r="L11" s="80" t="b">
        <v>0</v>
      </c>
    </row>
    <row r="12" spans="1:12" ht="15">
      <c r="A12" s="84" t="s">
        <v>919</v>
      </c>
      <c r="B12" s="83" t="s">
        <v>937</v>
      </c>
      <c r="C12" s="80">
        <v>3</v>
      </c>
      <c r="D12" s="109">
        <v>0.003326701555920684</v>
      </c>
      <c r="E12" s="109">
        <v>1.7436906328431714</v>
      </c>
      <c r="F12" s="80" t="s">
        <v>1154</v>
      </c>
      <c r="G12" s="80" t="b">
        <v>0</v>
      </c>
      <c r="H12" s="80" t="b">
        <v>0</v>
      </c>
      <c r="I12" s="80" t="b">
        <v>0</v>
      </c>
      <c r="J12" s="80" t="b">
        <v>0</v>
      </c>
      <c r="K12" s="80" t="b">
        <v>0</v>
      </c>
      <c r="L12" s="80" t="b">
        <v>0</v>
      </c>
    </row>
    <row r="13" spans="1:12" ht="15">
      <c r="A13" s="84" t="s">
        <v>982</v>
      </c>
      <c r="B13" s="83" t="s">
        <v>934</v>
      </c>
      <c r="C13" s="80">
        <v>3</v>
      </c>
      <c r="D13" s="109">
        <v>0.003326701555920684</v>
      </c>
      <c r="E13" s="109">
        <v>2.2555739938220456</v>
      </c>
      <c r="F13" s="80" t="s">
        <v>1154</v>
      </c>
      <c r="G13" s="80" t="b">
        <v>0</v>
      </c>
      <c r="H13" s="80" t="b">
        <v>0</v>
      </c>
      <c r="I13" s="80" t="b">
        <v>0</v>
      </c>
      <c r="J13" s="80" t="b">
        <v>0</v>
      </c>
      <c r="K13" s="80" t="b">
        <v>0</v>
      </c>
      <c r="L13" s="80" t="b">
        <v>0</v>
      </c>
    </row>
    <row r="14" spans="1:12" ht="15">
      <c r="A14" s="84" t="s">
        <v>986</v>
      </c>
      <c r="B14" s="83" t="s">
        <v>948</v>
      </c>
      <c r="C14" s="80">
        <v>3</v>
      </c>
      <c r="D14" s="109">
        <v>0.003326701555920684</v>
      </c>
      <c r="E14" s="109">
        <v>2.4596939764779706</v>
      </c>
      <c r="F14" s="80" t="s">
        <v>1154</v>
      </c>
      <c r="G14" s="80" t="b">
        <v>0</v>
      </c>
      <c r="H14" s="80" t="b">
        <v>0</v>
      </c>
      <c r="I14" s="80" t="b">
        <v>0</v>
      </c>
      <c r="J14" s="80" t="b">
        <v>0</v>
      </c>
      <c r="K14" s="80" t="b">
        <v>0</v>
      </c>
      <c r="L14" s="80" t="b">
        <v>0</v>
      </c>
    </row>
    <row r="15" spans="1:12" ht="15">
      <c r="A15" s="84" t="s">
        <v>948</v>
      </c>
      <c r="B15" s="83" t="s">
        <v>987</v>
      </c>
      <c r="C15" s="80">
        <v>3</v>
      </c>
      <c r="D15" s="109">
        <v>0.003326701555920684</v>
      </c>
      <c r="E15" s="109">
        <v>2.4596939764779706</v>
      </c>
      <c r="F15" s="80" t="s">
        <v>1154</v>
      </c>
      <c r="G15" s="80" t="b">
        <v>0</v>
      </c>
      <c r="H15" s="80" t="b">
        <v>0</v>
      </c>
      <c r="I15" s="80" t="b">
        <v>0</v>
      </c>
      <c r="J15" s="80" t="b">
        <v>0</v>
      </c>
      <c r="K15" s="80" t="b">
        <v>0</v>
      </c>
      <c r="L15" s="80" t="b">
        <v>0</v>
      </c>
    </row>
    <row r="16" spans="1:12" ht="15">
      <c r="A16" s="84" t="s">
        <v>996</v>
      </c>
      <c r="B16" s="83" t="s">
        <v>997</v>
      </c>
      <c r="C16" s="80">
        <v>3</v>
      </c>
      <c r="D16" s="109">
        <v>0.0042157473721685015</v>
      </c>
      <c r="E16" s="109">
        <v>2.6815427260943268</v>
      </c>
      <c r="F16" s="80" t="s">
        <v>1154</v>
      </c>
      <c r="G16" s="80" t="b">
        <v>0</v>
      </c>
      <c r="H16" s="80" t="b">
        <v>0</v>
      </c>
      <c r="I16" s="80" t="b">
        <v>0</v>
      </c>
      <c r="J16" s="80" t="b">
        <v>0</v>
      </c>
      <c r="K16" s="80" t="b">
        <v>0</v>
      </c>
      <c r="L16" s="80" t="b">
        <v>0</v>
      </c>
    </row>
    <row r="17" spans="1:12" ht="15">
      <c r="A17" s="84" t="s">
        <v>997</v>
      </c>
      <c r="B17" s="83" t="s">
        <v>949</v>
      </c>
      <c r="C17" s="80">
        <v>3</v>
      </c>
      <c r="D17" s="109">
        <v>0.0042157473721685015</v>
      </c>
      <c r="E17" s="109">
        <v>2.4596939764779706</v>
      </c>
      <c r="F17" s="80" t="s">
        <v>1154</v>
      </c>
      <c r="G17" s="80" t="b">
        <v>0</v>
      </c>
      <c r="H17" s="80" t="b">
        <v>0</v>
      </c>
      <c r="I17" s="80" t="b">
        <v>0</v>
      </c>
      <c r="J17" s="80" t="b">
        <v>0</v>
      </c>
      <c r="K17" s="80" t="b">
        <v>0</v>
      </c>
      <c r="L17" s="80" t="b">
        <v>0</v>
      </c>
    </row>
    <row r="18" spans="1:12" ht="15">
      <c r="A18" s="84" t="s">
        <v>1009</v>
      </c>
      <c r="B18" s="83" t="s">
        <v>1010</v>
      </c>
      <c r="C18" s="80">
        <v>3</v>
      </c>
      <c r="D18" s="109">
        <v>0.003326701555920684</v>
      </c>
      <c r="E18" s="109">
        <v>2.6815427260943268</v>
      </c>
      <c r="F18" s="80" t="s">
        <v>1154</v>
      </c>
      <c r="G18" s="80" t="b">
        <v>0</v>
      </c>
      <c r="H18" s="80" t="b">
        <v>0</v>
      </c>
      <c r="I18" s="80" t="b">
        <v>0</v>
      </c>
      <c r="J18" s="80" t="b">
        <v>0</v>
      </c>
      <c r="K18" s="80" t="b">
        <v>0</v>
      </c>
      <c r="L18" s="80" t="b">
        <v>0</v>
      </c>
    </row>
    <row r="19" spans="1:12" ht="15">
      <c r="A19" s="84" t="s">
        <v>1013</v>
      </c>
      <c r="B19" s="83" t="s">
        <v>1014</v>
      </c>
      <c r="C19" s="80">
        <v>3</v>
      </c>
      <c r="D19" s="109">
        <v>0.003326701555920684</v>
      </c>
      <c r="E19" s="109">
        <v>2.6815427260943268</v>
      </c>
      <c r="F19" s="80" t="s">
        <v>1154</v>
      </c>
      <c r="G19" s="80" t="b">
        <v>0</v>
      </c>
      <c r="H19" s="80" t="b">
        <v>0</v>
      </c>
      <c r="I19" s="80" t="b">
        <v>0</v>
      </c>
      <c r="J19" s="80" t="b">
        <v>0</v>
      </c>
      <c r="K19" s="80" t="b">
        <v>0</v>
      </c>
      <c r="L19" s="80" t="b">
        <v>0</v>
      </c>
    </row>
    <row r="20" spans="1:12" ht="15">
      <c r="A20" s="84" t="s">
        <v>930</v>
      </c>
      <c r="B20" s="83" t="s">
        <v>970</v>
      </c>
      <c r="C20" s="80">
        <v>3</v>
      </c>
      <c r="D20" s="109">
        <v>0.0036548219144095307</v>
      </c>
      <c r="E20" s="109">
        <v>2.0794827347663642</v>
      </c>
      <c r="F20" s="80" t="s">
        <v>1154</v>
      </c>
      <c r="G20" s="80" t="b">
        <v>0</v>
      </c>
      <c r="H20" s="80" t="b">
        <v>0</v>
      </c>
      <c r="I20" s="80" t="b">
        <v>0</v>
      </c>
      <c r="J20" s="80" t="b">
        <v>1</v>
      </c>
      <c r="K20" s="80" t="b">
        <v>1</v>
      </c>
      <c r="L20" s="80" t="b">
        <v>0</v>
      </c>
    </row>
    <row r="21" spans="1:12" ht="15">
      <c r="A21" s="84" t="s">
        <v>919</v>
      </c>
      <c r="B21" s="83" t="s">
        <v>977</v>
      </c>
      <c r="C21" s="80">
        <v>2</v>
      </c>
      <c r="D21" s="109">
        <v>0.0024365479429396875</v>
      </c>
      <c r="E21" s="109">
        <v>1.8686293694514713</v>
      </c>
      <c r="F21" s="80" t="s">
        <v>1154</v>
      </c>
      <c r="G21" s="80" t="b">
        <v>0</v>
      </c>
      <c r="H21" s="80" t="b">
        <v>0</v>
      </c>
      <c r="I21" s="80" t="b">
        <v>0</v>
      </c>
      <c r="J21" s="80" t="b">
        <v>0</v>
      </c>
      <c r="K21" s="80" t="b">
        <v>0</v>
      </c>
      <c r="L21" s="80" t="b">
        <v>0</v>
      </c>
    </row>
    <row r="22" spans="1:12" ht="15">
      <c r="A22" s="84" t="s">
        <v>1029</v>
      </c>
      <c r="B22" s="83" t="s">
        <v>1030</v>
      </c>
      <c r="C22" s="80">
        <v>2</v>
      </c>
      <c r="D22" s="109">
        <v>0.0024365479429396875</v>
      </c>
      <c r="E22" s="109">
        <v>2.857633985150008</v>
      </c>
      <c r="F22" s="80" t="s">
        <v>1154</v>
      </c>
      <c r="G22" s="80" t="b">
        <v>0</v>
      </c>
      <c r="H22" s="80" t="b">
        <v>0</v>
      </c>
      <c r="I22" s="80" t="b">
        <v>0</v>
      </c>
      <c r="J22" s="80" t="b">
        <v>0</v>
      </c>
      <c r="K22" s="80" t="b">
        <v>0</v>
      </c>
      <c r="L22" s="80" t="b">
        <v>0</v>
      </c>
    </row>
    <row r="23" spans="1:12" ht="15">
      <c r="A23" s="84" t="s">
        <v>929</v>
      </c>
      <c r="B23" s="83" t="s">
        <v>915</v>
      </c>
      <c r="C23" s="80">
        <v>2</v>
      </c>
      <c r="D23" s="109">
        <v>0.0024365479429396875</v>
      </c>
      <c r="E23" s="109">
        <v>1.3198148900767341</v>
      </c>
      <c r="F23" s="80" t="s">
        <v>1154</v>
      </c>
      <c r="G23" s="80" t="b">
        <v>0</v>
      </c>
      <c r="H23" s="80" t="b">
        <v>1</v>
      </c>
      <c r="I23" s="80" t="b">
        <v>0</v>
      </c>
      <c r="J23" s="80" t="b">
        <v>0</v>
      </c>
      <c r="K23" s="80" t="b">
        <v>0</v>
      </c>
      <c r="L23" s="80" t="b">
        <v>0</v>
      </c>
    </row>
    <row r="24" spans="1:12" ht="15">
      <c r="A24" s="84" t="s">
        <v>1036</v>
      </c>
      <c r="B24" s="83" t="s">
        <v>925</v>
      </c>
      <c r="C24" s="80">
        <v>2</v>
      </c>
      <c r="D24" s="109">
        <v>0.0024365479429396875</v>
      </c>
      <c r="E24" s="109">
        <v>2.1586639808139894</v>
      </c>
      <c r="F24" s="80" t="s">
        <v>1154</v>
      </c>
      <c r="G24" s="80" t="b">
        <v>0</v>
      </c>
      <c r="H24" s="80" t="b">
        <v>0</v>
      </c>
      <c r="I24" s="80" t="b">
        <v>0</v>
      </c>
      <c r="J24" s="80" t="b">
        <v>0</v>
      </c>
      <c r="K24" s="80" t="b">
        <v>0</v>
      </c>
      <c r="L24" s="80" t="b">
        <v>0</v>
      </c>
    </row>
    <row r="25" spans="1:12" ht="15">
      <c r="A25" s="84" t="s">
        <v>943</v>
      </c>
      <c r="B25" s="83" t="s">
        <v>985</v>
      </c>
      <c r="C25" s="80">
        <v>2</v>
      </c>
      <c r="D25" s="109">
        <v>0.0024365479429396875</v>
      </c>
      <c r="E25" s="109">
        <v>2.3805127304303455</v>
      </c>
      <c r="F25" s="80" t="s">
        <v>1154</v>
      </c>
      <c r="G25" s="80" t="b">
        <v>0</v>
      </c>
      <c r="H25" s="80" t="b">
        <v>0</v>
      </c>
      <c r="I25" s="80" t="b">
        <v>0</v>
      </c>
      <c r="J25" s="80" t="b">
        <v>0</v>
      </c>
      <c r="K25" s="80" t="b">
        <v>0</v>
      </c>
      <c r="L25" s="80" t="b">
        <v>0</v>
      </c>
    </row>
    <row r="26" spans="1:12" ht="15">
      <c r="A26" s="84" t="s">
        <v>914</v>
      </c>
      <c r="B26" s="83" t="s">
        <v>916</v>
      </c>
      <c r="C26" s="80">
        <v>2</v>
      </c>
      <c r="D26" s="109">
        <v>0.0024365479429396875</v>
      </c>
      <c r="E26" s="109">
        <v>0.7668470572007404</v>
      </c>
      <c r="F26" s="80" t="s">
        <v>1154</v>
      </c>
      <c r="G26" s="80" t="b">
        <v>0</v>
      </c>
      <c r="H26" s="80" t="b">
        <v>0</v>
      </c>
      <c r="I26" s="80" t="b">
        <v>0</v>
      </c>
      <c r="J26" s="80" t="b">
        <v>0</v>
      </c>
      <c r="K26" s="80" t="b">
        <v>0</v>
      </c>
      <c r="L26" s="80" t="b">
        <v>0</v>
      </c>
    </row>
    <row r="27" spans="1:12" ht="15">
      <c r="A27" s="84" t="s">
        <v>961</v>
      </c>
      <c r="B27" s="83" t="s">
        <v>1069</v>
      </c>
      <c r="C27" s="80">
        <v>2</v>
      </c>
      <c r="D27" s="109">
        <v>0.0024365479429396875</v>
      </c>
      <c r="E27" s="109">
        <v>2.556603989486027</v>
      </c>
      <c r="F27" s="80" t="s">
        <v>1154</v>
      </c>
      <c r="G27" s="80" t="b">
        <v>0</v>
      </c>
      <c r="H27" s="80" t="b">
        <v>1</v>
      </c>
      <c r="I27" s="80" t="b">
        <v>0</v>
      </c>
      <c r="J27" s="80" t="b">
        <v>0</v>
      </c>
      <c r="K27" s="80" t="b">
        <v>0</v>
      </c>
      <c r="L27" s="80" t="b">
        <v>0</v>
      </c>
    </row>
    <row r="28" spans="1:12" ht="15">
      <c r="A28" s="84" t="s">
        <v>918</v>
      </c>
      <c r="B28" s="83" t="s">
        <v>1072</v>
      </c>
      <c r="C28" s="80">
        <v>2</v>
      </c>
      <c r="D28" s="109">
        <v>0.0024365479429396875</v>
      </c>
      <c r="E28" s="109">
        <v>2.0447206285071524</v>
      </c>
      <c r="F28" s="80" t="s">
        <v>1154</v>
      </c>
      <c r="G28" s="80" t="b">
        <v>0</v>
      </c>
      <c r="H28" s="80" t="b">
        <v>0</v>
      </c>
      <c r="I28" s="80" t="b">
        <v>0</v>
      </c>
      <c r="J28" s="80" t="b">
        <v>0</v>
      </c>
      <c r="K28" s="80" t="b">
        <v>0</v>
      </c>
      <c r="L28" s="80" t="b">
        <v>0</v>
      </c>
    </row>
    <row r="29" spans="1:12" ht="15">
      <c r="A29" s="84" t="s">
        <v>916</v>
      </c>
      <c r="B29" s="83" t="s">
        <v>954</v>
      </c>
      <c r="C29" s="80">
        <v>2</v>
      </c>
      <c r="D29" s="109">
        <v>0.0024365479429396875</v>
      </c>
      <c r="E29" s="109">
        <v>1.556603989486027</v>
      </c>
      <c r="F29" s="80" t="s">
        <v>1154</v>
      </c>
      <c r="G29" s="80" t="b">
        <v>0</v>
      </c>
      <c r="H29" s="80" t="b">
        <v>0</v>
      </c>
      <c r="I29" s="80" t="b">
        <v>0</v>
      </c>
      <c r="J29" s="80" t="b">
        <v>0</v>
      </c>
      <c r="K29" s="80" t="b">
        <v>0</v>
      </c>
      <c r="L29" s="80" t="b">
        <v>0</v>
      </c>
    </row>
    <row r="30" spans="1:12" ht="15">
      <c r="A30" s="84" t="s">
        <v>1086</v>
      </c>
      <c r="B30" s="83" t="s">
        <v>963</v>
      </c>
      <c r="C30" s="80">
        <v>2</v>
      </c>
      <c r="D30" s="109">
        <v>0.0024365479429396875</v>
      </c>
      <c r="E30" s="109">
        <v>2.556603989486027</v>
      </c>
      <c r="F30" s="80" t="s">
        <v>1154</v>
      </c>
      <c r="G30" s="80" t="b">
        <v>0</v>
      </c>
      <c r="H30" s="80" t="b">
        <v>0</v>
      </c>
      <c r="I30" s="80" t="b">
        <v>0</v>
      </c>
      <c r="J30" s="80" t="b">
        <v>0</v>
      </c>
      <c r="K30" s="80" t="b">
        <v>0</v>
      </c>
      <c r="L30" s="80" t="b">
        <v>0</v>
      </c>
    </row>
    <row r="31" spans="1:12" ht="15">
      <c r="A31" s="84" t="s">
        <v>1087</v>
      </c>
      <c r="B31" s="83" t="s">
        <v>928</v>
      </c>
      <c r="C31" s="80">
        <v>2</v>
      </c>
      <c r="D31" s="109">
        <v>0.0024365479429396875</v>
      </c>
      <c r="E31" s="109">
        <v>2.2044214713746646</v>
      </c>
      <c r="F31" s="80" t="s">
        <v>1154</v>
      </c>
      <c r="G31" s="80" t="b">
        <v>0</v>
      </c>
      <c r="H31" s="80" t="b">
        <v>0</v>
      </c>
      <c r="I31" s="80" t="b">
        <v>0</v>
      </c>
      <c r="J31" s="80" t="b">
        <v>0</v>
      </c>
      <c r="K31" s="80" t="b">
        <v>0</v>
      </c>
      <c r="L31" s="80" t="b">
        <v>0</v>
      </c>
    </row>
    <row r="32" spans="1:12" ht="15">
      <c r="A32" s="84" t="s">
        <v>1006</v>
      </c>
      <c r="B32" s="83" t="s">
        <v>926</v>
      </c>
      <c r="C32" s="80">
        <v>2</v>
      </c>
      <c r="D32" s="109">
        <v>0.0024365479429396875</v>
      </c>
      <c r="E32" s="109">
        <v>2.2044214713746646</v>
      </c>
      <c r="F32" s="80" t="s">
        <v>1154</v>
      </c>
      <c r="G32" s="80" t="b">
        <v>0</v>
      </c>
      <c r="H32" s="80" t="b">
        <v>0</v>
      </c>
      <c r="I32" s="80" t="b">
        <v>0</v>
      </c>
      <c r="J32" s="80" t="b">
        <v>0</v>
      </c>
      <c r="K32" s="80" t="b">
        <v>0</v>
      </c>
      <c r="L32" s="80" t="b">
        <v>0</v>
      </c>
    </row>
    <row r="33" spans="1:12" ht="15">
      <c r="A33" s="84" t="s">
        <v>940</v>
      </c>
      <c r="B33" s="83" t="s">
        <v>1092</v>
      </c>
      <c r="C33" s="80">
        <v>2</v>
      </c>
      <c r="D33" s="109">
        <v>0.0024365479429396875</v>
      </c>
      <c r="E33" s="109">
        <v>2.3135659407997324</v>
      </c>
      <c r="F33" s="80" t="s">
        <v>1154</v>
      </c>
      <c r="G33" s="80" t="b">
        <v>1</v>
      </c>
      <c r="H33" s="80" t="b">
        <v>1</v>
      </c>
      <c r="I33" s="80" t="b">
        <v>0</v>
      </c>
      <c r="J33" s="80" t="b">
        <v>0</v>
      </c>
      <c r="K33" s="80" t="b">
        <v>0</v>
      </c>
      <c r="L33" s="80" t="b">
        <v>0</v>
      </c>
    </row>
    <row r="34" spans="1:12" ht="15">
      <c r="A34" s="84" t="s">
        <v>919</v>
      </c>
      <c r="B34" s="83" t="s">
        <v>1007</v>
      </c>
      <c r="C34" s="80">
        <v>2</v>
      </c>
      <c r="D34" s="109">
        <v>0.0024365479429396875</v>
      </c>
      <c r="E34" s="109">
        <v>1.8686293694514713</v>
      </c>
      <c r="F34" s="80" t="s">
        <v>1154</v>
      </c>
      <c r="G34" s="80" t="b">
        <v>0</v>
      </c>
      <c r="H34" s="80" t="b">
        <v>0</v>
      </c>
      <c r="I34" s="80" t="b">
        <v>0</v>
      </c>
      <c r="J34" s="80" t="b">
        <v>0</v>
      </c>
      <c r="K34" s="80" t="b">
        <v>0</v>
      </c>
      <c r="L34" s="80" t="b">
        <v>0</v>
      </c>
    </row>
    <row r="35" spans="1:12" ht="15">
      <c r="A35" s="84" t="s">
        <v>932</v>
      </c>
      <c r="B35" s="83" t="s">
        <v>967</v>
      </c>
      <c r="C35" s="80">
        <v>2</v>
      </c>
      <c r="D35" s="109">
        <v>0.0024365479429396875</v>
      </c>
      <c r="E35" s="109">
        <v>2.012535945135751</v>
      </c>
      <c r="F35" s="80" t="s">
        <v>1154</v>
      </c>
      <c r="G35" s="80" t="b">
        <v>0</v>
      </c>
      <c r="H35" s="80" t="b">
        <v>0</v>
      </c>
      <c r="I35" s="80" t="b">
        <v>0</v>
      </c>
      <c r="J35" s="80" t="b">
        <v>0</v>
      </c>
      <c r="K35" s="80" t="b">
        <v>0</v>
      </c>
      <c r="L35" s="80" t="b">
        <v>0</v>
      </c>
    </row>
    <row r="36" spans="1:12" ht="15">
      <c r="A36" s="84" t="s">
        <v>1108</v>
      </c>
      <c r="B36" s="83" t="s">
        <v>969</v>
      </c>
      <c r="C36" s="80">
        <v>2</v>
      </c>
      <c r="D36" s="109">
        <v>0.0028104982481123347</v>
      </c>
      <c r="E36" s="109">
        <v>2.556603989486027</v>
      </c>
      <c r="F36" s="80" t="s">
        <v>1154</v>
      </c>
      <c r="G36" s="80" t="b">
        <v>1</v>
      </c>
      <c r="H36" s="80" t="b">
        <v>1</v>
      </c>
      <c r="I36" s="80" t="b">
        <v>0</v>
      </c>
      <c r="J36" s="80" t="b">
        <v>0</v>
      </c>
      <c r="K36" s="80" t="b">
        <v>0</v>
      </c>
      <c r="L36" s="80" t="b">
        <v>0</v>
      </c>
    </row>
    <row r="37" spans="1:12" ht="15">
      <c r="A37" s="84" t="s">
        <v>1111</v>
      </c>
      <c r="B37" s="83" t="s">
        <v>945</v>
      </c>
      <c r="C37" s="80">
        <v>2</v>
      </c>
      <c r="D37" s="109">
        <v>0.0024365479429396875</v>
      </c>
      <c r="E37" s="109">
        <v>2.3805127304303455</v>
      </c>
      <c r="F37" s="80" t="s">
        <v>1154</v>
      </c>
      <c r="G37" s="80" t="b">
        <v>0</v>
      </c>
      <c r="H37" s="80" t="b">
        <v>0</v>
      </c>
      <c r="I37" s="80" t="b">
        <v>0</v>
      </c>
      <c r="J37" s="80" t="b">
        <v>0</v>
      </c>
      <c r="K37" s="80" t="b">
        <v>0</v>
      </c>
      <c r="L37" s="80" t="b">
        <v>0</v>
      </c>
    </row>
    <row r="38" spans="1:12" ht="15">
      <c r="A38" s="84" t="s">
        <v>1112</v>
      </c>
      <c r="B38" s="83" t="s">
        <v>1113</v>
      </c>
      <c r="C38" s="80">
        <v>2</v>
      </c>
      <c r="D38" s="109">
        <v>0.0028104982481123347</v>
      </c>
      <c r="E38" s="109">
        <v>2.857633985150008</v>
      </c>
      <c r="F38" s="80" t="s">
        <v>1154</v>
      </c>
      <c r="G38" s="80" t="b">
        <v>0</v>
      </c>
      <c r="H38" s="80" t="b">
        <v>0</v>
      </c>
      <c r="I38" s="80" t="b">
        <v>0</v>
      </c>
      <c r="J38" s="80" t="b">
        <v>0</v>
      </c>
      <c r="K38" s="80" t="b">
        <v>0</v>
      </c>
      <c r="L38" s="80" t="b">
        <v>0</v>
      </c>
    </row>
    <row r="39" spans="1:12" ht="15">
      <c r="A39" s="84" t="s">
        <v>999</v>
      </c>
      <c r="B39" s="83" t="s">
        <v>966</v>
      </c>
      <c r="C39" s="80">
        <v>2</v>
      </c>
      <c r="D39" s="109">
        <v>0.0024365479429396875</v>
      </c>
      <c r="E39" s="109">
        <v>2.3805127304303455</v>
      </c>
      <c r="F39" s="80" t="s">
        <v>1154</v>
      </c>
      <c r="G39" s="80" t="b">
        <v>1</v>
      </c>
      <c r="H39" s="80" t="b">
        <v>1</v>
      </c>
      <c r="I39" s="80" t="b">
        <v>0</v>
      </c>
      <c r="J39" s="80" t="b">
        <v>1</v>
      </c>
      <c r="K39" s="80" t="b">
        <v>1</v>
      </c>
      <c r="L39" s="80" t="b">
        <v>0</v>
      </c>
    </row>
    <row r="40" spans="1:12" ht="15">
      <c r="A40" s="84" t="s">
        <v>939</v>
      </c>
      <c r="B40" s="83" t="s">
        <v>931</v>
      </c>
      <c r="C40" s="80">
        <v>2</v>
      </c>
      <c r="D40" s="109">
        <v>0.0024365479429396875</v>
      </c>
      <c r="E40" s="109">
        <v>1.6603534270243887</v>
      </c>
      <c r="F40" s="80" t="s">
        <v>1154</v>
      </c>
      <c r="G40" s="80" t="b">
        <v>0</v>
      </c>
      <c r="H40" s="80" t="b">
        <v>0</v>
      </c>
      <c r="I40" s="80" t="b">
        <v>0</v>
      </c>
      <c r="J40" s="80" t="b">
        <v>0</v>
      </c>
      <c r="K40" s="80" t="b">
        <v>0</v>
      </c>
      <c r="L40" s="80" t="b">
        <v>0</v>
      </c>
    </row>
    <row r="41" spans="1:12" ht="15">
      <c r="A41" s="84" t="s">
        <v>1129</v>
      </c>
      <c r="B41" s="83" t="s">
        <v>1130</v>
      </c>
      <c r="C41" s="80">
        <v>2</v>
      </c>
      <c r="D41" s="109">
        <v>0.0024365479429396875</v>
      </c>
      <c r="E41" s="109">
        <v>2.857633985150008</v>
      </c>
      <c r="F41" s="80" t="s">
        <v>1154</v>
      </c>
      <c r="G41" s="80" t="b">
        <v>0</v>
      </c>
      <c r="H41" s="80" t="b">
        <v>0</v>
      </c>
      <c r="I41" s="80" t="b">
        <v>0</v>
      </c>
      <c r="J41" s="80" t="b">
        <v>0</v>
      </c>
      <c r="K41" s="80" t="b">
        <v>0</v>
      </c>
      <c r="L41" s="80" t="b">
        <v>0</v>
      </c>
    </row>
    <row r="42" spans="1:12" ht="15">
      <c r="A42" s="84" t="s">
        <v>1131</v>
      </c>
      <c r="B42" s="83" t="s">
        <v>1132</v>
      </c>
      <c r="C42" s="80">
        <v>2</v>
      </c>
      <c r="D42" s="109">
        <v>0.0024365479429396875</v>
      </c>
      <c r="E42" s="109">
        <v>2.857633985150008</v>
      </c>
      <c r="F42" s="80" t="s">
        <v>1154</v>
      </c>
      <c r="G42" s="80" t="b">
        <v>0</v>
      </c>
      <c r="H42" s="80" t="b">
        <v>0</v>
      </c>
      <c r="I42" s="80" t="b">
        <v>0</v>
      </c>
      <c r="J42" s="80" t="b">
        <v>0</v>
      </c>
      <c r="K42" s="80" t="b">
        <v>0</v>
      </c>
      <c r="L42" s="80" t="b">
        <v>0</v>
      </c>
    </row>
    <row r="43" spans="1:12" ht="15">
      <c r="A43" s="84" t="s">
        <v>973</v>
      </c>
      <c r="B43" s="83" t="s">
        <v>1016</v>
      </c>
      <c r="C43" s="80">
        <v>2</v>
      </c>
      <c r="D43" s="109">
        <v>0.0024365479429396875</v>
      </c>
      <c r="E43" s="109">
        <v>2.505451467038646</v>
      </c>
      <c r="F43" s="80" t="s">
        <v>1154</v>
      </c>
      <c r="G43" s="80" t="b">
        <v>1</v>
      </c>
      <c r="H43" s="80" t="b">
        <v>1</v>
      </c>
      <c r="I43" s="80" t="b">
        <v>0</v>
      </c>
      <c r="J43" s="80" t="b">
        <v>0</v>
      </c>
      <c r="K43" s="80" t="b">
        <v>0</v>
      </c>
      <c r="L43" s="80" t="b">
        <v>0</v>
      </c>
    </row>
    <row r="44" spans="1:12" ht="15">
      <c r="A44" s="84" t="s">
        <v>931</v>
      </c>
      <c r="B44" s="83" t="s">
        <v>923</v>
      </c>
      <c r="C44" s="80">
        <v>2</v>
      </c>
      <c r="D44" s="109">
        <v>0.0024365479429396875</v>
      </c>
      <c r="E44" s="109">
        <v>1.515211304327802</v>
      </c>
      <c r="F44" s="80" t="s">
        <v>1154</v>
      </c>
      <c r="G44" s="80" t="b">
        <v>0</v>
      </c>
      <c r="H44" s="80" t="b">
        <v>0</v>
      </c>
      <c r="I44" s="80" t="b">
        <v>0</v>
      </c>
      <c r="J44" s="80" t="b">
        <v>1</v>
      </c>
      <c r="K44" s="80" t="b">
        <v>0</v>
      </c>
      <c r="L44" s="80" t="b">
        <v>0</v>
      </c>
    </row>
    <row r="45" spans="1:12" ht="15">
      <c r="A45" s="84" t="s">
        <v>940</v>
      </c>
      <c r="B45" s="83" t="s">
        <v>1017</v>
      </c>
      <c r="C45" s="80">
        <v>2</v>
      </c>
      <c r="D45" s="109">
        <v>0.0028104982481123347</v>
      </c>
      <c r="E45" s="109">
        <v>2.137474681744051</v>
      </c>
      <c r="F45" s="80" t="s">
        <v>1154</v>
      </c>
      <c r="G45" s="80" t="b">
        <v>1</v>
      </c>
      <c r="H45" s="80" t="b">
        <v>1</v>
      </c>
      <c r="I45" s="80" t="b">
        <v>0</v>
      </c>
      <c r="J45" s="80" t="b">
        <v>0</v>
      </c>
      <c r="K45" s="80" t="b">
        <v>0</v>
      </c>
      <c r="L45" s="80" t="b">
        <v>0</v>
      </c>
    </row>
    <row r="46" spans="1:12" ht="15">
      <c r="A46" s="84" t="s">
        <v>938</v>
      </c>
      <c r="B46" s="83" t="s">
        <v>938</v>
      </c>
      <c r="C46" s="80">
        <v>2</v>
      </c>
      <c r="D46" s="109">
        <v>0.0028104982481123347</v>
      </c>
      <c r="E46" s="109">
        <v>1.982572721758308</v>
      </c>
      <c r="F46" s="80" t="s">
        <v>1154</v>
      </c>
      <c r="G46" s="80" t="b">
        <v>0</v>
      </c>
      <c r="H46" s="80" t="b">
        <v>0</v>
      </c>
      <c r="I46" s="80" t="b">
        <v>0</v>
      </c>
      <c r="J46" s="80" t="b">
        <v>0</v>
      </c>
      <c r="K46" s="80" t="b">
        <v>0</v>
      </c>
      <c r="L46" s="80" t="b">
        <v>0</v>
      </c>
    </row>
    <row r="47" spans="1:12" ht="15">
      <c r="A47" s="84" t="s">
        <v>926</v>
      </c>
      <c r="B47" s="83" t="s">
        <v>964</v>
      </c>
      <c r="C47" s="80">
        <v>2</v>
      </c>
      <c r="D47" s="109">
        <v>0.0024365479429396875</v>
      </c>
      <c r="E47" s="109">
        <v>1.857633985150008</v>
      </c>
      <c r="F47" s="80" t="s">
        <v>1154</v>
      </c>
      <c r="G47" s="80" t="b">
        <v>0</v>
      </c>
      <c r="H47" s="80" t="b">
        <v>0</v>
      </c>
      <c r="I47" s="80" t="b">
        <v>0</v>
      </c>
      <c r="J47" s="80" t="b">
        <v>0</v>
      </c>
      <c r="K47" s="80" t="b">
        <v>0</v>
      </c>
      <c r="L47" s="80" t="b">
        <v>0</v>
      </c>
    </row>
    <row r="48" spans="1:12" ht="15">
      <c r="A48" s="84" t="s">
        <v>914</v>
      </c>
      <c r="B48" s="83" t="s">
        <v>915</v>
      </c>
      <c r="C48" s="80">
        <v>2</v>
      </c>
      <c r="D48" s="109">
        <v>0.0028104982481123347</v>
      </c>
      <c r="E48" s="109">
        <v>0.6355681425614216</v>
      </c>
      <c r="F48" s="80" t="s">
        <v>1154</v>
      </c>
      <c r="G48" s="80" t="b">
        <v>0</v>
      </c>
      <c r="H48" s="80" t="b">
        <v>0</v>
      </c>
      <c r="I48" s="80" t="b">
        <v>0</v>
      </c>
      <c r="J48" s="80" t="b">
        <v>0</v>
      </c>
      <c r="K48" s="80" t="b">
        <v>0</v>
      </c>
      <c r="L48" s="80" t="b">
        <v>0</v>
      </c>
    </row>
    <row r="49" spans="1:12" ht="15">
      <c r="A49" s="84" t="s">
        <v>915</v>
      </c>
      <c r="B49" s="83" t="s">
        <v>914</v>
      </c>
      <c r="C49" s="80">
        <v>23</v>
      </c>
      <c r="D49" s="109">
        <v>0.017052564927586628</v>
      </c>
      <c r="E49" s="109">
        <v>1.3934118916887126</v>
      </c>
      <c r="F49" s="80" t="s">
        <v>873</v>
      </c>
      <c r="G49" s="80" t="b">
        <v>0</v>
      </c>
      <c r="H49" s="80" t="b">
        <v>0</v>
      </c>
      <c r="I49" s="80" t="b">
        <v>0</v>
      </c>
      <c r="J49" s="80" t="b">
        <v>0</v>
      </c>
      <c r="K49" s="80" t="b">
        <v>0</v>
      </c>
      <c r="L49" s="80" t="b">
        <v>0</v>
      </c>
    </row>
    <row r="50" spans="1:12" ht="15">
      <c r="A50" s="84" t="s">
        <v>924</v>
      </c>
      <c r="B50" s="83" t="s">
        <v>914</v>
      </c>
      <c r="C50" s="80">
        <v>7</v>
      </c>
      <c r="D50" s="109">
        <v>0.009687586356448912</v>
      </c>
      <c r="E50" s="109">
        <v>1.4466574036419375</v>
      </c>
      <c r="F50" s="80" t="s">
        <v>873</v>
      </c>
      <c r="G50" s="80" t="b">
        <v>0</v>
      </c>
      <c r="H50" s="80" t="b">
        <v>0</v>
      </c>
      <c r="I50" s="80" t="b">
        <v>0</v>
      </c>
      <c r="J50" s="80" t="b">
        <v>0</v>
      </c>
      <c r="K50" s="80" t="b">
        <v>0</v>
      </c>
      <c r="L50" s="80" t="b">
        <v>0</v>
      </c>
    </row>
    <row r="51" spans="1:12" ht="15">
      <c r="A51" s="84" t="s">
        <v>944</v>
      </c>
      <c r="B51" s="83" t="s">
        <v>922</v>
      </c>
      <c r="C51" s="80">
        <v>5</v>
      </c>
      <c r="D51" s="109">
        <v>0.01052264270700116</v>
      </c>
      <c r="E51" s="109">
        <v>2.013739811414329</v>
      </c>
      <c r="F51" s="80" t="s">
        <v>873</v>
      </c>
      <c r="G51" s="80" t="b">
        <v>0</v>
      </c>
      <c r="H51" s="80" t="b">
        <v>0</v>
      </c>
      <c r="I51" s="80" t="b">
        <v>0</v>
      </c>
      <c r="J51" s="80" t="b">
        <v>0</v>
      </c>
      <c r="K51" s="80" t="b">
        <v>0</v>
      </c>
      <c r="L51" s="80" t="b">
        <v>0</v>
      </c>
    </row>
    <row r="52" spans="1:12" ht="15">
      <c r="A52" s="84" t="s">
        <v>922</v>
      </c>
      <c r="B52" s="83" t="s">
        <v>920</v>
      </c>
      <c r="C52" s="80">
        <v>5</v>
      </c>
      <c r="D52" s="109">
        <v>0.01052264270700116</v>
      </c>
      <c r="E52" s="109">
        <v>1.8888010748060287</v>
      </c>
      <c r="F52" s="80" t="s">
        <v>873</v>
      </c>
      <c r="G52" s="80" t="b">
        <v>0</v>
      </c>
      <c r="H52" s="80" t="b">
        <v>0</v>
      </c>
      <c r="I52" s="80" t="b">
        <v>0</v>
      </c>
      <c r="J52" s="80" t="b">
        <v>0</v>
      </c>
      <c r="K52" s="80" t="b">
        <v>0</v>
      </c>
      <c r="L52" s="80" t="b">
        <v>0</v>
      </c>
    </row>
    <row r="53" spans="1:12" ht="15">
      <c r="A53" s="84" t="s">
        <v>917</v>
      </c>
      <c r="B53" s="83" t="s">
        <v>923</v>
      </c>
      <c r="C53" s="80">
        <v>4</v>
      </c>
      <c r="D53" s="109">
        <v>0.005935392551877372</v>
      </c>
      <c r="E53" s="109">
        <v>2.2390490931401916</v>
      </c>
      <c r="F53" s="80" t="s">
        <v>873</v>
      </c>
      <c r="G53" s="80" t="b">
        <v>0</v>
      </c>
      <c r="H53" s="80" t="b">
        <v>0</v>
      </c>
      <c r="I53" s="80" t="b">
        <v>0</v>
      </c>
      <c r="J53" s="80" t="b">
        <v>1</v>
      </c>
      <c r="K53" s="80" t="b">
        <v>0</v>
      </c>
      <c r="L53" s="80" t="b">
        <v>0</v>
      </c>
    </row>
    <row r="54" spans="1:12" ht="15">
      <c r="A54" s="84" t="s">
        <v>923</v>
      </c>
      <c r="B54" s="83" t="s">
        <v>918</v>
      </c>
      <c r="C54" s="80">
        <v>4</v>
      </c>
      <c r="D54" s="109">
        <v>0.005935392551877372</v>
      </c>
      <c r="E54" s="109">
        <v>2.0629578340845103</v>
      </c>
      <c r="F54" s="80" t="s">
        <v>873</v>
      </c>
      <c r="G54" s="80" t="b">
        <v>1</v>
      </c>
      <c r="H54" s="80" t="b">
        <v>0</v>
      </c>
      <c r="I54" s="80" t="b">
        <v>0</v>
      </c>
      <c r="J54" s="80" t="b">
        <v>0</v>
      </c>
      <c r="K54" s="80" t="b">
        <v>0</v>
      </c>
      <c r="L54" s="80" t="b">
        <v>0</v>
      </c>
    </row>
    <row r="55" spans="1:12" ht="15">
      <c r="A55" s="84" t="s">
        <v>941</v>
      </c>
      <c r="B55" s="83" t="s">
        <v>928</v>
      </c>
      <c r="C55" s="80">
        <v>4</v>
      </c>
      <c r="D55" s="109">
        <v>0.005935392551877372</v>
      </c>
      <c r="E55" s="109">
        <v>2.0929210574619534</v>
      </c>
      <c r="F55" s="80" t="s">
        <v>873</v>
      </c>
      <c r="G55" s="80" t="b">
        <v>0</v>
      </c>
      <c r="H55" s="80" t="b">
        <v>0</v>
      </c>
      <c r="I55" s="80" t="b">
        <v>0</v>
      </c>
      <c r="J55" s="80" t="b">
        <v>0</v>
      </c>
      <c r="K55" s="80" t="b">
        <v>0</v>
      </c>
      <c r="L55" s="80" t="b">
        <v>0</v>
      </c>
    </row>
    <row r="56" spans="1:12" ht="15">
      <c r="A56" s="84" t="s">
        <v>970</v>
      </c>
      <c r="B56" s="83" t="s">
        <v>924</v>
      </c>
      <c r="C56" s="80">
        <v>4</v>
      </c>
      <c r="D56" s="109">
        <v>0.0071767533587391505</v>
      </c>
      <c r="E56" s="109">
        <v>2.1598678470925665</v>
      </c>
      <c r="F56" s="80" t="s">
        <v>873</v>
      </c>
      <c r="G56" s="80" t="b">
        <v>1</v>
      </c>
      <c r="H56" s="80" t="b">
        <v>1</v>
      </c>
      <c r="I56" s="80" t="b">
        <v>0</v>
      </c>
      <c r="J56" s="80" t="b">
        <v>0</v>
      </c>
      <c r="K56" s="80" t="b">
        <v>0</v>
      </c>
      <c r="L56" s="80" t="b">
        <v>0</v>
      </c>
    </row>
    <row r="57" spans="1:12" ht="15">
      <c r="A57" s="84" t="s">
        <v>946</v>
      </c>
      <c r="B57" s="83" t="s">
        <v>917</v>
      </c>
      <c r="C57" s="80">
        <v>3</v>
      </c>
      <c r="D57" s="109">
        <v>0.004837952877645039</v>
      </c>
      <c r="E57" s="109">
        <v>2.335959106148248</v>
      </c>
      <c r="F57" s="80" t="s">
        <v>873</v>
      </c>
      <c r="G57" s="80" t="b">
        <v>0</v>
      </c>
      <c r="H57" s="80" t="b">
        <v>0</v>
      </c>
      <c r="I57" s="80" t="b">
        <v>0</v>
      </c>
      <c r="J57" s="80" t="b">
        <v>0</v>
      </c>
      <c r="K57" s="80" t="b">
        <v>0</v>
      </c>
      <c r="L57" s="80" t="b">
        <v>0</v>
      </c>
    </row>
    <row r="58" spans="1:12" ht="15">
      <c r="A58" s="84" t="s">
        <v>919</v>
      </c>
      <c r="B58" s="83" t="s">
        <v>937</v>
      </c>
      <c r="C58" s="80">
        <v>3</v>
      </c>
      <c r="D58" s="109">
        <v>0.004837952877645039</v>
      </c>
      <c r="E58" s="109">
        <v>1.7716876757096853</v>
      </c>
      <c r="F58" s="80" t="s">
        <v>873</v>
      </c>
      <c r="G58" s="80" t="b">
        <v>0</v>
      </c>
      <c r="H58" s="80" t="b">
        <v>0</v>
      </c>
      <c r="I58" s="80" t="b">
        <v>0</v>
      </c>
      <c r="J58" s="80" t="b">
        <v>0</v>
      </c>
      <c r="K58" s="80" t="b">
        <v>0</v>
      </c>
      <c r="L58" s="80" t="b">
        <v>0</v>
      </c>
    </row>
    <row r="59" spans="1:12" ht="15">
      <c r="A59" s="84" t="s">
        <v>986</v>
      </c>
      <c r="B59" s="83" t="s">
        <v>948</v>
      </c>
      <c r="C59" s="80">
        <v>3</v>
      </c>
      <c r="D59" s="109">
        <v>0.004837952877645039</v>
      </c>
      <c r="E59" s="109">
        <v>2.2390490931401916</v>
      </c>
      <c r="F59" s="80" t="s">
        <v>873</v>
      </c>
      <c r="G59" s="80" t="b">
        <v>0</v>
      </c>
      <c r="H59" s="80" t="b">
        <v>0</v>
      </c>
      <c r="I59" s="80" t="b">
        <v>0</v>
      </c>
      <c r="J59" s="80" t="b">
        <v>0</v>
      </c>
      <c r="K59" s="80" t="b">
        <v>0</v>
      </c>
      <c r="L59" s="80" t="b">
        <v>0</v>
      </c>
    </row>
    <row r="60" spans="1:12" ht="15">
      <c r="A60" s="84" t="s">
        <v>948</v>
      </c>
      <c r="B60" s="83" t="s">
        <v>987</v>
      </c>
      <c r="C60" s="80">
        <v>3</v>
      </c>
      <c r="D60" s="109">
        <v>0.004837952877645039</v>
      </c>
      <c r="E60" s="109">
        <v>2.2390490931401916</v>
      </c>
      <c r="F60" s="80" t="s">
        <v>873</v>
      </c>
      <c r="G60" s="80" t="b">
        <v>0</v>
      </c>
      <c r="H60" s="80" t="b">
        <v>0</v>
      </c>
      <c r="I60" s="80" t="b">
        <v>0</v>
      </c>
      <c r="J60" s="80" t="b">
        <v>0</v>
      </c>
      <c r="K60" s="80" t="b">
        <v>0</v>
      </c>
      <c r="L60" s="80" t="b">
        <v>0</v>
      </c>
    </row>
    <row r="61" spans="1:12" ht="15">
      <c r="A61" s="84" t="s">
        <v>996</v>
      </c>
      <c r="B61" s="83" t="s">
        <v>997</v>
      </c>
      <c r="C61" s="80">
        <v>3</v>
      </c>
      <c r="D61" s="109">
        <v>0.0063135856242006955</v>
      </c>
      <c r="E61" s="109">
        <v>2.4608978427565478</v>
      </c>
      <c r="F61" s="80" t="s">
        <v>873</v>
      </c>
      <c r="G61" s="80" t="b">
        <v>0</v>
      </c>
      <c r="H61" s="80" t="b">
        <v>0</v>
      </c>
      <c r="I61" s="80" t="b">
        <v>0</v>
      </c>
      <c r="J61" s="80" t="b">
        <v>0</v>
      </c>
      <c r="K61" s="80" t="b">
        <v>0</v>
      </c>
      <c r="L61" s="80" t="b">
        <v>0</v>
      </c>
    </row>
    <row r="62" spans="1:12" ht="15">
      <c r="A62" s="84" t="s">
        <v>997</v>
      </c>
      <c r="B62" s="83" t="s">
        <v>949</v>
      </c>
      <c r="C62" s="80">
        <v>3</v>
      </c>
      <c r="D62" s="109">
        <v>0.0063135856242006955</v>
      </c>
      <c r="E62" s="109">
        <v>2.4608978427565478</v>
      </c>
      <c r="F62" s="80" t="s">
        <v>873</v>
      </c>
      <c r="G62" s="80" t="b">
        <v>0</v>
      </c>
      <c r="H62" s="80" t="b">
        <v>0</v>
      </c>
      <c r="I62" s="80" t="b">
        <v>0</v>
      </c>
      <c r="J62" s="80" t="b">
        <v>0</v>
      </c>
      <c r="K62" s="80" t="b">
        <v>0</v>
      </c>
      <c r="L62" s="80" t="b">
        <v>0</v>
      </c>
    </row>
    <row r="63" spans="1:12" ht="15">
      <c r="A63" s="84" t="s">
        <v>930</v>
      </c>
      <c r="B63" s="83" t="s">
        <v>970</v>
      </c>
      <c r="C63" s="80">
        <v>3</v>
      </c>
      <c r="D63" s="109">
        <v>0.005382565019054362</v>
      </c>
      <c r="E63" s="109">
        <v>2.1141103565318913</v>
      </c>
      <c r="F63" s="80" t="s">
        <v>873</v>
      </c>
      <c r="G63" s="80" t="b">
        <v>0</v>
      </c>
      <c r="H63" s="80" t="b">
        <v>0</v>
      </c>
      <c r="I63" s="80" t="b">
        <v>0</v>
      </c>
      <c r="J63" s="80" t="b">
        <v>1</v>
      </c>
      <c r="K63" s="80" t="b">
        <v>1</v>
      </c>
      <c r="L63" s="80" t="b">
        <v>0</v>
      </c>
    </row>
    <row r="64" spans="1:12" ht="15">
      <c r="A64" s="84" t="s">
        <v>919</v>
      </c>
      <c r="B64" s="83" t="s">
        <v>977</v>
      </c>
      <c r="C64" s="80">
        <v>2</v>
      </c>
      <c r="D64" s="109">
        <v>0.0035883766793695752</v>
      </c>
      <c r="E64" s="109">
        <v>1.720535153262304</v>
      </c>
      <c r="F64" s="80" t="s">
        <v>873</v>
      </c>
      <c r="G64" s="80" t="b">
        <v>0</v>
      </c>
      <c r="H64" s="80" t="b">
        <v>0</v>
      </c>
      <c r="I64" s="80" t="b">
        <v>0</v>
      </c>
      <c r="J64" s="80" t="b">
        <v>0</v>
      </c>
      <c r="K64" s="80" t="b">
        <v>0</v>
      </c>
      <c r="L64" s="80" t="b">
        <v>0</v>
      </c>
    </row>
    <row r="65" spans="1:12" ht="15">
      <c r="A65" s="84" t="s">
        <v>1029</v>
      </c>
      <c r="B65" s="83" t="s">
        <v>1030</v>
      </c>
      <c r="C65" s="80">
        <v>2</v>
      </c>
      <c r="D65" s="109">
        <v>0.0035883766793695752</v>
      </c>
      <c r="E65" s="109">
        <v>2.636989101812229</v>
      </c>
      <c r="F65" s="80" t="s">
        <v>873</v>
      </c>
      <c r="G65" s="80" t="b">
        <v>0</v>
      </c>
      <c r="H65" s="80" t="b">
        <v>0</v>
      </c>
      <c r="I65" s="80" t="b">
        <v>0</v>
      </c>
      <c r="J65" s="80" t="b">
        <v>0</v>
      </c>
      <c r="K65" s="80" t="b">
        <v>0</v>
      </c>
      <c r="L65" s="80" t="b">
        <v>0</v>
      </c>
    </row>
    <row r="66" spans="1:12" ht="15">
      <c r="A66" s="84" t="s">
        <v>929</v>
      </c>
      <c r="B66" s="83" t="s">
        <v>915</v>
      </c>
      <c r="C66" s="80">
        <v>2</v>
      </c>
      <c r="D66" s="109">
        <v>0.0035883766793695752</v>
      </c>
      <c r="E66" s="109">
        <v>1.4608978427565478</v>
      </c>
      <c r="F66" s="80" t="s">
        <v>873</v>
      </c>
      <c r="G66" s="80" t="b">
        <v>0</v>
      </c>
      <c r="H66" s="80" t="b">
        <v>1</v>
      </c>
      <c r="I66" s="80" t="b">
        <v>0</v>
      </c>
      <c r="J66" s="80" t="b">
        <v>0</v>
      </c>
      <c r="K66" s="80" t="b">
        <v>0</v>
      </c>
      <c r="L66" s="80" t="b">
        <v>0</v>
      </c>
    </row>
    <row r="67" spans="1:12" ht="15">
      <c r="A67" s="84" t="s">
        <v>1036</v>
      </c>
      <c r="B67" s="83" t="s">
        <v>925</v>
      </c>
      <c r="C67" s="80">
        <v>2</v>
      </c>
      <c r="D67" s="109">
        <v>0.0035883766793695752</v>
      </c>
      <c r="E67" s="109">
        <v>2.2390490931401916</v>
      </c>
      <c r="F67" s="80" t="s">
        <v>873</v>
      </c>
      <c r="G67" s="80" t="b">
        <v>0</v>
      </c>
      <c r="H67" s="80" t="b">
        <v>0</v>
      </c>
      <c r="I67" s="80" t="b">
        <v>0</v>
      </c>
      <c r="J67" s="80" t="b">
        <v>0</v>
      </c>
      <c r="K67" s="80" t="b">
        <v>0</v>
      </c>
      <c r="L67" s="80" t="b">
        <v>0</v>
      </c>
    </row>
    <row r="68" spans="1:12" ht="15">
      <c r="A68" s="84" t="s">
        <v>1086</v>
      </c>
      <c r="B68" s="83" t="s">
        <v>963</v>
      </c>
      <c r="C68" s="80">
        <v>2</v>
      </c>
      <c r="D68" s="109">
        <v>0.0035883766793695752</v>
      </c>
      <c r="E68" s="109">
        <v>2.335959106148248</v>
      </c>
      <c r="F68" s="80" t="s">
        <v>873</v>
      </c>
      <c r="G68" s="80" t="b">
        <v>0</v>
      </c>
      <c r="H68" s="80" t="b">
        <v>0</v>
      </c>
      <c r="I68" s="80" t="b">
        <v>0</v>
      </c>
      <c r="J68" s="80" t="b">
        <v>0</v>
      </c>
      <c r="K68" s="80" t="b">
        <v>0</v>
      </c>
      <c r="L68" s="80" t="b">
        <v>0</v>
      </c>
    </row>
    <row r="69" spans="1:12" ht="15">
      <c r="A69" s="84" t="s">
        <v>1087</v>
      </c>
      <c r="B69" s="83" t="s">
        <v>928</v>
      </c>
      <c r="C69" s="80">
        <v>2</v>
      </c>
      <c r="D69" s="109">
        <v>0.0035883766793695752</v>
      </c>
      <c r="E69" s="109">
        <v>2.0929210574619534</v>
      </c>
      <c r="F69" s="80" t="s">
        <v>873</v>
      </c>
      <c r="G69" s="80" t="b">
        <v>0</v>
      </c>
      <c r="H69" s="80" t="b">
        <v>0</v>
      </c>
      <c r="I69" s="80" t="b">
        <v>0</v>
      </c>
      <c r="J69" s="80" t="b">
        <v>0</v>
      </c>
      <c r="K69" s="80" t="b">
        <v>0</v>
      </c>
      <c r="L69" s="80" t="b">
        <v>0</v>
      </c>
    </row>
    <row r="70" spans="1:12" ht="15">
      <c r="A70" s="84" t="s">
        <v>1006</v>
      </c>
      <c r="B70" s="83" t="s">
        <v>926</v>
      </c>
      <c r="C70" s="80">
        <v>2</v>
      </c>
      <c r="D70" s="109">
        <v>0.0035883766793695752</v>
      </c>
      <c r="E70" s="109">
        <v>2.4608978427565478</v>
      </c>
      <c r="F70" s="80" t="s">
        <v>873</v>
      </c>
      <c r="G70" s="80" t="b">
        <v>0</v>
      </c>
      <c r="H70" s="80" t="b">
        <v>0</v>
      </c>
      <c r="I70" s="80" t="b">
        <v>0</v>
      </c>
      <c r="J70" s="80" t="b">
        <v>0</v>
      </c>
      <c r="K70" s="80" t="b">
        <v>0</v>
      </c>
      <c r="L70" s="80" t="b">
        <v>0</v>
      </c>
    </row>
    <row r="71" spans="1:12" ht="15">
      <c r="A71" s="84" t="s">
        <v>919</v>
      </c>
      <c r="B71" s="83" t="s">
        <v>1007</v>
      </c>
      <c r="C71" s="80">
        <v>2</v>
      </c>
      <c r="D71" s="109">
        <v>0.0035883766793695752</v>
      </c>
      <c r="E71" s="109">
        <v>1.8966264123179852</v>
      </c>
      <c r="F71" s="80" t="s">
        <v>873</v>
      </c>
      <c r="G71" s="80" t="b">
        <v>0</v>
      </c>
      <c r="H71" s="80" t="b">
        <v>0</v>
      </c>
      <c r="I71" s="80" t="b">
        <v>0</v>
      </c>
      <c r="J71" s="80" t="b">
        <v>0</v>
      </c>
      <c r="K71" s="80" t="b">
        <v>0</v>
      </c>
      <c r="L71" s="80" t="b">
        <v>0</v>
      </c>
    </row>
    <row r="72" spans="1:12" ht="15">
      <c r="A72" s="84" t="s">
        <v>914</v>
      </c>
      <c r="B72" s="83" t="s">
        <v>915</v>
      </c>
      <c r="C72" s="80">
        <v>2</v>
      </c>
      <c r="D72" s="109">
        <v>0.004209057082800464</v>
      </c>
      <c r="E72" s="109">
        <v>0.8076853289812042</v>
      </c>
      <c r="F72" s="80" t="s">
        <v>873</v>
      </c>
      <c r="G72" s="80" t="b">
        <v>0</v>
      </c>
      <c r="H72" s="80" t="b">
        <v>0</v>
      </c>
      <c r="I72" s="80" t="b">
        <v>0</v>
      </c>
      <c r="J72" s="80" t="b">
        <v>0</v>
      </c>
      <c r="K72" s="80" t="b">
        <v>0</v>
      </c>
      <c r="L72" s="80" t="b">
        <v>0</v>
      </c>
    </row>
    <row r="73" spans="1:12" ht="15">
      <c r="A73" s="84" t="s">
        <v>926</v>
      </c>
      <c r="B73" s="83" t="s">
        <v>964</v>
      </c>
      <c r="C73" s="80">
        <v>2</v>
      </c>
      <c r="D73" s="109">
        <v>0.018983658704980613</v>
      </c>
      <c r="E73" s="109">
        <v>0.9229848157088828</v>
      </c>
      <c r="F73" s="80" t="s">
        <v>874</v>
      </c>
      <c r="G73" s="80" t="b">
        <v>0</v>
      </c>
      <c r="H73" s="80" t="b">
        <v>0</v>
      </c>
      <c r="I73" s="80" t="b">
        <v>0</v>
      </c>
      <c r="J73" s="80" t="b">
        <v>0</v>
      </c>
      <c r="K73" s="80" t="b">
        <v>0</v>
      </c>
      <c r="L73" s="80" t="b">
        <v>0</v>
      </c>
    </row>
    <row r="74" spans="1:12" ht="15">
      <c r="A74" s="84" t="s">
        <v>918</v>
      </c>
      <c r="B74" s="83" t="s">
        <v>925</v>
      </c>
      <c r="C74" s="80">
        <v>2</v>
      </c>
      <c r="D74" s="109">
        <v>0.010946545296872043</v>
      </c>
      <c r="E74" s="109">
        <v>1.5314789170422551</v>
      </c>
      <c r="F74" s="80" t="s">
        <v>875</v>
      </c>
      <c r="G74" s="80" t="b">
        <v>0</v>
      </c>
      <c r="H74" s="80" t="b">
        <v>0</v>
      </c>
      <c r="I74" s="80" t="b">
        <v>0</v>
      </c>
      <c r="J74" s="80" t="b">
        <v>0</v>
      </c>
      <c r="K74" s="80" t="b">
        <v>0</v>
      </c>
      <c r="L74" s="80" t="b">
        <v>0</v>
      </c>
    </row>
    <row r="75" spans="1:12" ht="15">
      <c r="A75" s="84" t="s">
        <v>1009</v>
      </c>
      <c r="B75" s="83" t="s">
        <v>1010</v>
      </c>
      <c r="C75" s="80">
        <v>3</v>
      </c>
      <c r="D75" s="109">
        <v>0.009200077670193953</v>
      </c>
      <c r="E75" s="109">
        <v>1.760924848409133</v>
      </c>
      <c r="F75" s="80" t="s">
        <v>876</v>
      </c>
      <c r="G75" s="80" t="b">
        <v>0</v>
      </c>
      <c r="H75" s="80" t="b">
        <v>0</v>
      </c>
      <c r="I75" s="80" t="b">
        <v>0</v>
      </c>
      <c r="J75" s="80" t="b">
        <v>0</v>
      </c>
      <c r="K75" s="80" t="b">
        <v>0</v>
      </c>
      <c r="L75" s="80" t="b">
        <v>0</v>
      </c>
    </row>
    <row r="76" spans="1:12" ht="15">
      <c r="A76" s="84" t="s">
        <v>1108</v>
      </c>
      <c r="B76" s="83" t="s">
        <v>969</v>
      </c>
      <c r="C76" s="80">
        <v>2</v>
      </c>
      <c r="D76" s="109">
        <v>0.011319485708241577</v>
      </c>
      <c r="E76" s="109">
        <v>1.635986111800833</v>
      </c>
      <c r="F76" s="80" t="s">
        <v>876</v>
      </c>
      <c r="G76" s="80" t="b">
        <v>1</v>
      </c>
      <c r="H76" s="80" t="b">
        <v>1</v>
      </c>
      <c r="I76" s="80" t="b">
        <v>0</v>
      </c>
      <c r="J76" s="80" t="b">
        <v>0</v>
      </c>
      <c r="K76" s="80" t="b">
        <v>0</v>
      </c>
      <c r="L76" s="80" t="b">
        <v>0</v>
      </c>
    </row>
    <row r="77" spans="1:12" ht="15">
      <c r="A77" s="84" t="s">
        <v>1111</v>
      </c>
      <c r="B77" s="83" t="s">
        <v>945</v>
      </c>
      <c r="C77" s="80">
        <v>2</v>
      </c>
      <c r="D77" s="109">
        <v>0.008047420537980911</v>
      </c>
      <c r="E77" s="109">
        <v>1.5390760987927767</v>
      </c>
      <c r="F77" s="80" t="s">
        <v>876</v>
      </c>
      <c r="G77" s="80" t="b">
        <v>0</v>
      </c>
      <c r="H77" s="80" t="b">
        <v>0</v>
      </c>
      <c r="I77" s="80" t="b">
        <v>0</v>
      </c>
      <c r="J77" s="80" t="b">
        <v>0</v>
      </c>
      <c r="K77" s="80" t="b">
        <v>0</v>
      </c>
      <c r="L77" s="80" t="b">
        <v>0</v>
      </c>
    </row>
    <row r="78" spans="1:12" ht="15">
      <c r="A78" s="84" t="s">
        <v>1112</v>
      </c>
      <c r="B78" s="83" t="s">
        <v>1113</v>
      </c>
      <c r="C78" s="80">
        <v>2</v>
      </c>
      <c r="D78" s="109">
        <v>0.011319485708241577</v>
      </c>
      <c r="E78" s="109">
        <v>1.9370161074648142</v>
      </c>
      <c r="F78" s="80" t="s">
        <v>876</v>
      </c>
      <c r="G78" s="80" t="b">
        <v>0</v>
      </c>
      <c r="H78" s="80" t="b">
        <v>0</v>
      </c>
      <c r="I78" s="80" t="b">
        <v>0</v>
      </c>
      <c r="J78" s="80" t="b">
        <v>0</v>
      </c>
      <c r="K78" s="80" t="b">
        <v>0</v>
      </c>
      <c r="L78" s="80" t="b">
        <v>0</v>
      </c>
    </row>
    <row r="79" spans="1:12" ht="15">
      <c r="A79" s="84" t="s">
        <v>915</v>
      </c>
      <c r="B79" s="83" t="s">
        <v>914</v>
      </c>
      <c r="C79" s="80">
        <v>2</v>
      </c>
      <c r="D79" s="109">
        <v>0.017609125905568124</v>
      </c>
      <c r="E79" s="109">
        <v>0.9294189257142927</v>
      </c>
      <c r="F79" s="80" t="s">
        <v>878</v>
      </c>
      <c r="G79" s="80" t="b">
        <v>0</v>
      </c>
      <c r="H79" s="80" t="b">
        <v>0</v>
      </c>
      <c r="I79" s="80" t="b">
        <v>0</v>
      </c>
      <c r="J79" s="80" t="b">
        <v>0</v>
      </c>
      <c r="K79" s="80" t="b">
        <v>0</v>
      </c>
      <c r="L79" s="80" t="b">
        <v>0</v>
      </c>
    </row>
    <row r="80" spans="1:12" ht="15">
      <c r="A80" s="84" t="s">
        <v>1013</v>
      </c>
      <c r="B80" s="83" t="s">
        <v>1014</v>
      </c>
      <c r="C80" s="80">
        <v>3</v>
      </c>
      <c r="D80" s="109">
        <v>0.03453800531937415</v>
      </c>
      <c r="E80" s="109">
        <v>0.9852767431792936</v>
      </c>
      <c r="F80" s="80" t="s">
        <v>879</v>
      </c>
      <c r="G80" s="80" t="b">
        <v>0</v>
      </c>
      <c r="H80" s="80" t="b">
        <v>0</v>
      </c>
      <c r="I80" s="80" t="b">
        <v>0</v>
      </c>
      <c r="J80" s="80" t="b">
        <v>0</v>
      </c>
      <c r="K80" s="80" t="b">
        <v>0</v>
      </c>
      <c r="L80" s="80" t="b">
        <v>0</v>
      </c>
    </row>
    <row r="81" spans="1:12" ht="15">
      <c r="A81" s="84" t="s">
        <v>1129</v>
      </c>
      <c r="B81" s="83" t="s">
        <v>1130</v>
      </c>
      <c r="C81" s="80">
        <v>2</v>
      </c>
      <c r="D81" s="109">
        <v>0.032543783315025</v>
      </c>
      <c r="E81" s="109">
        <v>1.161368002234975</v>
      </c>
      <c r="F81" s="80" t="s">
        <v>879</v>
      </c>
      <c r="G81" s="80" t="b">
        <v>0</v>
      </c>
      <c r="H81" s="80" t="b">
        <v>0</v>
      </c>
      <c r="I81" s="80" t="b">
        <v>0</v>
      </c>
      <c r="J81" s="80" t="b">
        <v>0</v>
      </c>
      <c r="K81" s="80" t="b">
        <v>0</v>
      </c>
      <c r="L81" s="80" t="b">
        <v>0</v>
      </c>
    </row>
    <row r="82" spans="1:12" ht="15">
      <c r="A82" s="84" t="s">
        <v>1131</v>
      </c>
      <c r="B82" s="83" t="s">
        <v>1132</v>
      </c>
      <c r="C82" s="80">
        <v>2</v>
      </c>
      <c r="D82" s="109">
        <v>0.032543783315025</v>
      </c>
      <c r="E82" s="109">
        <v>1.161368002234975</v>
      </c>
      <c r="F82" s="80" t="s">
        <v>879</v>
      </c>
      <c r="G82" s="80" t="b">
        <v>0</v>
      </c>
      <c r="H82" s="80" t="b">
        <v>0</v>
      </c>
      <c r="I82" s="80" t="b">
        <v>0</v>
      </c>
      <c r="J82" s="80" t="b">
        <v>0</v>
      </c>
      <c r="K82" s="80" t="b">
        <v>0</v>
      </c>
      <c r="L82" s="80" t="b">
        <v>0</v>
      </c>
    </row>
    <row r="83" spans="1:12" ht="15">
      <c r="A83" s="84" t="s">
        <v>940</v>
      </c>
      <c r="B83" s="83" t="s">
        <v>1017</v>
      </c>
      <c r="C83" s="80">
        <v>2</v>
      </c>
      <c r="D83" s="109">
        <v>0.03180808364797749</v>
      </c>
      <c r="E83" s="109">
        <v>0.9700367766225568</v>
      </c>
      <c r="F83" s="80" t="s">
        <v>888</v>
      </c>
      <c r="G83" s="80" t="b">
        <v>1</v>
      </c>
      <c r="H83" s="80" t="b">
        <v>1</v>
      </c>
      <c r="I83" s="80" t="b">
        <v>0</v>
      </c>
      <c r="J83" s="80" t="b">
        <v>0</v>
      </c>
      <c r="K83" s="80" t="b">
        <v>0</v>
      </c>
      <c r="L83" s="80" t="b">
        <v>0</v>
      </c>
    </row>
    <row r="84" spans="1:12" ht="15">
      <c r="A84" s="84" t="s">
        <v>938</v>
      </c>
      <c r="B84" s="83" t="s">
        <v>938</v>
      </c>
      <c r="C84" s="80">
        <v>2</v>
      </c>
      <c r="D84" s="109">
        <v>0.03180808364797749</v>
      </c>
      <c r="E84" s="109">
        <v>0.9700367766225568</v>
      </c>
      <c r="F84" s="80" t="s">
        <v>888</v>
      </c>
      <c r="G84" s="80" t="b">
        <v>0</v>
      </c>
      <c r="H84" s="80" t="b">
        <v>0</v>
      </c>
      <c r="I84" s="80" t="b">
        <v>0</v>
      </c>
      <c r="J84" s="80" t="b">
        <v>0</v>
      </c>
      <c r="K84" s="80" t="b">
        <v>0</v>
      </c>
      <c r="L84" s="80" t="b">
        <v>0</v>
      </c>
    </row>
    <row r="85" spans="1:12" ht="15">
      <c r="A85" s="84" t="s">
        <v>923</v>
      </c>
      <c r="B85" s="83" t="s">
        <v>918</v>
      </c>
      <c r="C85" s="80">
        <v>2</v>
      </c>
      <c r="D85" s="109">
        <v>0.028669523396569637</v>
      </c>
      <c r="E85" s="109">
        <v>0.9542425094393249</v>
      </c>
      <c r="F85" s="80" t="s">
        <v>889</v>
      </c>
      <c r="G85" s="80" t="b">
        <v>1</v>
      </c>
      <c r="H85" s="80" t="b">
        <v>0</v>
      </c>
      <c r="I85" s="80" t="b">
        <v>0</v>
      </c>
      <c r="J85" s="80" t="b">
        <v>0</v>
      </c>
      <c r="K85" s="80" t="b">
        <v>0</v>
      </c>
      <c r="L85"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83074A7-F479-477E-A9E1-EDDA12E23C1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2021-05-12T15:24:52Z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